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ko\Sanko - Concrete Vientiane\Jan-Dec 2023 - Sanko Vientiane\"/>
    </mc:Choice>
  </mc:AlternateContent>
  <xr:revisionPtr revIDLastSave="0" documentId="13_ncr:1_{DDA5007D-9A8E-4E80-A485-D7A76DAC2E54}" xr6:coauthVersionLast="47" xr6:coauthVersionMax="47" xr10:uidLastSave="{00000000-0000-0000-0000-000000000000}"/>
  <bookViews>
    <workbookView xWindow="-108" yWindow="-108" windowWidth="23256" windowHeight="12456" tabRatio="500" firstSheet="1" activeTab="5" xr2:uid="{00000000-000D-0000-FFFF-FFFF00000000}"/>
  </bookViews>
  <sheets>
    <sheet name="TBFeb23" sheetId="12" state="hidden" r:id="rId1"/>
    <sheet name="TBMar23" sheetId="17" r:id="rId2"/>
    <sheet name="BS" sheetId="8" r:id="rId3"/>
    <sheet name="BS USD" sheetId="15" r:id="rId4"/>
    <sheet name="PL" sheetId="9" r:id="rId5"/>
    <sheet name="PL USD" sheetId="16" r:id="rId6"/>
  </sheets>
  <definedNames>
    <definedName name="_xlnm._FilterDatabase" localSheetId="0" hidden="1">TBFeb23!$A$7:$H$7</definedName>
    <definedName name="_xlnm._FilterDatabase" localSheetId="1" hidden="1">TBMar23!$A$7:$H$7</definedName>
    <definedName name="_xlnm.Print_Titles" localSheetId="2">BS!$1:$4</definedName>
    <definedName name="_xlnm.Print_Titles" localSheetId="3">'BS USD'!$1:$4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8" i="15" l="1"/>
  <c r="U8" i="9"/>
  <c r="U129" i="9"/>
  <c r="J130" i="16"/>
  <c r="J128" i="16"/>
  <c r="J129" i="16"/>
  <c r="J133" i="16"/>
  <c r="J135" i="16" s="1"/>
  <c r="J127" i="16"/>
  <c r="J122" i="16"/>
  <c r="J121" i="16"/>
  <c r="J123" i="16" s="1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89" i="16"/>
  <c r="J119" i="16" s="1"/>
  <c r="J78" i="16"/>
  <c r="J83" i="16" s="1"/>
  <c r="J79" i="16"/>
  <c r="J80" i="16"/>
  <c r="J81" i="16"/>
  <c r="J82" i="16"/>
  <c r="J77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52" i="16"/>
  <c r="J73" i="16" s="1"/>
  <c r="J42" i="16"/>
  <c r="J43" i="16"/>
  <c r="J44" i="16"/>
  <c r="J45" i="16"/>
  <c r="J46" i="16"/>
  <c r="J47" i="16"/>
  <c r="J41" i="16"/>
  <c r="J48" i="16" s="1"/>
  <c r="J34" i="16"/>
  <c r="J40" i="16" s="1"/>
  <c r="J35" i="16"/>
  <c r="J36" i="16"/>
  <c r="J37" i="16"/>
  <c r="J38" i="16"/>
  <c r="J39" i="16"/>
  <c r="J33" i="16"/>
  <c r="J25" i="16"/>
  <c r="J31" i="16" s="1"/>
  <c r="J26" i="16"/>
  <c r="J27" i="16"/>
  <c r="J28" i="16"/>
  <c r="J29" i="16"/>
  <c r="J30" i="16"/>
  <c r="J24" i="16"/>
  <c r="J16" i="16"/>
  <c r="J17" i="16"/>
  <c r="J18" i="16"/>
  <c r="J19" i="16"/>
  <c r="J20" i="16"/>
  <c r="J21" i="16"/>
  <c r="J15" i="16"/>
  <c r="J22" i="16" s="1"/>
  <c r="J50" i="16" s="1"/>
  <c r="J8" i="16"/>
  <c r="J10" i="16" s="1"/>
  <c r="J12" i="16" s="1"/>
  <c r="J109" i="15"/>
  <c r="J112" i="15" s="1"/>
  <c r="J105" i="15"/>
  <c r="J104" i="15"/>
  <c r="J103" i="15"/>
  <c r="J100" i="15"/>
  <c r="J99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85" i="15"/>
  <c r="J83" i="15"/>
  <c r="J75" i="15"/>
  <c r="J76" i="15"/>
  <c r="J77" i="15"/>
  <c r="J78" i="15"/>
  <c r="J79" i="15"/>
  <c r="J80" i="15"/>
  <c r="J81" i="15"/>
  <c r="J82" i="15"/>
  <c r="J74" i="15"/>
  <c r="J69" i="15"/>
  <c r="J68" i="15"/>
  <c r="J62" i="15"/>
  <c r="J63" i="15"/>
  <c r="J64" i="15"/>
  <c r="J65" i="15"/>
  <c r="J66" i="15"/>
  <c r="J67" i="15"/>
  <c r="J61" i="15"/>
  <c r="J59" i="15"/>
  <c r="J52" i="15"/>
  <c r="J53" i="15"/>
  <c r="J54" i="15"/>
  <c r="J55" i="15"/>
  <c r="J56" i="15"/>
  <c r="J57" i="15"/>
  <c r="J58" i="15"/>
  <c r="J51" i="15"/>
  <c r="J46" i="15"/>
  <c r="J47" i="15"/>
  <c r="J45" i="15"/>
  <c r="J48" i="15" s="1"/>
  <c r="J42" i="15"/>
  <c r="J34" i="15"/>
  <c r="J35" i="15"/>
  <c r="J36" i="15"/>
  <c r="J37" i="15"/>
  <c r="J38" i="15"/>
  <c r="J39" i="15"/>
  <c r="J40" i="15"/>
  <c r="J41" i="15"/>
  <c r="J33" i="15"/>
  <c r="J28" i="15"/>
  <c r="J30" i="15" s="1"/>
  <c r="J29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9" i="15"/>
  <c r="J25" i="15" s="1"/>
  <c r="J116" i="8"/>
  <c r="I116" i="8"/>
  <c r="J115" i="8"/>
  <c r="J114" i="8"/>
  <c r="I114" i="8"/>
  <c r="J108" i="8"/>
  <c r="J136" i="9"/>
  <c r="J84" i="9"/>
  <c r="J77" i="9"/>
  <c r="I135" i="9"/>
  <c r="J91" i="9"/>
  <c r="E125" i="17"/>
  <c r="J22" i="9"/>
  <c r="J83" i="9"/>
  <c r="J128" i="9"/>
  <c r="J127" i="9"/>
  <c r="J129" i="9"/>
  <c r="J133" i="9"/>
  <c r="J134" i="9" s="1"/>
  <c r="J121" i="9"/>
  <c r="J90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89" i="9"/>
  <c r="J53" i="9"/>
  <c r="J54" i="9"/>
  <c r="J55" i="9"/>
  <c r="J56" i="9"/>
  <c r="J57" i="9"/>
  <c r="J58" i="9"/>
  <c r="J59" i="9"/>
  <c r="J60" i="9"/>
  <c r="J61" i="9"/>
  <c r="J62" i="9"/>
  <c r="J63" i="9"/>
  <c r="J68" i="9"/>
  <c r="J69" i="9"/>
  <c r="J70" i="9"/>
  <c r="U70" i="9" s="1"/>
  <c r="J71" i="9"/>
  <c r="U71" i="9" s="1"/>
  <c r="J72" i="9"/>
  <c r="U72" i="9" s="1"/>
  <c r="J52" i="9"/>
  <c r="J42" i="9"/>
  <c r="J43" i="9"/>
  <c r="J44" i="9"/>
  <c r="J45" i="9"/>
  <c r="J46" i="9"/>
  <c r="J47" i="9"/>
  <c r="J41" i="9"/>
  <c r="J34" i="9"/>
  <c r="J35" i="9"/>
  <c r="J36" i="9"/>
  <c r="J37" i="9"/>
  <c r="J38" i="9"/>
  <c r="J39" i="9"/>
  <c r="J33" i="9"/>
  <c r="J25" i="9"/>
  <c r="J26" i="9"/>
  <c r="J27" i="9"/>
  <c r="J28" i="9"/>
  <c r="J29" i="9"/>
  <c r="J30" i="9"/>
  <c r="J24" i="9"/>
  <c r="J8" i="9"/>
  <c r="J106" i="8"/>
  <c r="J104" i="8"/>
  <c r="J103" i="8"/>
  <c r="J97" i="8"/>
  <c r="J96" i="8"/>
  <c r="J95" i="8"/>
  <c r="J94" i="8"/>
  <c r="J93" i="8"/>
  <c r="J92" i="8"/>
  <c r="J90" i="8"/>
  <c r="J88" i="8"/>
  <c r="J85" i="8"/>
  <c r="J91" i="8"/>
  <c r="J83" i="8"/>
  <c r="J62" i="8"/>
  <c r="J63" i="8"/>
  <c r="J64" i="8"/>
  <c r="J65" i="8"/>
  <c r="J66" i="8"/>
  <c r="J67" i="8"/>
  <c r="J61" i="8"/>
  <c r="J56" i="8"/>
  <c r="J57" i="8"/>
  <c r="J58" i="8"/>
  <c r="J51" i="8"/>
  <c r="J52" i="8"/>
  <c r="J53" i="8"/>
  <c r="J55" i="8"/>
  <c r="J45" i="8"/>
  <c r="J48" i="8" s="1"/>
  <c r="J33" i="8"/>
  <c r="J34" i="8"/>
  <c r="J35" i="8"/>
  <c r="J36" i="8"/>
  <c r="J37" i="8"/>
  <c r="J38" i="8"/>
  <c r="J39" i="8"/>
  <c r="J41" i="8"/>
  <c r="J28" i="8"/>
  <c r="J27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9" i="8"/>
  <c r="J84" i="16" l="1"/>
  <c r="J85" i="16" s="1"/>
  <c r="J124" i="16"/>
  <c r="J125" i="16"/>
  <c r="J136" i="16" s="1"/>
  <c r="J137" i="16" s="1"/>
  <c r="J119" i="9"/>
  <c r="J31" i="9"/>
  <c r="J73" i="9"/>
  <c r="J48" i="9"/>
  <c r="J130" i="9"/>
  <c r="J105" i="8"/>
  <c r="J99" i="8"/>
  <c r="J100" i="8" s="1"/>
  <c r="J109" i="8" s="1"/>
  <c r="J68" i="8"/>
  <c r="J30" i="8"/>
  <c r="J59" i="8"/>
  <c r="J42" i="8"/>
  <c r="J25" i="8"/>
  <c r="I77" i="17"/>
  <c r="I78" i="17"/>
  <c r="I79" i="17"/>
  <c r="I80" i="17"/>
  <c r="I76" i="17"/>
  <c r="I86" i="17"/>
  <c r="I87" i="17"/>
  <c r="I90" i="17"/>
  <c r="I91" i="17"/>
  <c r="I92" i="17"/>
  <c r="I93" i="17"/>
  <c r="I94" i="17"/>
  <c r="I95" i="17"/>
  <c r="H116" i="17"/>
  <c r="I116" i="17" s="1"/>
  <c r="H119" i="17"/>
  <c r="I119" i="17" s="1"/>
  <c r="G56" i="17"/>
  <c r="I56" i="17" s="1"/>
  <c r="H120" i="17"/>
  <c r="I120" i="17" s="1"/>
  <c r="H121" i="17"/>
  <c r="I121" i="17" s="1"/>
  <c r="H122" i="17"/>
  <c r="I122" i="17" s="1"/>
  <c r="G86" i="17"/>
  <c r="G87" i="17"/>
  <c r="G88" i="17"/>
  <c r="I88" i="17" s="1"/>
  <c r="G89" i="17"/>
  <c r="I89" i="17" s="1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7" i="17"/>
  <c r="G118" i="17"/>
  <c r="G85" i="17"/>
  <c r="I85" i="17" s="1"/>
  <c r="H73" i="17"/>
  <c r="I73" i="17" s="1"/>
  <c r="H74" i="17"/>
  <c r="I74" i="17" s="1"/>
  <c r="H75" i="17"/>
  <c r="I75" i="17" s="1"/>
  <c r="H76" i="17"/>
  <c r="H77" i="17"/>
  <c r="H78" i="17"/>
  <c r="H79" i="17"/>
  <c r="H80" i="17"/>
  <c r="H81" i="17"/>
  <c r="I81" i="17" s="1"/>
  <c r="H72" i="17"/>
  <c r="I72" i="17" s="1"/>
  <c r="G70" i="17"/>
  <c r="I70" i="17" s="1"/>
  <c r="H67" i="17"/>
  <c r="H66" i="17"/>
  <c r="I66" i="17" s="1"/>
  <c r="F125" i="17"/>
  <c r="G9" i="17"/>
  <c r="I9" i="17" s="1"/>
  <c r="J69" i="8" l="1"/>
  <c r="J112" i="8" s="1"/>
  <c r="F126" i="17" l="1"/>
  <c r="F123" i="17"/>
  <c r="E123" i="17"/>
  <c r="F124" i="17" s="1"/>
  <c r="D123" i="17"/>
  <c r="C123" i="17"/>
  <c r="D124" i="17" s="1"/>
  <c r="I118" i="17"/>
  <c r="I117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H84" i="17"/>
  <c r="I84" i="17" s="1"/>
  <c r="G71" i="17"/>
  <c r="I71" i="17" s="1"/>
  <c r="H70" i="17"/>
  <c r="H69" i="17"/>
  <c r="I69" i="17" s="1"/>
  <c r="H68" i="17"/>
  <c r="I68" i="17" s="1"/>
  <c r="I67" i="17"/>
  <c r="G66" i="17"/>
  <c r="G65" i="17"/>
  <c r="I65" i="17" s="1"/>
  <c r="G64" i="17"/>
  <c r="I64" i="17" s="1"/>
  <c r="G63" i="17"/>
  <c r="I63" i="17" s="1"/>
  <c r="G62" i="17"/>
  <c r="I62" i="17" s="1"/>
  <c r="G61" i="17"/>
  <c r="I61" i="17" s="1"/>
  <c r="G60" i="17"/>
  <c r="I60" i="17" s="1"/>
  <c r="G59" i="17"/>
  <c r="I59" i="17" s="1"/>
  <c r="G58" i="17"/>
  <c r="I58" i="17" s="1"/>
  <c r="G57" i="17"/>
  <c r="I57" i="17" s="1"/>
  <c r="G55" i="17"/>
  <c r="I55" i="17" s="1"/>
  <c r="G54" i="17"/>
  <c r="I54" i="17" s="1"/>
  <c r="G53" i="17"/>
  <c r="I53" i="17" s="1"/>
  <c r="G52" i="17"/>
  <c r="I52" i="17" s="1"/>
  <c r="G51" i="17"/>
  <c r="I51" i="17" s="1"/>
  <c r="G50" i="17"/>
  <c r="I50" i="17" s="1"/>
  <c r="G49" i="17"/>
  <c r="I49" i="17" s="1"/>
  <c r="G48" i="17"/>
  <c r="I48" i="17" s="1"/>
  <c r="G47" i="17"/>
  <c r="I47" i="17" s="1"/>
  <c r="G46" i="17"/>
  <c r="I46" i="17" s="1"/>
  <c r="G45" i="17"/>
  <c r="I45" i="17" s="1"/>
  <c r="G44" i="17"/>
  <c r="I44" i="17" s="1"/>
  <c r="G43" i="17"/>
  <c r="I43" i="17" s="1"/>
  <c r="G42" i="17"/>
  <c r="I42" i="17" s="1"/>
  <c r="G41" i="17"/>
  <c r="I41" i="17" s="1"/>
  <c r="G40" i="17"/>
  <c r="I40" i="17" s="1"/>
  <c r="G39" i="17"/>
  <c r="I39" i="17" s="1"/>
  <c r="G38" i="17"/>
  <c r="I38" i="17" s="1"/>
  <c r="G36" i="17"/>
  <c r="I36" i="17" s="1"/>
  <c r="G35" i="17"/>
  <c r="G33" i="17"/>
  <c r="I33" i="17" s="1"/>
  <c r="G32" i="17"/>
  <c r="I32" i="17" s="1"/>
  <c r="G31" i="17"/>
  <c r="I31" i="17" s="1"/>
  <c r="G30" i="17"/>
  <c r="I30" i="17" s="1"/>
  <c r="G29" i="17"/>
  <c r="I29" i="17" s="1"/>
  <c r="G28" i="17"/>
  <c r="I28" i="17" s="1"/>
  <c r="G27" i="17"/>
  <c r="I27" i="17" s="1"/>
  <c r="G26" i="17"/>
  <c r="I26" i="17" s="1"/>
  <c r="G25" i="17"/>
  <c r="I25" i="17" s="1"/>
  <c r="G24" i="17"/>
  <c r="I24" i="17" s="1"/>
  <c r="G23" i="17"/>
  <c r="I23" i="17" s="1"/>
  <c r="G22" i="17"/>
  <c r="I22" i="17" s="1"/>
  <c r="G21" i="17"/>
  <c r="I21" i="17" s="1"/>
  <c r="G20" i="17"/>
  <c r="I20" i="17" s="1"/>
  <c r="G19" i="17"/>
  <c r="I19" i="17" s="1"/>
  <c r="G18" i="17"/>
  <c r="I18" i="17" s="1"/>
  <c r="G17" i="17"/>
  <c r="I17" i="17" s="1"/>
  <c r="G16" i="17"/>
  <c r="I16" i="17" s="1"/>
  <c r="G15" i="17"/>
  <c r="I15" i="17" s="1"/>
  <c r="G14" i="17"/>
  <c r="I14" i="17" s="1"/>
  <c r="G13" i="17"/>
  <c r="I13" i="17" s="1"/>
  <c r="G12" i="17"/>
  <c r="G11" i="17"/>
  <c r="I11" i="17" s="1"/>
  <c r="G10" i="17"/>
  <c r="I10" i="17" s="1"/>
  <c r="G8" i="17"/>
  <c r="I8" i="17" s="1"/>
  <c r="I28" i="8"/>
  <c r="I28" i="15" s="1"/>
  <c r="G25" i="12"/>
  <c r="I25" i="12" s="1"/>
  <c r="J10" i="9"/>
  <c r="J40" i="9"/>
  <c r="J50" i="9"/>
  <c r="J123" i="9"/>
  <c r="I122" i="16"/>
  <c r="I78" i="16"/>
  <c r="I79" i="16"/>
  <c r="I80" i="16"/>
  <c r="I81" i="16"/>
  <c r="I82" i="16"/>
  <c r="I65" i="16"/>
  <c r="H67" i="16"/>
  <c r="H68" i="16"/>
  <c r="H69" i="16"/>
  <c r="H66" i="16"/>
  <c r="H65" i="16"/>
  <c r="I15" i="16"/>
  <c r="I16" i="16"/>
  <c r="I17" i="16"/>
  <c r="I18" i="16"/>
  <c r="I19" i="16"/>
  <c r="I20" i="16"/>
  <c r="I21" i="16"/>
  <c r="I14" i="16"/>
  <c r="H105" i="15"/>
  <c r="H99" i="15"/>
  <c r="H83" i="15"/>
  <c r="H100" i="15" s="1"/>
  <c r="H109" i="15" s="1"/>
  <c r="I82" i="15"/>
  <c r="H68" i="15"/>
  <c r="H59" i="15"/>
  <c r="I50" i="15"/>
  <c r="H48" i="15"/>
  <c r="I46" i="15"/>
  <c r="I47" i="15"/>
  <c r="I44" i="15"/>
  <c r="H42" i="15"/>
  <c r="I40" i="15"/>
  <c r="I29" i="15"/>
  <c r="H30" i="15"/>
  <c r="H25" i="15"/>
  <c r="J12" i="9" l="1"/>
  <c r="J124" i="9"/>
  <c r="G123" i="17"/>
  <c r="I12" i="17"/>
  <c r="I123" i="17" s="1"/>
  <c r="H123" i="17"/>
  <c r="H69" i="15"/>
  <c r="H112" i="15"/>
  <c r="J85" i="9"/>
  <c r="I22" i="16"/>
  <c r="J125" i="9" l="1"/>
  <c r="J135" i="9" s="1"/>
  <c r="H124" i="17"/>
  <c r="I115" i="8"/>
  <c r="H136" i="9" l="1"/>
  <c r="U78" i="9"/>
  <c r="U79" i="9"/>
  <c r="U80" i="9"/>
  <c r="U81" i="9"/>
  <c r="U65" i="9"/>
  <c r="I66" i="9"/>
  <c r="I66" i="16" s="1"/>
  <c r="U66" i="16" s="1"/>
  <c r="I67" i="9"/>
  <c r="I67" i="16" s="1"/>
  <c r="U67" i="16" s="1"/>
  <c r="I68" i="9"/>
  <c r="I68" i="16" s="1"/>
  <c r="U68" i="16" s="1"/>
  <c r="I69" i="9"/>
  <c r="I58" i="9"/>
  <c r="I58" i="16" s="1"/>
  <c r="I77" i="9"/>
  <c r="U77" i="9" s="1"/>
  <c r="I116" i="9"/>
  <c r="I116" i="16" s="1"/>
  <c r="U116" i="16" s="1"/>
  <c r="I113" i="9"/>
  <c r="I113" i="16" s="1"/>
  <c r="U113" i="16" s="1"/>
  <c r="I112" i="9"/>
  <c r="I112" i="16" s="1"/>
  <c r="U112" i="16" s="1"/>
  <c r="I110" i="9"/>
  <c r="I110" i="16" s="1"/>
  <c r="U110" i="16" s="1"/>
  <c r="I108" i="9"/>
  <c r="I108" i="16" s="1"/>
  <c r="U108" i="16" s="1"/>
  <c r="I92" i="9"/>
  <c r="I92" i="16" s="1"/>
  <c r="U92" i="16" s="1"/>
  <c r="I93" i="9"/>
  <c r="I93" i="16" s="1"/>
  <c r="U93" i="16" s="1"/>
  <c r="I96" i="9"/>
  <c r="I96" i="16" s="1"/>
  <c r="U96" i="16" s="1"/>
  <c r="I98" i="9"/>
  <c r="I98" i="16" s="1"/>
  <c r="U98" i="16" s="1"/>
  <c r="I133" i="9"/>
  <c r="I128" i="9"/>
  <c r="I128" i="16" s="1"/>
  <c r="I127" i="9"/>
  <c r="I127" i="16" s="1"/>
  <c r="I8" i="9"/>
  <c r="I22" i="9"/>
  <c r="I121" i="9"/>
  <c r="I90" i="9"/>
  <c r="I90" i="16" s="1"/>
  <c r="I94" i="9"/>
  <c r="I94" i="16" s="1"/>
  <c r="I95" i="9"/>
  <c r="I95" i="16" s="1"/>
  <c r="I97" i="9"/>
  <c r="I97" i="16" s="1"/>
  <c r="I99" i="9"/>
  <c r="I99" i="16" s="1"/>
  <c r="I100" i="9"/>
  <c r="I100" i="16" s="1"/>
  <c r="I101" i="9"/>
  <c r="I101" i="16" s="1"/>
  <c r="I102" i="9"/>
  <c r="I102" i="16" s="1"/>
  <c r="I103" i="9"/>
  <c r="I103" i="16" s="1"/>
  <c r="I104" i="9"/>
  <c r="I104" i="16" s="1"/>
  <c r="I105" i="9"/>
  <c r="I105" i="16" s="1"/>
  <c r="I106" i="9"/>
  <c r="I106" i="16" s="1"/>
  <c r="I107" i="9"/>
  <c r="I107" i="16" s="1"/>
  <c r="I109" i="9"/>
  <c r="I109" i="16" s="1"/>
  <c r="I111" i="9"/>
  <c r="I111" i="16" s="1"/>
  <c r="I114" i="9"/>
  <c r="I114" i="16" s="1"/>
  <c r="I115" i="9"/>
  <c r="I115" i="16" s="1"/>
  <c r="I117" i="9"/>
  <c r="I117" i="16" s="1"/>
  <c r="I89" i="9"/>
  <c r="I89" i="16" s="1"/>
  <c r="I53" i="9"/>
  <c r="I53" i="16" s="1"/>
  <c r="I54" i="9"/>
  <c r="I54" i="16" s="1"/>
  <c r="I55" i="9"/>
  <c r="I55" i="16" s="1"/>
  <c r="I56" i="9"/>
  <c r="I56" i="16" s="1"/>
  <c r="I57" i="9"/>
  <c r="I57" i="16" s="1"/>
  <c r="I59" i="9"/>
  <c r="I59" i="16" s="1"/>
  <c r="I60" i="9"/>
  <c r="I60" i="16" s="1"/>
  <c r="I61" i="9"/>
  <c r="I61" i="16" s="1"/>
  <c r="I62" i="9"/>
  <c r="I62" i="16" s="1"/>
  <c r="I63" i="9"/>
  <c r="I63" i="16" s="1"/>
  <c r="I64" i="9"/>
  <c r="I64" i="16" s="1"/>
  <c r="I52" i="9"/>
  <c r="I52" i="16" s="1"/>
  <c r="I42" i="9"/>
  <c r="I42" i="16" s="1"/>
  <c r="I43" i="9"/>
  <c r="I43" i="16" s="1"/>
  <c r="I44" i="9"/>
  <c r="I44" i="16" s="1"/>
  <c r="I45" i="9"/>
  <c r="I45" i="16" s="1"/>
  <c r="I46" i="9"/>
  <c r="I46" i="16" s="1"/>
  <c r="I47" i="9"/>
  <c r="I47" i="16" s="1"/>
  <c r="I41" i="9"/>
  <c r="I25" i="9"/>
  <c r="I25" i="16" s="1"/>
  <c r="I26" i="9"/>
  <c r="I26" i="16" s="1"/>
  <c r="I27" i="9"/>
  <c r="I27" i="16" s="1"/>
  <c r="I28" i="9"/>
  <c r="I28" i="16" s="1"/>
  <c r="I29" i="9"/>
  <c r="I29" i="16" s="1"/>
  <c r="I30" i="9"/>
  <c r="I30" i="16" s="1"/>
  <c r="I24" i="9"/>
  <c r="I24" i="16" s="1"/>
  <c r="I69" i="16" l="1"/>
  <c r="U69" i="16" s="1"/>
  <c r="U69" i="9"/>
  <c r="U98" i="9"/>
  <c r="I130" i="16"/>
  <c r="U99" i="9"/>
  <c r="U96" i="9"/>
  <c r="U106" i="9"/>
  <c r="U97" i="9"/>
  <c r="U95" i="9"/>
  <c r="U94" i="9"/>
  <c r="I31" i="16"/>
  <c r="U111" i="9"/>
  <c r="U93" i="9"/>
  <c r="U110" i="9"/>
  <c r="U92" i="9"/>
  <c r="U109" i="9"/>
  <c r="U90" i="9"/>
  <c r="U108" i="9"/>
  <c r="U107" i="9"/>
  <c r="I10" i="9"/>
  <c r="I12" i="9" s="1"/>
  <c r="I8" i="16"/>
  <c r="I10" i="16" s="1"/>
  <c r="I12" i="16" s="1"/>
  <c r="I134" i="9"/>
  <c r="I133" i="16"/>
  <c r="I135" i="16" s="1"/>
  <c r="U117" i="9"/>
  <c r="U104" i="9"/>
  <c r="U103" i="9"/>
  <c r="U114" i="9"/>
  <c r="U67" i="9"/>
  <c r="U113" i="9"/>
  <c r="U101" i="9"/>
  <c r="U59" i="9"/>
  <c r="I83" i="9"/>
  <c r="I77" i="16"/>
  <c r="I83" i="16" s="1"/>
  <c r="I119" i="16"/>
  <c r="I124" i="16" s="1"/>
  <c r="U105" i="9"/>
  <c r="U116" i="9"/>
  <c r="U115" i="9"/>
  <c r="I41" i="16"/>
  <c r="I48" i="16" s="1"/>
  <c r="I48" i="9"/>
  <c r="U68" i="9"/>
  <c r="U102" i="9"/>
  <c r="I123" i="9"/>
  <c r="I121" i="16"/>
  <c r="I123" i="16" s="1"/>
  <c r="U66" i="9"/>
  <c r="U112" i="9"/>
  <c r="U100" i="9"/>
  <c r="U58" i="9"/>
  <c r="I130" i="9"/>
  <c r="I73" i="9"/>
  <c r="I31" i="9"/>
  <c r="I50" i="9"/>
  <c r="I119" i="9"/>
  <c r="I73" i="16" l="1"/>
  <c r="I124" i="9"/>
  <c r="I84" i="9"/>
  <c r="I85" i="9" s="1"/>
  <c r="I125" i="9" l="1"/>
  <c r="I136" i="9" s="1"/>
  <c r="U85" i="9"/>
  <c r="I106" i="8"/>
  <c r="H25" i="8"/>
  <c r="G25" i="8"/>
  <c r="H30" i="8"/>
  <c r="G30" i="8"/>
  <c r="H42" i="8"/>
  <c r="G42" i="8"/>
  <c r="H48" i="8"/>
  <c r="G48" i="8"/>
  <c r="H59" i="8"/>
  <c r="G59" i="8"/>
  <c r="H68" i="8"/>
  <c r="H83" i="8"/>
  <c r="H99" i="8"/>
  <c r="H105" i="8"/>
  <c r="H100" i="8" l="1"/>
  <c r="H109" i="8" s="1"/>
  <c r="I108" i="8"/>
  <c r="H69" i="8"/>
  <c r="I89" i="8" l="1"/>
  <c r="I89" i="15" s="1"/>
  <c r="I98" i="8"/>
  <c r="I98" i="15" s="1"/>
  <c r="I86" i="8"/>
  <c r="I86" i="15" s="1"/>
  <c r="I87" i="8"/>
  <c r="I87" i="15" s="1"/>
  <c r="H78" i="12"/>
  <c r="I78" i="12"/>
  <c r="I79" i="8" s="1"/>
  <c r="I79" i="15" s="1"/>
  <c r="I75" i="8"/>
  <c r="I75" i="15" s="1"/>
  <c r="I76" i="8"/>
  <c r="I76" i="15" s="1"/>
  <c r="I77" i="8"/>
  <c r="I77" i="15" s="1"/>
  <c r="I78" i="8"/>
  <c r="I78" i="15" s="1"/>
  <c r="I80" i="8"/>
  <c r="I80" i="15" s="1"/>
  <c r="I74" i="8"/>
  <c r="I74" i="15" s="1"/>
  <c r="I54" i="8"/>
  <c r="I54" i="15" s="1"/>
  <c r="I10" i="8"/>
  <c r="I10" i="15" s="1"/>
  <c r="H126" i="12"/>
  <c r="I126" i="12" s="1"/>
  <c r="H130" i="12"/>
  <c r="H131" i="12"/>
  <c r="H129" i="12"/>
  <c r="I129" i="12" s="1"/>
  <c r="H93" i="12"/>
  <c r="I93" i="12" s="1"/>
  <c r="I97" i="8" s="1"/>
  <c r="I97" i="15" s="1"/>
  <c r="H95" i="12"/>
  <c r="I95" i="12" s="1"/>
  <c r="G97" i="12"/>
  <c r="I97" i="12" s="1"/>
  <c r="G98" i="12"/>
  <c r="I98" i="12" s="1"/>
  <c r="G99" i="12"/>
  <c r="I99" i="12" s="1"/>
  <c r="G100" i="12"/>
  <c r="I100" i="12" s="1"/>
  <c r="G101" i="12"/>
  <c r="I101" i="12" s="1"/>
  <c r="G102" i="12"/>
  <c r="I102" i="12" s="1"/>
  <c r="G103" i="12"/>
  <c r="I103" i="12" s="1"/>
  <c r="G104" i="12"/>
  <c r="I104" i="12" s="1"/>
  <c r="G105" i="12"/>
  <c r="I105" i="12" s="1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7" i="12"/>
  <c r="I127" i="12" s="1"/>
  <c r="G128" i="12"/>
  <c r="G96" i="12"/>
  <c r="I96" i="12" s="1"/>
  <c r="H80" i="12"/>
  <c r="H81" i="12"/>
  <c r="I81" i="12" s="1"/>
  <c r="I85" i="8" s="1"/>
  <c r="I85" i="15" s="1"/>
  <c r="H84" i="12"/>
  <c r="H86" i="12"/>
  <c r="H87" i="12"/>
  <c r="I87" i="12" s="1"/>
  <c r="I91" i="8" s="1"/>
  <c r="I91" i="15" s="1"/>
  <c r="H88" i="12"/>
  <c r="H89" i="12"/>
  <c r="H90" i="12"/>
  <c r="H91" i="12"/>
  <c r="H92" i="12"/>
  <c r="G72" i="12"/>
  <c r="G71" i="12"/>
  <c r="H68" i="12"/>
  <c r="H69" i="12"/>
  <c r="H70" i="12"/>
  <c r="I70" i="12" s="1"/>
  <c r="I104" i="8" s="1"/>
  <c r="I104" i="15" s="1"/>
  <c r="H67" i="12"/>
  <c r="G52" i="12"/>
  <c r="G53" i="12"/>
  <c r="G54" i="12"/>
  <c r="G55" i="12"/>
  <c r="I55" i="12" s="1"/>
  <c r="I53" i="8" s="1"/>
  <c r="I53" i="15" s="1"/>
  <c r="G57" i="12"/>
  <c r="G58" i="12"/>
  <c r="G59" i="12"/>
  <c r="G60" i="12"/>
  <c r="G61" i="12"/>
  <c r="G62" i="12"/>
  <c r="G63" i="12"/>
  <c r="G64" i="12"/>
  <c r="G65" i="12"/>
  <c r="G66" i="12"/>
  <c r="I66" i="12" s="1"/>
  <c r="I65" i="8" s="1"/>
  <c r="I65" i="15" s="1"/>
  <c r="G67" i="12"/>
  <c r="G51" i="12"/>
  <c r="G40" i="12"/>
  <c r="G41" i="12"/>
  <c r="G42" i="12"/>
  <c r="G43" i="12"/>
  <c r="G44" i="12"/>
  <c r="G45" i="12"/>
  <c r="G46" i="12"/>
  <c r="G47" i="12"/>
  <c r="G48" i="12"/>
  <c r="G49" i="12"/>
  <c r="G50" i="12"/>
  <c r="G33" i="12"/>
  <c r="G35" i="12"/>
  <c r="G36" i="12"/>
  <c r="G38" i="12"/>
  <c r="G39" i="12"/>
  <c r="G26" i="12"/>
  <c r="I33" i="9" s="1"/>
  <c r="I33" i="16" s="1"/>
  <c r="G27" i="12"/>
  <c r="I34" i="9" s="1"/>
  <c r="I34" i="16" s="1"/>
  <c r="G28" i="12"/>
  <c r="I35" i="9" s="1"/>
  <c r="I35" i="16" s="1"/>
  <c r="G29" i="12"/>
  <c r="I36" i="9" s="1"/>
  <c r="I36" i="16" s="1"/>
  <c r="G30" i="12"/>
  <c r="I37" i="9" s="1"/>
  <c r="I37" i="16" s="1"/>
  <c r="G31" i="12"/>
  <c r="I38" i="9" s="1"/>
  <c r="I38" i="16" s="1"/>
  <c r="G32" i="12"/>
  <c r="I39" i="9" s="1"/>
  <c r="I39" i="16" s="1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8" i="12"/>
  <c r="F135" i="12"/>
  <c r="F133" i="12"/>
  <c r="E135" i="12"/>
  <c r="I40" i="16" l="1"/>
  <c r="I50" i="16" s="1"/>
  <c r="I84" i="16" s="1"/>
  <c r="I85" i="16" s="1"/>
  <c r="I125" i="16" s="1"/>
  <c r="I136" i="16" s="1"/>
  <c r="I40" i="9"/>
  <c r="H133" i="12"/>
  <c r="G133" i="12"/>
  <c r="U118" i="16" l="1"/>
  <c r="U75" i="16"/>
  <c r="H115" i="8" l="1"/>
  <c r="H132" i="16"/>
  <c r="U132" i="16" s="1"/>
  <c r="H79" i="16"/>
  <c r="U79" i="16" s="1"/>
  <c r="H80" i="16"/>
  <c r="U80" i="16" s="1"/>
  <c r="U65" i="16"/>
  <c r="H51" i="16"/>
  <c r="U51" i="16" s="1"/>
  <c r="H122" i="16"/>
  <c r="U122" i="16" s="1"/>
  <c r="U88" i="16"/>
  <c r="H76" i="16"/>
  <c r="U76" i="16" s="1"/>
  <c r="U74" i="16"/>
  <c r="U49" i="16"/>
  <c r="H32" i="16"/>
  <c r="H23" i="16"/>
  <c r="U13" i="16"/>
  <c r="U11" i="16"/>
  <c r="G107" i="15"/>
  <c r="G106" i="15"/>
  <c r="G104" i="15"/>
  <c r="G103" i="15"/>
  <c r="G105" i="15" s="1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85" i="15"/>
  <c r="G75" i="15"/>
  <c r="G76" i="15"/>
  <c r="G77" i="15"/>
  <c r="G78" i="15"/>
  <c r="G79" i="15"/>
  <c r="G80" i="15"/>
  <c r="G81" i="15"/>
  <c r="G82" i="15"/>
  <c r="G74" i="15"/>
  <c r="G27" i="15"/>
  <c r="G30" i="15" s="1"/>
  <c r="G62" i="15"/>
  <c r="G63" i="15"/>
  <c r="G64" i="15"/>
  <c r="G65" i="15"/>
  <c r="G66" i="15"/>
  <c r="G67" i="15"/>
  <c r="G61" i="15"/>
  <c r="G51" i="15"/>
  <c r="G52" i="15"/>
  <c r="G53" i="15"/>
  <c r="G54" i="15"/>
  <c r="G55" i="15"/>
  <c r="G57" i="15"/>
  <c r="G58" i="15"/>
  <c r="G50" i="15"/>
  <c r="G45" i="15"/>
  <c r="G46" i="15"/>
  <c r="G47" i="15"/>
  <c r="G44" i="15"/>
  <c r="G33" i="15"/>
  <c r="G34" i="15"/>
  <c r="G35" i="15"/>
  <c r="G36" i="15"/>
  <c r="G37" i="15"/>
  <c r="G38" i="15"/>
  <c r="G39" i="15"/>
  <c r="G40" i="15"/>
  <c r="G41" i="15"/>
  <c r="G32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9" i="15"/>
  <c r="S112" i="15"/>
  <c r="R112" i="15"/>
  <c r="Q112" i="15"/>
  <c r="U105" i="15"/>
  <c r="U104" i="15"/>
  <c r="U103" i="15"/>
  <c r="U102" i="15"/>
  <c r="U101" i="15"/>
  <c r="U100" i="15"/>
  <c r="U99" i="15"/>
  <c r="U85" i="15"/>
  <c r="U84" i="15"/>
  <c r="U83" i="15"/>
  <c r="U82" i="15"/>
  <c r="U81" i="15"/>
  <c r="U80" i="15"/>
  <c r="U79" i="15"/>
  <c r="U78" i="15"/>
  <c r="U77" i="15"/>
  <c r="U76" i="15"/>
  <c r="U75" i="15"/>
  <c r="U74" i="15"/>
  <c r="U73" i="15"/>
  <c r="U72" i="15"/>
  <c r="U71" i="15"/>
  <c r="U70" i="15"/>
  <c r="U69" i="15"/>
  <c r="U112" i="15" s="1"/>
  <c r="U68" i="15"/>
  <c r="U67" i="15"/>
  <c r="U66" i="15"/>
  <c r="U65" i="15"/>
  <c r="U64" i="15"/>
  <c r="U63" i="15"/>
  <c r="U62" i="15"/>
  <c r="U61" i="15"/>
  <c r="U60" i="15"/>
  <c r="U59" i="15"/>
  <c r="U50" i="15"/>
  <c r="U49" i="15"/>
  <c r="U48" i="15"/>
  <c r="U47" i="15"/>
  <c r="U46" i="15"/>
  <c r="U45" i="15"/>
  <c r="U44" i="15"/>
  <c r="U43" i="15"/>
  <c r="U42" i="15"/>
  <c r="U41" i="15"/>
  <c r="U40" i="15"/>
  <c r="U39" i="15"/>
  <c r="U38" i="15"/>
  <c r="U34" i="15"/>
  <c r="U33" i="15"/>
  <c r="U32" i="15"/>
  <c r="U31" i="15"/>
  <c r="U30" i="15"/>
  <c r="U29" i="15"/>
  <c r="U27" i="15"/>
  <c r="U25" i="15"/>
  <c r="U24" i="15"/>
  <c r="U23" i="15"/>
  <c r="U22" i="15"/>
  <c r="U21" i="15"/>
  <c r="U20" i="15"/>
  <c r="U19" i="15"/>
  <c r="U18" i="15"/>
  <c r="U12" i="15"/>
  <c r="U11" i="15"/>
  <c r="U10" i="15"/>
  <c r="U9" i="15"/>
  <c r="H77" i="16"/>
  <c r="U77" i="16" s="1"/>
  <c r="H78" i="16"/>
  <c r="U78" i="16" s="1"/>
  <c r="H81" i="16"/>
  <c r="U81" i="16" s="1"/>
  <c r="G25" i="15" l="1"/>
  <c r="G59" i="15"/>
  <c r="U23" i="16"/>
  <c r="U32" i="16"/>
  <c r="G99" i="15"/>
  <c r="G83" i="15"/>
  <c r="G68" i="15"/>
  <c r="G48" i="15"/>
  <c r="G42" i="15"/>
  <c r="G69" i="15" l="1"/>
  <c r="G100" i="15"/>
  <c r="G109" i="15" s="1"/>
  <c r="G112" i="15" s="1"/>
  <c r="H25" i="16"/>
  <c r="U25" i="16" s="1"/>
  <c r="H26" i="16"/>
  <c r="U26" i="16" s="1"/>
  <c r="H27" i="16"/>
  <c r="U27" i="16" s="1"/>
  <c r="H28" i="16"/>
  <c r="U28" i="16" s="1"/>
  <c r="H29" i="16"/>
  <c r="U29" i="16" s="1"/>
  <c r="H30" i="16"/>
  <c r="U30" i="16" s="1"/>
  <c r="H24" i="16"/>
  <c r="U41" i="9" l="1"/>
  <c r="H41" i="16"/>
  <c r="U41" i="16" s="1"/>
  <c r="H46" i="16"/>
  <c r="U46" i="16" s="1"/>
  <c r="U46" i="9"/>
  <c r="U45" i="9"/>
  <c r="H45" i="16"/>
  <c r="U45" i="16" s="1"/>
  <c r="U44" i="9"/>
  <c r="H44" i="16"/>
  <c r="U44" i="16" s="1"/>
  <c r="U47" i="9"/>
  <c r="H47" i="16"/>
  <c r="U47" i="16" s="1"/>
  <c r="U24" i="16"/>
  <c r="H31" i="16"/>
  <c r="U31" i="16" s="1"/>
  <c r="U43" i="9"/>
  <c r="H43" i="16"/>
  <c r="U43" i="16" s="1"/>
  <c r="U42" i="9"/>
  <c r="H42" i="16"/>
  <c r="U42" i="16" s="1"/>
  <c r="H133" i="16"/>
  <c r="H121" i="16"/>
  <c r="H90" i="16"/>
  <c r="U90" i="16" s="1"/>
  <c r="H95" i="16"/>
  <c r="U95" i="16" s="1"/>
  <c r="H89" i="16"/>
  <c r="U121" i="16" l="1"/>
  <c r="H123" i="16"/>
  <c r="U123" i="16" s="1"/>
  <c r="H135" i="16"/>
  <c r="U135" i="16" s="1"/>
  <c r="U133" i="16"/>
  <c r="U89" i="16"/>
  <c r="H48" i="16"/>
  <c r="U48" i="16" s="1"/>
  <c r="H53" i="16"/>
  <c r="U53" i="16" s="1"/>
  <c r="H54" i="16"/>
  <c r="U54" i="16" s="1"/>
  <c r="H55" i="16"/>
  <c r="U55" i="16" s="1"/>
  <c r="H34" i="16"/>
  <c r="U34" i="16" s="1"/>
  <c r="H35" i="16"/>
  <c r="U35" i="16" s="1"/>
  <c r="H36" i="16"/>
  <c r="U36" i="16" s="1"/>
  <c r="H37" i="16"/>
  <c r="U37" i="16" s="1"/>
  <c r="H38" i="16"/>
  <c r="U38" i="16" s="1"/>
  <c r="H39" i="16"/>
  <c r="U39" i="16" s="1"/>
  <c r="H33" i="16"/>
  <c r="H16" i="16"/>
  <c r="U16" i="16" s="1"/>
  <c r="H17" i="16"/>
  <c r="U17" i="16" s="1"/>
  <c r="H18" i="16"/>
  <c r="U18" i="16" s="1"/>
  <c r="H19" i="16"/>
  <c r="U19" i="16" s="1"/>
  <c r="H20" i="16"/>
  <c r="U20" i="16" s="1"/>
  <c r="H21" i="16"/>
  <c r="U21" i="16" s="1"/>
  <c r="H15" i="16"/>
  <c r="U15" i="16" s="1"/>
  <c r="H14" i="16"/>
  <c r="H127" i="16"/>
  <c r="H128" i="16"/>
  <c r="U128" i="16" s="1"/>
  <c r="G115" i="8"/>
  <c r="G114" i="8"/>
  <c r="H52" i="16" l="1"/>
  <c r="H63" i="16"/>
  <c r="U63" i="16" s="1"/>
  <c r="U63" i="9"/>
  <c r="U61" i="9"/>
  <c r="H61" i="16"/>
  <c r="U61" i="16" s="1"/>
  <c r="H60" i="16"/>
  <c r="U60" i="16" s="1"/>
  <c r="U60" i="9"/>
  <c r="U33" i="16"/>
  <c r="H40" i="16"/>
  <c r="U40" i="16" s="1"/>
  <c r="H59" i="16"/>
  <c r="U59" i="16" s="1"/>
  <c r="H64" i="16"/>
  <c r="U64" i="16" s="1"/>
  <c r="U64" i="9"/>
  <c r="H57" i="16"/>
  <c r="U57" i="16" s="1"/>
  <c r="U57" i="9"/>
  <c r="H62" i="16"/>
  <c r="U62" i="16" s="1"/>
  <c r="U62" i="9"/>
  <c r="U127" i="16"/>
  <c r="H130" i="16"/>
  <c r="U130" i="16" s="1"/>
  <c r="H56" i="16"/>
  <c r="U56" i="16" s="1"/>
  <c r="U56" i="9"/>
  <c r="U14" i="16"/>
  <c r="H22" i="16"/>
  <c r="I10" i="12"/>
  <c r="I11" i="8" s="1"/>
  <c r="I11" i="15" s="1"/>
  <c r="U22" i="16" l="1"/>
  <c r="H50" i="16"/>
  <c r="U52" i="16"/>
  <c r="H73" i="16"/>
  <c r="U73" i="16" s="1"/>
  <c r="G105" i="8"/>
  <c r="G99" i="8"/>
  <c r="G83" i="8"/>
  <c r="G100" i="8" s="1"/>
  <c r="G109" i="8" s="1"/>
  <c r="G68" i="8"/>
  <c r="U50" i="16" l="1"/>
  <c r="G69" i="8"/>
  <c r="F136" i="12" l="1"/>
  <c r="I107" i="12"/>
  <c r="H99" i="16" s="1"/>
  <c r="U99" i="16" s="1"/>
  <c r="I108" i="12"/>
  <c r="H100" i="16" s="1"/>
  <c r="U100" i="16" s="1"/>
  <c r="I109" i="12"/>
  <c r="H101" i="16" s="1"/>
  <c r="U101" i="16" s="1"/>
  <c r="I110" i="12"/>
  <c r="H102" i="16" s="1"/>
  <c r="U102" i="16" s="1"/>
  <c r="I111" i="12"/>
  <c r="H103" i="16" s="1"/>
  <c r="U103" i="16" s="1"/>
  <c r="I112" i="12"/>
  <c r="H104" i="16" s="1"/>
  <c r="U104" i="16" s="1"/>
  <c r="I113" i="12"/>
  <c r="H105" i="16" s="1"/>
  <c r="U105" i="16" s="1"/>
  <c r="I114" i="12"/>
  <c r="H106" i="16" s="1"/>
  <c r="U106" i="16" s="1"/>
  <c r="I115" i="12"/>
  <c r="H107" i="16" s="1"/>
  <c r="U107" i="16" s="1"/>
  <c r="I116" i="12"/>
  <c r="I117" i="12"/>
  <c r="I118" i="12"/>
  <c r="H109" i="16" s="1"/>
  <c r="U109" i="16" s="1"/>
  <c r="I119" i="12"/>
  <c r="I120" i="12"/>
  <c r="H111" i="16" s="1"/>
  <c r="U111" i="16" s="1"/>
  <c r="I121" i="12"/>
  <c r="I122" i="12"/>
  <c r="I123" i="12"/>
  <c r="H114" i="16" s="1"/>
  <c r="U114" i="16" s="1"/>
  <c r="I124" i="12"/>
  <c r="H115" i="16" s="1"/>
  <c r="U115" i="16" s="1"/>
  <c r="I125" i="12"/>
  <c r="I106" i="12"/>
  <c r="I67" i="12"/>
  <c r="I68" i="12"/>
  <c r="I69" i="12"/>
  <c r="I65" i="12"/>
  <c r="I53" i="12"/>
  <c r="I51" i="8" s="1"/>
  <c r="I51" i="15" s="1"/>
  <c r="I54" i="12"/>
  <c r="I57" i="12"/>
  <c r="I58" i="12"/>
  <c r="I59" i="12"/>
  <c r="I60" i="12"/>
  <c r="I61" i="12"/>
  <c r="I24" i="12"/>
  <c r="I27" i="8" s="1"/>
  <c r="I15" i="12"/>
  <c r="I16" i="8" s="1"/>
  <c r="I16" i="15" s="1"/>
  <c r="I16" i="12"/>
  <c r="I17" i="8" s="1"/>
  <c r="I17" i="15" s="1"/>
  <c r="I17" i="12"/>
  <c r="I18" i="8" s="1"/>
  <c r="I18" i="15" s="1"/>
  <c r="I18" i="12"/>
  <c r="I19" i="8" s="1"/>
  <c r="I19" i="15" s="1"/>
  <c r="I19" i="12"/>
  <c r="I20" i="8" s="1"/>
  <c r="I20" i="15" s="1"/>
  <c r="I131" i="12"/>
  <c r="I132" i="12"/>
  <c r="I130" i="12"/>
  <c r="H114" i="8"/>
  <c r="H116" i="8" s="1"/>
  <c r="G112" i="8"/>
  <c r="I30" i="8" l="1"/>
  <c r="I27" i="15"/>
  <c r="I30" i="15" s="1"/>
  <c r="I103" i="8"/>
  <c r="I66" i="8"/>
  <c r="I66" i="15" s="1"/>
  <c r="I55" i="8"/>
  <c r="I55" i="15" s="1"/>
  <c r="I64" i="8"/>
  <c r="I64" i="15" s="1"/>
  <c r="I67" i="8"/>
  <c r="I67" i="15" s="1"/>
  <c r="I58" i="8"/>
  <c r="I58" i="15" s="1"/>
  <c r="I57" i="8"/>
  <c r="I57" i="15" s="1"/>
  <c r="I52" i="8"/>
  <c r="I52" i="15" s="1"/>
  <c r="I59" i="15" s="1"/>
  <c r="H82" i="16"/>
  <c r="G116" i="8"/>
  <c r="I105" i="8" l="1"/>
  <c r="I103" i="15"/>
  <c r="I105" i="15" s="1"/>
  <c r="I59" i="8"/>
  <c r="U82" i="16"/>
  <c r="H83" i="16"/>
  <c r="U83" i="16" l="1"/>
  <c r="H84" i="16"/>
  <c r="U84" i="16" s="1"/>
  <c r="H8" i="16"/>
  <c r="H10" i="16" l="1"/>
  <c r="U8" i="16"/>
  <c r="I71" i="12"/>
  <c r="I72" i="12"/>
  <c r="I80" i="12"/>
  <c r="U31" i="8"/>
  <c r="U43" i="8"/>
  <c r="U49" i="8"/>
  <c r="U60" i="8"/>
  <c r="U70" i="8"/>
  <c r="U71" i="8"/>
  <c r="U72" i="8"/>
  <c r="U73" i="8"/>
  <c r="U84" i="8"/>
  <c r="U101" i="8"/>
  <c r="U102" i="8"/>
  <c r="U133" i="9"/>
  <c r="U132" i="9"/>
  <c r="U128" i="9"/>
  <c r="U122" i="9"/>
  <c r="U33" i="9"/>
  <c r="U34" i="9"/>
  <c r="U35" i="9"/>
  <c r="U36" i="9"/>
  <c r="U37" i="9"/>
  <c r="U38" i="9"/>
  <c r="U39" i="9"/>
  <c r="U32" i="9"/>
  <c r="U24" i="9"/>
  <c r="U25" i="9"/>
  <c r="U26" i="9"/>
  <c r="U27" i="9"/>
  <c r="U28" i="9"/>
  <c r="U29" i="9"/>
  <c r="U30" i="9"/>
  <c r="U23" i="9"/>
  <c r="U15" i="9"/>
  <c r="U16" i="9"/>
  <c r="U17" i="9"/>
  <c r="U18" i="9"/>
  <c r="U19" i="9"/>
  <c r="U20" i="9"/>
  <c r="U21" i="9"/>
  <c r="U14" i="9"/>
  <c r="U49" i="9"/>
  <c r="I81" i="8" l="1"/>
  <c r="H12" i="16"/>
  <c r="U12" i="16" s="1"/>
  <c r="U10" i="16"/>
  <c r="H85" i="16"/>
  <c r="U134" i="9"/>
  <c r="U118" i="9"/>
  <c r="U40" i="9"/>
  <c r="U31" i="9"/>
  <c r="U22" i="9"/>
  <c r="R112" i="8"/>
  <c r="I83" i="8" l="1"/>
  <c r="I81" i="15"/>
  <c r="I83" i="15" s="1"/>
  <c r="U85" i="16"/>
  <c r="U54" i="9"/>
  <c r="U55" i="9"/>
  <c r="U53" i="9"/>
  <c r="U52" i="9"/>
  <c r="U130" i="9"/>
  <c r="U127" i="9"/>
  <c r="U44" i="8"/>
  <c r="U62" i="8"/>
  <c r="U29" i="8"/>
  <c r="U23" i="8"/>
  <c r="U32" i="8"/>
  <c r="U22" i="8"/>
  <c r="U21" i="8"/>
  <c r="U82" i="8"/>
  <c r="U20" i="8"/>
  <c r="U41" i="8"/>
  <c r="U81" i="8"/>
  <c r="U103" i="8"/>
  <c r="U33" i="8"/>
  <c r="U27" i="8"/>
  <c r="U61" i="8"/>
  <c r="U80" i="8"/>
  <c r="U104" i="8"/>
  <c r="U89" i="9"/>
  <c r="U9" i="8"/>
  <c r="U63" i="8"/>
  <c r="U85" i="8"/>
  <c r="U74" i="8"/>
  <c r="U19" i="8"/>
  <c r="U18" i="8"/>
  <c r="U46" i="8"/>
  <c r="U67" i="8"/>
  <c r="U79" i="8"/>
  <c r="U10" i="8"/>
  <c r="U76" i="8"/>
  <c r="U24" i="8"/>
  <c r="U47" i="8"/>
  <c r="U12" i="8"/>
  <c r="U66" i="8"/>
  <c r="U64" i="8"/>
  <c r="U75" i="8"/>
  <c r="U40" i="8"/>
  <c r="U39" i="8"/>
  <c r="U38" i="8"/>
  <c r="U45" i="8"/>
  <c r="U78" i="8"/>
  <c r="U11" i="8"/>
  <c r="U34" i="8"/>
  <c r="U50" i="8"/>
  <c r="U65" i="8"/>
  <c r="U77" i="8"/>
  <c r="U105" i="8"/>
  <c r="I11" i="12"/>
  <c r="I12" i="8" s="1"/>
  <c r="I12" i="15" s="1"/>
  <c r="I12" i="12"/>
  <c r="I13" i="8" s="1"/>
  <c r="I13" i="15" s="1"/>
  <c r="I13" i="12"/>
  <c r="I14" i="8" s="1"/>
  <c r="I14" i="15" s="1"/>
  <c r="I14" i="12"/>
  <c r="I15" i="8" s="1"/>
  <c r="I15" i="15" s="1"/>
  <c r="I20" i="12"/>
  <c r="I21" i="8" s="1"/>
  <c r="I21" i="15" s="1"/>
  <c r="I21" i="12"/>
  <c r="I22" i="8" s="1"/>
  <c r="I22" i="15" s="1"/>
  <c r="I22" i="12"/>
  <c r="I23" i="8" s="1"/>
  <c r="I23" i="15" s="1"/>
  <c r="I23" i="12"/>
  <c r="I24" i="8" s="1"/>
  <c r="I24" i="15" s="1"/>
  <c r="I26" i="12"/>
  <c r="I33" i="8" s="1"/>
  <c r="I33" i="15" s="1"/>
  <c r="I27" i="12"/>
  <c r="I34" i="8" s="1"/>
  <c r="I34" i="15" s="1"/>
  <c r="I28" i="12"/>
  <c r="I35" i="8" s="1"/>
  <c r="I35" i="15" s="1"/>
  <c r="I29" i="12"/>
  <c r="I36" i="8" s="1"/>
  <c r="I36" i="15" s="1"/>
  <c r="I30" i="12"/>
  <c r="I37" i="8" s="1"/>
  <c r="I37" i="15" s="1"/>
  <c r="I31" i="12"/>
  <c r="I38" i="8" s="1"/>
  <c r="I38" i="15" s="1"/>
  <c r="I32" i="12"/>
  <c r="I39" i="8" s="1"/>
  <c r="I39" i="15" s="1"/>
  <c r="I33" i="12"/>
  <c r="I36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62" i="12"/>
  <c r="I63" i="12"/>
  <c r="I62" i="8" s="1"/>
  <c r="I62" i="15" s="1"/>
  <c r="I64" i="12"/>
  <c r="I63" i="8" s="1"/>
  <c r="I63" i="15" s="1"/>
  <c r="I128" i="12"/>
  <c r="H117" i="16" s="1"/>
  <c r="U117" i="16" s="1"/>
  <c r="I8" i="12"/>
  <c r="I84" i="12"/>
  <c r="I88" i="8" s="1"/>
  <c r="I88" i="15" s="1"/>
  <c r="I88" i="12"/>
  <c r="I89" i="12"/>
  <c r="I93" i="8" s="1"/>
  <c r="I93" i="15" s="1"/>
  <c r="I90" i="12"/>
  <c r="I94" i="8" s="1"/>
  <c r="I94" i="15" s="1"/>
  <c r="I91" i="12"/>
  <c r="I95" i="8" s="1"/>
  <c r="I95" i="15" s="1"/>
  <c r="I92" i="12"/>
  <c r="I96" i="8" s="1"/>
  <c r="I96" i="15" s="1"/>
  <c r="H97" i="16"/>
  <c r="U97" i="16" s="1"/>
  <c r="E133" i="12"/>
  <c r="D133" i="12"/>
  <c r="C133" i="12"/>
  <c r="I92" i="8" l="1"/>
  <c r="I92" i="15" s="1"/>
  <c r="I9" i="8"/>
  <c r="I61" i="8"/>
  <c r="I45" i="8"/>
  <c r="I41" i="8"/>
  <c r="U51" i="9"/>
  <c r="U50" i="9"/>
  <c r="U48" i="9"/>
  <c r="D134" i="12"/>
  <c r="U10" i="9"/>
  <c r="U25" i="8"/>
  <c r="F134" i="12"/>
  <c r="I48" i="8" l="1"/>
  <c r="I45" i="15"/>
  <c r="I48" i="15" s="1"/>
  <c r="I25" i="8"/>
  <c r="I9" i="15"/>
  <c r="I25" i="15" s="1"/>
  <c r="I68" i="8"/>
  <c r="I61" i="15"/>
  <c r="I68" i="15" s="1"/>
  <c r="I42" i="8"/>
  <c r="I41" i="15"/>
  <c r="I42" i="15" s="1"/>
  <c r="H94" i="16"/>
  <c r="U94" i="16" s="1"/>
  <c r="U73" i="9"/>
  <c r="U12" i="9"/>
  <c r="I69" i="8" l="1"/>
  <c r="I69" i="15"/>
  <c r="U119" i="9"/>
  <c r="H119" i="16"/>
  <c r="I86" i="12"/>
  <c r="Q112" i="8"/>
  <c r="I133" i="12" l="1"/>
  <c r="I90" i="8"/>
  <c r="H124" i="16"/>
  <c r="U119" i="16"/>
  <c r="I99" i="8" l="1"/>
  <c r="I100" i="8" s="1"/>
  <c r="I109" i="8" s="1"/>
  <c r="I112" i="8" s="1"/>
  <c r="I90" i="15"/>
  <c r="I99" i="15" s="1"/>
  <c r="I100" i="15" s="1"/>
  <c r="U124" i="16"/>
  <c r="H125" i="16"/>
  <c r="U125" i="16" l="1"/>
  <c r="H136" i="16"/>
  <c r="H137" i="16" s="1"/>
  <c r="I137" i="16" s="1"/>
  <c r="H134" i="12"/>
  <c r="I108" i="15" l="1"/>
  <c r="I109" i="15" s="1"/>
  <c r="I112" i="15" s="1"/>
  <c r="U136" i="16"/>
  <c r="H112" i="8"/>
  <c r="U82" i="9"/>
  <c r="U74" i="9"/>
  <c r="U88" i="9" l="1"/>
  <c r="U83" i="9"/>
  <c r="U13" i="9"/>
  <c r="U121" i="9" l="1"/>
  <c r="U59" i="8"/>
  <c r="U30" i="8"/>
  <c r="U11" i="9"/>
  <c r="U83" i="8" l="1"/>
  <c r="U99" i="8"/>
  <c r="U48" i="8"/>
  <c r="U123" i="9"/>
  <c r="U68" i="8"/>
  <c r="U42" i="8"/>
  <c r="U100" i="8" l="1"/>
  <c r="U69" i="8"/>
  <c r="U124" i="9"/>
  <c r="U84" i="9"/>
  <c r="U125" i="9" l="1"/>
  <c r="U135" i="9" l="1"/>
  <c r="S112" i="8" l="1"/>
  <c r="U112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105" authorId="0" shapeId="0" xr:uid="{4A4CC705-1AFC-42F1-B791-70F4D8565A36}">
      <text>
        <r>
          <rPr>
            <b/>
            <sz val="9"/>
            <color indexed="81"/>
            <rFont val="Tahoma"/>
            <family val="2"/>
          </rPr>
          <t>Move to 124.02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105" authorId="0" shapeId="0" xr:uid="{E4B60600-7132-4FC9-88C4-DECE8D78808F}">
      <text>
        <r>
          <rPr>
            <b/>
            <sz val="9"/>
            <color indexed="81"/>
            <rFont val="Tahoma"/>
            <family val="2"/>
          </rPr>
          <t>Move to 124.02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tc={28732A3F-6A9E-42B1-883F-3F6AC3858C9E}</author>
    <author>ASUS</author>
  </authors>
  <commentList>
    <comment ref="F65" authorId="0" shapeId="0" xr:uid="{28732A3F-6A9E-42B1-883F-3F6AC3858C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ຍອດນີ້ໄດ້ມາຈາກການຊື້ທໍ່ 800 ຢູ່ນອກມາຂາຍໃຫ້ JiCA </t>
      </text>
    </comment>
    <comment ref="H65" authorId="1" shapeId="0" xr:uid="{326A69BB-239C-40DF-AFD4-EB27D1059DB2}">
      <text>
        <r>
          <rPr>
            <b/>
            <sz val="9"/>
            <color indexed="81"/>
            <rFont val="Tahoma"/>
            <family val="2"/>
          </rPr>
          <t xml:space="preserve">
Need to Recheck with Malee ???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tc={E5340E37-23CA-41C4-9D85-2523BF32CA86}</author>
    <author>ASUS</author>
  </authors>
  <commentList>
    <comment ref="F65" authorId="0" shapeId="0" xr:uid="{E5340E37-23CA-41C4-9D85-2523BF32CA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ຍອດນີ້ໄດ້ມາຈາກການຊື້ທໍ່ 800 ຢູ່ນອກມາຂາຍໃຫ້ JiCA </t>
      </text>
    </comment>
    <comment ref="H65" authorId="1" shapeId="0" xr:uid="{5CF5F434-1AEC-4780-A3CD-AA1782C85133}">
      <text>
        <r>
          <rPr>
            <b/>
            <sz val="9"/>
            <color indexed="81"/>
            <rFont val="Tahoma"/>
            <family val="2"/>
          </rPr>
          <t xml:space="preserve">
Need to Recheck with Malee ???</t>
        </r>
      </text>
    </comment>
  </commentList>
</comments>
</file>

<file path=xl/sharedStrings.xml><?xml version="1.0" encoding="utf-8"?>
<sst xmlns="http://schemas.openxmlformats.org/spreadsheetml/2006/main" count="1017" uniqueCount="306">
  <si>
    <t>Trial Balance</t>
  </si>
  <si>
    <t>1021.01</t>
  </si>
  <si>
    <t>Customers – Accounts receivable : Goods</t>
  </si>
  <si>
    <t>Stock- Sand</t>
  </si>
  <si>
    <t>Stock -Cement</t>
  </si>
  <si>
    <t>Stock - Sika plastomix-705L</t>
  </si>
  <si>
    <t>Stock - Rock</t>
  </si>
  <si>
    <t>Stock - Sika plastocrete-N/200L</t>
  </si>
  <si>
    <t>SCG Cement</t>
  </si>
  <si>
    <t>1331.001</t>
  </si>
  <si>
    <t>Work in process-concrete</t>
  </si>
  <si>
    <t>Finished product-concrete</t>
  </si>
  <si>
    <t>Prepayments to suppliers</t>
  </si>
  <si>
    <t>State – VAT deductible on goods and services</t>
  </si>
  <si>
    <t>Buildings</t>
  </si>
  <si>
    <t>Machinery and material</t>
  </si>
  <si>
    <t>Transport equipment</t>
  </si>
  <si>
    <t>Subscribed capital – paid</t>
  </si>
  <si>
    <t>Loss carried forward</t>
  </si>
  <si>
    <t>Employees – Remuneration payable</t>
  </si>
  <si>
    <t>Social security – Employees contribution</t>
  </si>
  <si>
    <t>State – Tax collected by the entity</t>
  </si>
  <si>
    <t>State – VAT payable</t>
  </si>
  <si>
    <t>Finished Products-concrete</t>
  </si>
  <si>
    <t>Drinking water</t>
  </si>
  <si>
    <t>Car Fuel</t>
  </si>
  <si>
    <t>Accounting and Tax Advisory Services</t>
  </si>
  <si>
    <t>Security  safe guard</t>
  </si>
  <si>
    <t>Payment Car rent</t>
  </si>
  <si>
    <t>Office Maintenance</t>
  </si>
  <si>
    <t>Car repair parts</t>
  </si>
  <si>
    <t>Telephone call expenses</t>
  </si>
  <si>
    <t>Internet charges</t>
  </si>
  <si>
    <t>Travel</t>
  </si>
  <si>
    <t>Guests receipt</t>
  </si>
  <si>
    <t>Food -staff meal</t>
  </si>
  <si>
    <t>Banking fees and similar services</t>
  </si>
  <si>
    <t>Fines, grant awarded, gift and donation</t>
  </si>
  <si>
    <t>Other operating expenses</t>
  </si>
  <si>
    <t>Exchange losses</t>
  </si>
  <si>
    <t>Appropriations to depreciation on tangible fixed assets</t>
  </si>
  <si>
    <t>Sales of products - 7% VAT Charged</t>
  </si>
  <si>
    <t>Exchange gains</t>
  </si>
  <si>
    <t>Other financial revenue</t>
  </si>
  <si>
    <t>Total</t>
  </si>
  <si>
    <t>Gross Profit</t>
  </si>
  <si>
    <t>Administrative expenses</t>
  </si>
  <si>
    <t>Other expenses</t>
  </si>
  <si>
    <t>Operating Profit (Loss)</t>
  </si>
  <si>
    <t>Finance income</t>
  </si>
  <si>
    <t>Finance cost</t>
  </si>
  <si>
    <t>Profit or Loss before tax</t>
  </si>
  <si>
    <t>Other current assets</t>
  </si>
  <si>
    <t>Share capital</t>
  </si>
  <si>
    <t>Balance Sheet Report</t>
  </si>
  <si>
    <t>ASSETS</t>
  </si>
  <si>
    <t>Current Assets</t>
  </si>
  <si>
    <t>Cash and cash equivalents :-</t>
  </si>
  <si>
    <t xml:space="preserve">Total Cash and cash equivalents </t>
  </si>
  <si>
    <t>Account Receivable :-</t>
  </si>
  <si>
    <t xml:space="preserve">Total Accounts Receivable </t>
  </si>
  <si>
    <t>Inventories :-</t>
  </si>
  <si>
    <t>Stock - SikaPlastomix-F2</t>
  </si>
  <si>
    <t>Total Inventories</t>
  </si>
  <si>
    <t>Other receivables :-</t>
  </si>
  <si>
    <t>Total other receivables.</t>
  </si>
  <si>
    <t>Total current asset</t>
  </si>
  <si>
    <t>Non-current assets (II)</t>
  </si>
  <si>
    <t>Depreciation on tangible fixed assets</t>
  </si>
  <si>
    <t xml:space="preserve">Total non-current assets </t>
  </si>
  <si>
    <t xml:space="preserve">     Total Asset</t>
  </si>
  <si>
    <t>LIABILITIES &amp; EQUITY</t>
  </si>
  <si>
    <t>Liabilities</t>
  </si>
  <si>
    <t>Current Liabilities</t>
  </si>
  <si>
    <t>Account payable :-</t>
  </si>
  <si>
    <t>Suppliers-sand</t>
  </si>
  <si>
    <t>Suppliers-Rock</t>
  </si>
  <si>
    <t>Suppliers-Electricity</t>
  </si>
  <si>
    <t>Suppliers-water</t>
  </si>
  <si>
    <t>Total account payable</t>
  </si>
  <si>
    <t>Other account payable :-</t>
  </si>
  <si>
    <t>Total other account payable</t>
  </si>
  <si>
    <t xml:space="preserve">Total liabilities </t>
  </si>
  <si>
    <t>Capital and Reserves</t>
  </si>
  <si>
    <t>Total Share capital</t>
  </si>
  <si>
    <t>Profit and Loss</t>
  </si>
  <si>
    <t xml:space="preserve">As of </t>
  </si>
  <si>
    <t>Ordinary Income/Expense</t>
  </si>
  <si>
    <t>Income</t>
  </si>
  <si>
    <t>Sales Concrete</t>
  </si>
  <si>
    <t>Total Sales Concrete</t>
  </si>
  <si>
    <t>Sales discount</t>
  </si>
  <si>
    <t>Total Income</t>
  </si>
  <si>
    <t>Cost of Goods Sold</t>
  </si>
  <si>
    <t>Total Beginning balance of rawmaterials</t>
  </si>
  <si>
    <t>Total Purchase rawmaterials</t>
  </si>
  <si>
    <t xml:space="preserve"> Total Rawmatirials used</t>
  </si>
  <si>
    <t xml:space="preserve"> Total Direct materials</t>
  </si>
  <si>
    <t>Total Overhead</t>
  </si>
  <si>
    <t>Exchange rate in cost of Goods</t>
  </si>
  <si>
    <t>Total COST</t>
  </si>
  <si>
    <t>Expense</t>
  </si>
  <si>
    <t>Management consulting fee</t>
  </si>
  <si>
    <t>Total General, administrative expense</t>
  </si>
  <si>
    <t>Total Other expense</t>
  </si>
  <si>
    <t>Total expenses</t>
  </si>
  <si>
    <t>Total Financial incom</t>
  </si>
  <si>
    <t>Total Financial cost</t>
  </si>
  <si>
    <t xml:space="preserve">Beginning </t>
  </si>
  <si>
    <t>Movement</t>
  </si>
  <si>
    <t>Ending balance</t>
  </si>
  <si>
    <t>603.01</t>
  </si>
  <si>
    <t>Suppliers – Tangible fixed assets</t>
  </si>
  <si>
    <t>Adjustment Raw material used</t>
  </si>
  <si>
    <t>Account name</t>
  </si>
  <si>
    <t>Account code</t>
  </si>
  <si>
    <t>Total =&gt;</t>
  </si>
  <si>
    <t>Dec 2022</t>
  </si>
  <si>
    <t>Petty Cash - Dollar</t>
  </si>
  <si>
    <t>Bank accounts JDB-bath</t>
  </si>
  <si>
    <t>Bank accounts JDB-USD A/C 9991439</t>
  </si>
  <si>
    <t xml:space="preserve"> Food Employees (factory)</t>
  </si>
  <si>
    <t xml:space="preserve"> Vehicles , equipment and machine repared</t>
  </si>
  <si>
    <t xml:space="preserve"> Electricity</t>
  </si>
  <si>
    <t xml:space="preserve"> Water Supply (Factory)</t>
  </si>
  <si>
    <t>1331.05</t>
  </si>
  <si>
    <t xml:space="preserve"> Salaries and Benefits (Factory)</t>
  </si>
  <si>
    <t>1331.06</t>
  </si>
  <si>
    <t xml:space="preserve"> Depreciation</t>
  </si>
  <si>
    <t>1331.11</t>
  </si>
  <si>
    <t>Service expense (Factory)</t>
  </si>
  <si>
    <t>1331.15</t>
  </si>
  <si>
    <t>Factory supply</t>
  </si>
  <si>
    <t>1331.17</t>
  </si>
  <si>
    <t>1331.18</t>
  </si>
  <si>
    <t>Transport</t>
  </si>
  <si>
    <t>Personnel wages</t>
  </si>
  <si>
    <t>636.01</t>
  </si>
  <si>
    <t>1011.01</t>
  </si>
  <si>
    <t>Pertty Cash LAK</t>
  </si>
  <si>
    <t>1012.02</t>
  </si>
  <si>
    <t>Bank accounts A/c 69476001 BCEL-LAK</t>
  </si>
  <si>
    <t>1021.02</t>
  </si>
  <si>
    <t>Bank accounts (JDB-Paske) LAK</t>
  </si>
  <si>
    <t>1021.03</t>
  </si>
  <si>
    <t>Bank Account ( LDB - VT )</t>
  </si>
  <si>
    <t>1021.04</t>
  </si>
  <si>
    <t>Bank account ( JDB-VT )</t>
  </si>
  <si>
    <t>1022.01</t>
  </si>
  <si>
    <t>Bank accounts ( BCEL- Paske ) Baht</t>
  </si>
  <si>
    <t>1022.02</t>
  </si>
  <si>
    <t>Bank accounts ( BCEL-Pakse) USD</t>
  </si>
  <si>
    <t>1022.03</t>
  </si>
  <si>
    <t>Bank LDB Account ( Pakse - THB )</t>
  </si>
  <si>
    <t>1022.04</t>
  </si>
  <si>
    <t>Bank LDB Account ( Pakse - USD )</t>
  </si>
  <si>
    <t>1022.05</t>
  </si>
  <si>
    <t>1022.06</t>
  </si>
  <si>
    <t>1022.07</t>
  </si>
  <si>
    <t>Bank account (JDB- Paske )</t>
  </si>
  <si>
    <t>1022.08</t>
  </si>
  <si>
    <t>Bank-Foreign currencies Dollar (BCEL-VT)</t>
  </si>
  <si>
    <t>1022.09</t>
  </si>
  <si>
    <t>Bank-Foreign currencies BAHT( BCEL-VT)</t>
  </si>
  <si>
    <t>1331.01</t>
  </si>
  <si>
    <t>1331.02</t>
  </si>
  <si>
    <t>1331.03</t>
  </si>
  <si>
    <t>1331.04</t>
  </si>
  <si>
    <t>Consumables Factory</t>
  </si>
  <si>
    <t>Product transportation</t>
  </si>
  <si>
    <t>1331.19</t>
  </si>
  <si>
    <t>fuel factory</t>
  </si>
  <si>
    <t>1331.20</t>
  </si>
  <si>
    <t>Steel for concrete production</t>
  </si>
  <si>
    <t>Finished product</t>
  </si>
  <si>
    <t>Other debts receivable</t>
  </si>
  <si>
    <t>Prepayments to Cement</t>
  </si>
  <si>
    <t>Prepaid - Employees salary</t>
  </si>
  <si>
    <t>Prepaid - State – Specific operation with the</t>
  </si>
  <si>
    <t>Prepayments to Internet charge</t>
  </si>
  <si>
    <t>Prepaid - Payabales Interest</t>
  </si>
  <si>
    <t>Prepaid - Payabales Interest OKAYAMA</t>
  </si>
  <si>
    <t>Other tangible assets</t>
  </si>
  <si>
    <t>Capitalized Development Costs 2017</t>
  </si>
  <si>
    <t>Other intangible assets</t>
  </si>
  <si>
    <t>Premiums on share capital</t>
  </si>
  <si>
    <t>339</t>
  </si>
  <si>
    <t>Loss for the financial year</t>
  </si>
  <si>
    <t>Supplier-MANACHIT ACC Company</t>
  </si>
  <si>
    <t>Employees – Bonus and gratification</t>
  </si>
  <si>
    <t>Customers – Deferred income</t>
  </si>
  <si>
    <t>State – VAT collected</t>
  </si>
  <si>
    <t>Loan Account Debts Payabales</t>
  </si>
  <si>
    <t>Account Debts Payabales SANKO CTT</t>
  </si>
  <si>
    <t>customers – Deferred income</t>
  </si>
  <si>
    <t>Interest payable-OKAYAMA</t>
  </si>
  <si>
    <t>583.01</t>
  </si>
  <si>
    <t>Exchange Bank-to-bank</t>
  </si>
  <si>
    <t>603.02</t>
  </si>
  <si>
    <t>Finished concrete products sold</t>
  </si>
  <si>
    <t>611.01</t>
  </si>
  <si>
    <t>611.02</t>
  </si>
  <si>
    <t>611.07</t>
  </si>
  <si>
    <t>612.02</t>
  </si>
  <si>
    <t>614.01</t>
  </si>
  <si>
    <t>614.02</t>
  </si>
  <si>
    <t>621</t>
  </si>
  <si>
    <t>623.01</t>
  </si>
  <si>
    <t>623.02</t>
  </si>
  <si>
    <t>625</t>
  </si>
  <si>
    <t>Business travel, missions and receptions</t>
  </si>
  <si>
    <t>625.01</t>
  </si>
  <si>
    <t>625.02</t>
  </si>
  <si>
    <t>627</t>
  </si>
  <si>
    <t>628</t>
  </si>
  <si>
    <t>Other services</t>
  </si>
  <si>
    <t>631</t>
  </si>
  <si>
    <t>636</t>
  </si>
  <si>
    <t>Allowances</t>
  </si>
  <si>
    <t>682</t>
  </si>
  <si>
    <t>Petit Cash – Bath</t>
  </si>
  <si>
    <t>Customers – Goods</t>
  </si>
  <si>
    <t>Customers – Sale of products, goods, not yet invoiced</t>
  </si>
  <si>
    <t>Raw materials</t>
  </si>
  <si>
    <t>Stock - Sika</t>
  </si>
  <si>
    <t>Prepayments</t>
  </si>
  <si>
    <t>State – VAT credit to be carried forward</t>
  </si>
  <si>
    <t>Prepaid - Suppliers-cement</t>
  </si>
  <si>
    <t>Prepaid - Employees – Remuneration payable</t>
  </si>
  <si>
    <t>Prepaid - State – Specific operation with the state and other state</t>
  </si>
  <si>
    <t>Prepayments to Rental House</t>
  </si>
  <si>
    <t>Suppliers-Gravel</t>
  </si>
  <si>
    <t>Suppliers- CHAMPA Security</t>
  </si>
  <si>
    <t>Tokyo Consulting Co.,Ltd.  Account payable</t>
  </si>
  <si>
    <t>Social security – Employers contribution</t>
  </si>
  <si>
    <t>Account Debts Payabales</t>
  </si>
  <si>
    <t>Payabales Interest</t>
  </si>
  <si>
    <t>Payabales Interest SANKO CTT</t>
  </si>
  <si>
    <t>Sanko Laos</t>
  </si>
  <si>
    <t>SANKO LAOS</t>
  </si>
  <si>
    <t>Sales of products</t>
  </si>
  <si>
    <t>stock-Gravel</t>
  </si>
  <si>
    <t>Ending</t>
  </si>
  <si>
    <t>Materials for production</t>
  </si>
  <si>
    <t>Study tour, training and other charges</t>
  </si>
  <si>
    <t>Interest expenses</t>
  </si>
  <si>
    <t>Exchange lost</t>
  </si>
  <si>
    <t>Total Ending balance rawmaterials =&gt;</t>
  </si>
  <si>
    <t>1331.21</t>
  </si>
  <si>
    <t>Hired from Investment Conference vs 800 (Courageous)</t>
  </si>
  <si>
    <t>Adjust</t>
  </si>
  <si>
    <t>Profit (Loss) from last Year 2022</t>
  </si>
  <si>
    <t xml:space="preserve">Profit (Loss) for Current Year </t>
  </si>
  <si>
    <t>Of Month 02/2023</t>
  </si>
  <si>
    <t>1331.09</t>
  </si>
  <si>
    <t xml:space="preserve"> Social Security (Factory)</t>
  </si>
  <si>
    <t>1331.22</t>
  </si>
  <si>
    <t>Factory other Allowance</t>
  </si>
  <si>
    <t>1331.24</t>
  </si>
  <si>
    <t>Medical check annuanlly</t>
  </si>
  <si>
    <t>1331.25</t>
  </si>
  <si>
    <t>salary Tax for employee ( Factory )</t>
  </si>
  <si>
    <t>1331.26</t>
  </si>
  <si>
    <t>business trip allowance</t>
  </si>
  <si>
    <t>166</t>
  </si>
  <si>
    <t>166.01</t>
  </si>
  <si>
    <t>Tokyo Consulting Firm Sole  Co.,Ltd</t>
  </si>
  <si>
    <t>432.01</t>
  </si>
  <si>
    <t>State – VAT collected 7%</t>
  </si>
  <si>
    <t>606.06</t>
  </si>
  <si>
    <t>Other Waste</t>
  </si>
  <si>
    <t>606.07</t>
  </si>
  <si>
    <t>611.06</t>
  </si>
  <si>
    <t>QC consaulting service</t>
  </si>
  <si>
    <t>611.08</t>
  </si>
  <si>
    <t>Consulting fee of  SCL</t>
  </si>
  <si>
    <t>625.04</t>
  </si>
  <si>
    <t>626.01</t>
  </si>
  <si>
    <t>631.02</t>
  </si>
  <si>
    <t>Salary Tax for employee</t>
  </si>
  <si>
    <t>635</t>
  </si>
  <si>
    <t>Social security contribution</t>
  </si>
  <si>
    <t>638.01</t>
  </si>
  <si>
    <t>Medical check annually</t>
  </si>
  <si>
    <t xml:space="preserve">Exchange rate by Rate </t>
  </si>
  <si>
    <t>124.02</t>
  </si>
  <si>
    <t>Other receivables Advance</t>
  </si>
  <si>
    <t>Of Month 03/2023</t>
  </si>
  <si>
    <t>1331.27</t>
  </si>
  <si>
    <t>Engine Oil,Cement</t>
  </si>
  <si>
    <t>1331.28</t>
  </si>
  <si>
    <t>Tire</t>
  </si>
  <si>
    <t>1331.29</t>
  </si>
  <si>
    <t>Stock transportation</t>
  </si>
  <si>
    <t>1365.01</t>
  </si>
  <si>
    <t>Advance Pay to Economic Zone - for administration</t>
  </si>
  <si>
    <t>582</t>
  </si>
  <si>
    <t>Withdrawals from banks or national treasury to petty cash</t>
  </si>
  <si>
    <t>584</t>
  </si>
  <si>
    <t>Internal transfer of customers sttlement</t>
  </si>
  <si>
    <t>Office supply</t>
  </si>
  <si>
    <t>768.01</t>
  </si>
  <si>
    <t>Received from SCL</t>
  </si>
  <si>
    <t>Of Month Mar 2023</t>
  </si>
  <si>
    <t>Year ended on 31/03/2023</t>
  </si>
  <si>
    <t>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</si>
</sst>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B1mmm\-yy"/>
    <numFmt numFmtId="166" formatCode="_ * #,##0_ ;_ * \-#,##0_ ;_ * &quot;-&quot;_ ;_ @_ "/>
  </numFmts>
  <fonts count="35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Cambria"/>
      <family val="3"/>
      <charset val="128"/>
      <scheme val="major"/>
    </font>
    <font>
      <sz val="10"/>
      <color indexed="8"/>
      <name val="Cambria"/>
      <family val="3"/>
      <charset val="128"/>
      <scheme val="major"/>
    </font>
    <font>
      <b/>
      <sz val="12"/>
      <color indexed="8"/>
      <name val="Cambria"/>
      <family val="3"/>
      <charset val="128"/>
      <scheme val="major"/>
    </font>
    <font>
      <sz val="12"/>
      <color indexed="8"/>
      <name val="Cambria"/>
      <family val="3"/>
      <charset val="128"/>
      <scheme val="major"/>
    </font>
    <font>
      <b/>
      <sz val="12"/>
      <color rgb="FF000000"/>
      <name val="Cambria"/>
      <family val="3"/>
      <charset val="128"/>
      <scheme val="major"/>
    </font>
    <font>
      <sz val="12"/>
      <color rgb="FFFF0000"/>
      <name val="Cambria"/>
      <family val="3"/>
      <charset val="128"/>
      <scheme val="major"/>
    </font>
    <font>
      <sz val="14"/>
      <color indexed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9"/>
      <color indexed="81"/>
      <name val="Tahoma"/>
      <family val="2"/>
    </font>
    <font>
      <sz val="10"/>
      <name val="Cambria"/>
      <family val="3"/>
      <charset val="128"/>
      <scheme val="major"/>
    </font>
    <font>
      <sz val="10"/>
      <color indexed="8"/>
      <name val="Calibri"/>
      <family val="2"/>
      <scheme val="minor"/>
    </font>
    <font>
      <sz val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indexed="8"/>
      <name val="Cambria"/>
      <family val="1"/>
      <scheme val="maj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mbria"/>
      <family val="3"/>
      <charset val="128"/>
      <scheme val="major"/>
    </font>
    <font>
      <sz val="11"/>
      <color rgb="FFFF0000"/>
      <name val="Calibri"/>
      <family val="2"/>
      <scheme val="minor"/>
    </font>
    <font>
      <sz val="9"/>
      <color indexed="8"/>
      <name val="Cambria"/>
      <family val="3"/>
      <charset val="128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0">
    <xf numFmtId="0" fontId="0" fillId="0" borderId="0">
      <alignment vertical="top"/>
    </xf>
    <xf numFmtId="43" fontId="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3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6" fillId="0" borderId="0"/>
    <xf numFmtId="164" fontId="4" fillId="0" borderId="0" applyFont="0" applyFill="0" applyBorder="0" applyAlignment="0" applyProtection="0"/>
    <xf numFmtId="0" fontId="1" fillId="0" borderId="0"/>
  </cellStyleXfs>
  <cellXfs count="249">
    <xf numFmtId="0" fontId="0" fillId="0" borderId="0" xfId="0">
      <alignment vertical="top"/>
    </xf>
    <xf numFmtId="0" fontId="7" fillId="0" borderId="0" xfId="10" applyFont="1">
      <alignment vertical="top"/>
    </xf>
    <xf numFmtId="0" fontId="8" fillId="0" borderId="0" xfId="10" applyFont="1">
      <alignment vertical="top"/>
    </xf>
    <xf numFmtId="43" fontId="8" fillId="0" borderId="0" xfId="3" applyFont="1">
      <alignment vertical="top"/>
    </xf>
    <xf numFmtId="43" fontId="8" fillId="0" borderId="0" xfId="3" applyFont="1" applyFill="1">
      <alignment vertical="top"/>
    </xf>
    <xf numFmtId="0" fontId="9" fillId="0" borderId="0" xfId="10" applyFont="1" applyAlignment="1">
      <alignment vertical="top" readingOrder="1"/>
    </xf>
    <xf numFmtId="0" fontId="7" fillId="0" borderId="0" xfId="10" applyFont="1" applyAlignment="1">
      <alignment horizontal="left" vertical="top"/>
    </xf>
    <xf numFmtId="43" fontId="9" fillId="0" borderId="0" xfId="3" applyFont="1" applyAlignment="1">
      <alignment horizontal="left" vertical="top" readingOrder="1"/>
    </xf>
    <xf numFmtId="0" fontId="9" fillId="0" borderId="0" xfId="10" applyFont="1" applyAlignment="1">
      <alignment horizontal="left" vertical="top" readingOrder="1"/>
    </xf>
    <xf numFmtId="43" fontId="8" fillId="0" borderId="0" xfId="3" applyFont="1" applyBorder="1">
      <alignment vertical="top"/>
    </xf>
    <xf numFmtId="165" fontId="7" fillId="0" borderId="0" xfId="10" applyNumberFormat="1" applyFont="1">
      <alignment vertical="top"/>
    </xf>
    <xf numFmtId="4" fontId="7" fillId="0" borderId="1" xfId="3" applyNumberFormat="1" applyFont="1" applyFill="1" applyBorder="1">
      <alignment vertical="top"/>
    </xf>
    <xf numFmtId="4" fontId="8" fillId="0" borderId="0" xfId="10" applyNumberFormat="1" applyFont="1">
      <alignment vertical="top"/>
    </xf>
    <xf numFmtId="4" fontId="7" fillId="0" borderId="2" xfId="3" applyNumberFormat="1" applyFont="1" applyFill="1" applyBorder="1">
      <alignment vertical="top"/>
    </xf>
    <xf numFmtId="4" fontId="7" fillId="0" borderId="1" xfId="3" applyNumberFormat="1" applyFont="1" applyFill="1" applyBorder="1" applyAlignment="1">
      <alignment vertical="top" wrapText="1"/>
    </xf>
    <xf numFmtId="0" fontId="8" fillId="0" borderId="0" xfId="10" applyFont="1" applyAlignment="1">
      <alignment horizontal="left" vertical="top"/>
    </xf>
    <xf numFmtId="4" fontId="8" fillId="0" borderId="0" xfId="3" applyNumberFormat="1" applyFont="1" applyFill="1">
      <alignment vertical="top"/>
    </xf>
    <xf numFmtId="0" fontId="9" fillId="0" borderId="0" xfId="10" applyFont="1" applyAlignment="1"/>
    <xf numFmtId="0" fontId="10" fillId="0" borderId="0" xfId="10" applyFont="1" applyAlignment="1"/>
    <xf numFmtId="43" fontId="10" fillId="0" borderId="0" xfId="3" applyFont="1" applyAlignment="1"/>
    <xf numFmtId="43" fontId="10" fillId="0" borderId="0" xfId="3" applyFont="1" applyFill="1" applyBorder="1" applyAlignment="1"/>
    <xf numFmtId="0" fontId="10" fillId="3" borderId="0" xfId="10" applyFont="1" applyFill="1" applyAlignment="1"/>
    <xf numFmtId="49" fontId="9" fillId="0" borderId="0" xfId="10" applyNumberFormat="1" applyFont="1" applyAlignment="1"/>
    <xf numFmtId="49" fontId="9" fillId="0" borderId="0" xfId="3" applyNumberFormat="1" applyFont="1" applyFill="1" applyBorder="1" applyAlignment="1">
      <alignment horizontal="right"/>
    </xf>
    <xf numFmtId="43" fontId="10" fillId="0" borderId="0" xfId="3" applyFont="1" applyFill="1" applyAlignment="1"/>
    <xf numFmtId="43" fontId="9" fillId="0" borderId="1" xfId="3" applyFont="1" applyFill="1" applyBorder="1" applyAlignment="1"/>
    <xf numFmtId="43" fontId="11" fillId="4" borderId="1" xfId="3" applyFont="1" applyFill="1" applyBorder="1" applyAlignment="1"/>
    <xf numFmtId="43" fontId="11" fillId="0" borderId="1" xfId="3" applyFont="1" applyFill="1" applyBorder="1" applyAlignment="1"/>
    <xf numFmtId="43" fontId="9" fillId="0" borderId="3" xfId="3" applyFont="1" applyFill="1" applyBorder="1" applyAlignment="1"/>
    <xf numFmtId="39" fontId="10" fillId="0" borderId="0" xfId="10" applyNumberFormat="1" applyFont="1" applyAlignment="1"/>
    <xf numFmtId="43" fontId="12" fillId="0" borderId="0" xfId="3" applyFont="1" applyAlignment="1"/>
    <xf numFmtId="0" fontId="13" fillId="0" borderId="0" xfId="0" applyFont="1">
      <alignment vertical="top"/>
    </xf>
    <xf numFmtId="43" fontId="13" fillId="0" borderId="0" xfId="1" applyFont="1">
      <alignment vertical="top"/>
    </xf>
    <xf numFmtId="43" fontId="13" fillId="0" borderId="0" xfId="1" applyFont="1" applyAlignment="1">
      <alignment vertical="top" wrapText="1" readingOrder="1"/>
    </xf>
    <xf numFmtId="0" fontId="13" fillId="0" borderId="5" xfId="0" applyFont="1" applyBorder="1">
      <alignment vertical="top"/>
    </xf>
    <xf numFmtId="0" fontId="13" fillId="5" borderId="5" xfId="0" applyFont="1" applyFill="1" applyBorder="1">
      <alignment vertical="top"/>
    </xf>
    <xf numFmtId="39" fontId="7" fillId="0" borderId="4" xfId="10" applyNumberFormat="1" applyFont="1" applyBorder="1" applyAlignment="1">
      <alignment wrapText="1"/>
    </xf>
    <xf numFmtId="4" fontId="7" fillId="0" borderId="1" xfId="3" applyNumberFormat="1" applyFont="1" applyFill="1" applyBorder="1" applyAlignment="1">
      <alignment wrapText="1"/>
    </xf>
    <xf numFmtId="43" fontId="8" fillId="0" borderId="0" xfId="10" applyNumberFormat="1" applyFont="1">
      <alignment vertical="top"/>
    </xf>
    <xf numFmtId="43" fontId="13" fillId="0" borderId="5" xfId="1" applyFont="1" applyBorder="1">
      <alignment vertical="top"/>
    </xf>
    <xf numFmtId="43" fontId="13" fillId="0" borderId="0" xfId="0" applyNumberFormat="1" applyFont="1">
      <alignment vertical="top"/>
    </xf>
    <xf numFmtId="43" fontId="14" fillId="0" borderId="0" xfId="1" applyFont="1">
      <alignment vertical="top"/>
    </xf>
    <xf numFmtId="43" fontId="12" fillId="0" borderId="0" xfId="3" applyFont="1" applyFill="1" applyAlignment="1"/>
    <xf numFmtId="43" fontId="15" fillId="0" borderId="0" xfId="1" applyFont="1" applyAlignment="1">
      <alignment vertical="top" wrapText="1" readingOrder="1"/>
    </xf>
    <xf numFmtId="43" fontId="15" fillId="0" borderId="0" xfId="1" applyFont="1">
      <alignment vertical="top"/>
    </xf>
    <xf numFmtId="43" fontId="15" fillId="0" borderId="5" xfId="1" applyFont="1" applyBorder="1">
      <alignment vertical="top"/>
    </xf>
    <xf numFmtId="4" fontId="17" fillId="0" borderId="0" xfId="10" applyNumberFormat="1" applyFont="1">
      <alignment vertical="top"/>
    </xf>
    <xf numFmtId="0" fontId="13" fillId="0" borderId="5" xfId="0" applyFont="1" applyBorder="1" applyAlignment="1">
      <alignment horizontal="center" vertical="center"/>
    </xf>
    <xf numFmtId="43" fontId="13" fillId="0" borderId="5" xfId="1" applyFont="1" applyBorder="1" applyAlignment="1">
      <alignment horizontal="center" vertical="center"/>
    </xf>
    <xf numFmtId="43" fontId="15" fillId="0" borderId="5" xfId="1" applyFont="1" applyBorder="1" applyAlignment="1">
      <alignment horizontal="center" vertical="center"/>
    </xf>
    <xf numFmtId="43" fontId="15" fillId="5" borderId="5" xfId="1" applyFont="1" applyFill="1" applyBorder="1" applyAlignment="1">
      <alignment horizontal="center" vertical="center"/>
    </xf>
    <xf numFmtId="4" fontId="7" fillId="6" borderId="2" xfId="3" applyNumberFormat="1" applyFont="1" applyFill="1" applyBorder="1">
      <alignment vertical="top"/>
    </xf>
    <xf numFmtId="49" fontId="9" fillId="3" borderId="0" xfId="10" applyNumberFormat="1" applyFont="1" applyFill="1" applyAlignment="1">
      <alignment horizontal="center"/>
    </xf>
    <xf numFmtId="43" fontId="21" fillId="0" borderId="0" xfId="10" applyNumberFormat="1" applyFont="1">
      <alignment vertical="top"/>
    </xf>
    <xf numFmtId="43" fontId="8" fillId="6" borderId="0" xfId="10" applyNumberFormat="1" applyFont="1" applyFill="1">
      <alignment vertical="top"/>
    </xf>
    <xf numFmtId="43" fontId="8" fillId="6" borderId="0" xfId="3" applyFont="1" applyFill="1">
      <alignment vertical="top"/>
    </xf>
    <xf numFmtId="43" fontId="21" fillId="6" borderId="0" xfId="10" applyNumberFormat="1" applyFont="1" applyFill="1">
      <alignment vertical="top"/>
    </xf>
    <xf numFmtId="43" fontId="23" fillId="0" borderId="7" xfId="1" applyFont="1" applyFill="1" applyBorder="1" applyAlignment="1">
      <alignment vertical="top" wrapText="1"/>
    </xf>
    <xf numFmtId="43" fontId="23" fillId="0" borderId="7" xfId="1" applyFont="1" applyFill="1" applyBorder="1">
      <alignment vertical="top"/>
    </xf>
    <xf numFmtId="0" fontId="22" fillId="0" borderId="6" xfId="0" applyFont="1" applyBorder="1" applyAlignment="1">
      <alignment horizontal="left" vertical="top" wrapText="1"/>
    </xf>
    <xf numFmtId="0" fontId="22" fillId="0" borderId="6" xfId="0" applyFont="1" applyBorder="1" applyAlignment="1">
      <alignment vertical="top" wrapText="1"/>
    </xf>
    <xf numFmtId="43" fontId="22" fillId="0" borderId="6" xfId="1" applyFont="1" applyFill="1" applyBorder="1" applyAlignment="1">
      <alignment vertical="top" wrapText="1"/>
    </xf>
    <xf numFmtId="43" fontId="22" fillId="0" borderId="6" xfId="1" applyFont="1" applyFill="1" applyBorder="1">
      <alignment vertical="top"/>
    </xf>
    <xf numFmtId="43" fontId="23" fillId="0" borderId="8" xfId="1" applyFont="1" applyFill="1" applyBorder="1" applyAlignment="1">
      <alignment vertical="top" wrapText="1"/>
    </xf>
    <xf numFmtId="43" fontId="23" fillId="0" borderId="8" xfId="1" applyFont="1" applyFill="1" applyBorder="1">
      <alignment vertical="top"/>
    </xf>
    <xf numFmtId="0" fontId="22" fillId="0" borderId="6" xfId="0" applyFont="1" applyBorder="1">
      <alignment vertical="top"/>
    </xf>
    <xf numFmtId="0" fontId="22" fillId="0" borderId="6" xfId="0" quotePrefix="1" applyFont="1" applyBorder="1" applyAlignment="1">
      <alignment horizontal="left" vertical="top" wrapText="1"/>
    </xf>
    <xf numFmtId="0" fontId="18" fillId="0" borderId="0" xfId="10" applyFont="1" applyAlignment="1">
      <alignment horizontal="left" vertical="top" wrapText="1"/>
    </xf>
    <xf numFmtId="0" fontId="18" fillId="0" borderId="0" xfId="10" applyFont="1" applyAlignment="1">
      <alignment vertical="top" wrapText="1"/>
    </xf>
    <xf numFmtId="43" fontId="18" fillId="0" borderId="0" xfId="3" applyFont="1" applyBorder="1" applyAlignment="1">
      <alignment vertical="top" wrapText="1"/>
    </xf>
    <xf numFmtId="4" fontId="18" fillId="0" borderId="0" xfId="10" applyNumberFormat="1" applyFont="1" applyAlignment="1">
      <alignment vertical="top" wrapText="1"/>
    </xf>
    <xf numFmtId="43" fontId="18" fillId="0" borderId="0" xfId="3" applyFont="1" applyFill="1">
      <alignment vertical="top"/>
    </xf>
    <xf numFmtId="0" fontId="18" fillId="0" borderId="0" xfId="10" applyFont="1">
      <alignment vertical="top"/>
    </xf>
    <xf numFmtId="0" fontId="20" fillId="0" borderId="0" xfId="10" applyFont="1">
      <alignment vertical="top"/>
    </xf>
    <xf numFmtId="43" fontId="18" fillId="0" borderId="0" xfId="3" applyFont="1" applyBorder="1">
      <alignment vertical="top"/>
    </xf>
    <xf numFmtId="4" fontId="20" fillId="0" borderId="1" xfId="3" applyNumberFormat="1" applyFont="1" applyFill="1" applyBorder="1">
      <alignment vertical="top"/>
    </xf>
    <xf numFmtId="43" fontId="18" fillId="0" borderId="0" xfId="3" applyFont="1" applyFill="1" applyBorder="1">
      <alignment vertical="top"/>
    </xf>
    <xf numFmtId="4" fontId="20" fillId="0" borderId="0" xfId="3" applyNumberFormat="1" applyFont="1" applyFill="1" applyBorder="1">
      <alignment vertical="top"/>
    </xf>
    <xf numFmtId="4" fontId="18" fillId="0" borderId="0" xfId="3" applyNumberFormat="1" applyFont="1" applyFill="1">
      <alignment vertical="top"/>
    </xf>
    <xf numFmtId="0" fontId="20" fillId="0" borderId="0" xfId="10" applyFont="1" applyAlignment="1">
      <alignment horizontal="left" vertical="top"/>
    </xf>
    <xf numFmtId="0" fontId="20" fillId="0" borderId="0" xfId="10" applyFont="1" applyAlignment="1">
      <alignment vertical="top" wrapText="1"/>
    </xf>
    <xf numFmtId="4" fontId="20" fillId="0" borderId="1" xfId="3" applyNumberFormat="1" applyFont="1" applyFill="1" applyBorder="1" applyAlignment="1">
      <alignment vertical="top" wrapText="1"/>
    </xf>
    <xf numFmtId="4" fontId="20" fillId="0" borderId="1" xfId="3" applyNumberFormat="1" applyFont="1" applyFill="1" applyBorder="1" applyAlignment="1">
      <alignment wrapText="1"/>
    </xf>
    <xf numFmtId="0" fontId="18" fillId="0" borderId="0" xfId="10" applyFont="1" applyAlignment="1">
      <alignment horizontal="left" vertical="top"/>
    </xf>
    <xf numFmtId="4" fontId="18" fillId="0" borderId="0" xfId="3" applyNumberFormat="1" applyFont="1" applyFill="1" applyAlignment="1">
      <alignment vertical="top" wrapText="1"/>
    </xf>
    <xf numFmtId="43" fontId="18" fillId="0" borderId="0" xfId="3" applyFont="1">
      <alignment vertical="top"/>
    </xf>
    <xf numFmtId="4" fontId="18" fillId="0" borderId="0" xfId="10" applyNumberFormat="1" applyFont="1">
      <alignment vertical="top"/>
    </xf>
    <xf numFmtId="43" fontId="23" fillId="6" borderId="8" xfId="1" applyFont="1" applyFill="1" applyBorder="1" applyAlignment="1">
      <alignment vertical="top" wrapText="1"/>
    </xf>
    <xf numFmtId="4" fontId="7" fillId="5" borderId="2" xfId="3" applyNumberFormat="1" applyFont="1" applyFill="1" applyBorder="1">
      <alignment vertical="top"/>
    </xf>
    <xf numFmtId="39" fontId="7" fillId="5" borderId="4" xfId="10" applyNumberFormat="1" applyFont="1" applyFill="1" applyBorder="1" applyAlignment="1">
      <alignment wrapText="1"/>
    </xf>
    <xf numFmtId="17" fontId="9" fillId="0" borderId="0" xfId="3" applyNumberFormat="1" applyFont="1" applyFill="1" applyBorder="1" applyAlignment="1">
      <alignment horizontal="right"/>
    </xf>
    <xf numFmtId="0" fontId="24" fillId="0" borderId="0" xfId="10" applyFont="1" applyAlignment="1"/>
    <xf numFmtId="0" fontId="25" fillId="0" borderId="0" xfId="10" applyFont="1" applyAlignment="1"/>
    <xf numFmtId="43" fontId="25" fillId="0" borderId="0" xfId="3" applyFont="1" applyAlignment="1"/>
    <xf numFmtId="43" fontId="25" fillId="0" borderId="0" xfId="3" applyFont="1" applyFill="1" applyBorder="1" applyAlignment="1"/>
    <xf numFmtId="0" fontId="25" fillId="3" borderId="0" xfId="10" applyFont="1" applyFill="1" applyAlignment="1"/>
    <xf numFmtId="0" fontId="24" fillId="0" borderId="0" xfId="10" applyFont="1" applyAlignment="1">
      <alignment horizontal="left"/>
    </xf>
    <xf numFmtId="43" fontId="25" fillId="3" borderId="0" xfId="3" applyFont="1" applyFill="1" applyAlignment="1"/>
    <xf numFmtId="43" fontId="24" fillId="4" borderId="1" xfId="3" applyFont="1" applyFill="1" applyBorder="1" applyAlignment="1"/>
    <xf numFmtId="43" fontId="25" fillId="3" borderId="0" xfId="6" applyFont="1" applyFill="1" applyAlignment="1"/>
    <xf numFmtId="43" fontId="24" fillId="0" borderId="2" xfId="3" applyFont="1" applyFill="1" applyBorder="1" applyAlignment="1"/>
    <xf numFmtId="43" fontId="24" fillId="3" borderId="2" xfId="3" applyFont="1" applyFill="1" applyBorder="1" applyAlignment="1"/>
    <xf numFmtId="0" fontId="25" fillId="0" borderId="0" xfId="10" applyFont="1" applyAlignment="1">
      <alignment horizontal="left"/>
    </xf>
    <xf numFmtId="166" fontId="26" fillId="0" borderId="0" xfId="17" applyNumberFormat="1" applyFont="1"/>
    <xf numFmtId="166" fontId="25" fillId="0" borderId="0" xfId="16" applyNumberFormat="1" applyFont="1" applyAlignment="1">
      <alignment horizontal="left"/>
    </xf>
    <xf numFmtId="43" fontId="25" fillId="0" borderId="0" xfId="3" applyFont="1" applyAlignment="1">
      <alignment horizontal="left"/>
    </xf>
    <xf numFmtId="43" fontId="26" fillId="4" borderId="1" xfId="3" applyFont="1" applyFill="1" applyBorder="1" applyAlignment="1"/>
    <xf numFmtId="1" fontId="25" fillId="0" borderId="0" xfId="10" applyNumberFormat="1" applyFont="1" applyAlignment="1"/>
    <xf numFmtId="43" fontId="26" fillId="0" borderId="1" xfId="3" applyFont="1" applyFill="1" applyBorder="1" applyAlignment="1"/>
    <xf numFmtId="166" fontId="27" fillId="0" borderId="0" xfId="17" applyNumberFormat="1" applyFont="1"/>
    <xf numFmtId="43" fontId="25" fillId="0" borderId="0" xfId="6" applyFont="1" applyFill="1" applyAlignment="1"/>
    <xf numFmtId="43" fontId="28" fillId="0" borderId="0" xfId="3" applyFont="1" applyFill="1" applyAlignment="1"/>
    <xf numFmtId="43" fontId="25" fillId="0" borderId="0" xfId="3" applyFont="1" applyFill="1" applyAlignment="1"/>
    <xf numFmtId="43" fontId="25" fillId="6" borderId="0" xfId="3" applyFont="1" applyFill="1" applyAlignment="1"/>
    <xf numFmtId="43" fontId="28" fillId="0" borderId="0" xfId="3" applyFont="1" applyFill="1" applyBorder="1" applyAlignment="1"/>
    <xf numFmtId="43" fontId="25" fillId="0" borderId="0" xfId="3" applyFont="1" applyFill="1" applyAlignment="1">
      <alignment vertical="top" wrapText="1" readingOrder="1"/>
    </xf>
    <xf numFmtId="43" fontId="25" fillId="2" borderId="0" xfId="3" applyFont="1" applyFill="1" applyAlignment="1"/>
    <xf numFmtId="4" fontId="25" fillId="0" borderId="0" xfId="3" applyNumberFormat="1" applyFont="1" applyAlignment="1"/>
    <xf numFmtId="4" fontId="29" fillId="0" borderId="1" xfId="3" applyNumberFormat="1" applyFont="1" applyFill="1" applyBorder="1" applyAlignment="1"/>
    <xf numFmtId="43" fontId="24" fillId="3" borderId="9" xfId="3" applyFont="1" applyFill="1" applyBorder="1" applyAlignment="1"/>
    <xf numFmtId="43" fontId="24" fillId="0" borderId="3" xfId="3" applyFont="1" applyFill="1" applyBorder="1" applyAlignment="1"/>
    <xf numFmtId="43" fontId="24" fillId="3" borderId="1" xfId="3" applyFont="1" applyFill="1" applyBorder="1" applyAlignment="1"/>
    <xf numFmtId="43" fontId="24" fillId="0" borderId="1" xfId="3" applyFont="1" applyFill="1" applyBorder="1" applyAlignment="1"/>
    <xf numFmtId="39" fontId="25" fillId="0" borderId="0" xfId="10" applyNumberFormat="1" applyFont="1" applyAlignment="1"/>
    <xf numFmtId="43" fontId="30" fillId="0" borderId="0" xfId="3" applyFont="1" applyAlignment="1"/>
    <xf numFmtId="43" fontId="25" fillId="5" borderId="0" xfId="3" applyFont="1" applyFill="1" applyAlignment="1"/>
    <xf numFmtId="43" fontId="31" fillId="0" borderId="0" xfId="3" applyFont="1" applyFill="1" applyAlignment="1"/>
    <xf numFmtId="0" fontId="22" fillId="0" borderId="10" xfId="0" applyFont="1" applyBorder="1" applyAlignment="1">
      <alignment horizontal="left" vertical="top" wrapText="1"/>
    </xf>
    <xf numFmtId="3" fontId="8" fillId="0" borderId="0" xfId="10" applyNumberFormat="1" applyFont="1" applyAlignment="1">
      <alignment horizontal="left" vertical="top"/>
    </xf>
    <xf numFmtId="43" fontId="25" fillId="6" borderId="11" xfId="3" applyFont="1" applyFill="1" applyBorder="1" applyAlignment="1"/>
    <xf numFmtId="43" fontId="25" fillId="0" borderId="0" xfId="1" applyFont="1" applyAlignment="1"/>
    <xf numFmtId="43" fontId="9" fillId="5" borderId="1" xfId="3" applyFont="1" applyFill="1" applyBorder="1" applyAlignment="1"/>
    <xf numFmtId="43" fontId="24" fillId="6" borderId="1" xfId="3" applyFont="1" applyFill="1" applyBorder="1" applyAlignment="1"/>
    <xf numFmtId="0" fontId="25" fillId="0" borderId="0" xfId="10" applyFont="1" applyAlignment="1">
      <alignment horizontal="left" vertical="top"/>
    </xf>
    <xf numFmtId="0" fontId="25" fillId="0" borderId="12" xfId="10" applyFont="1" applyBorder="1" applyAlignment="1">
      <alignment horizontal="left" vertical="top"/>
    </xf>
    <xf numFmtId="43" fontId="9" fillId="0" borderId="2" xfId="3" applyFont="1" applyFill="1" applyBorder="1" applyAlignment="1"/>
    <xf numFmtId="43" fontId="25" fillId="6" borderId="13" xfId="3" applyFont="1" applyFill="1" applyBorder="1" applyAlignment="1"/>
    <xf numFmtId="43" fontId="15" fillId="6" borderId="13" xfId="1" applyFont="1" applyFill="1" applyBorder="1">
      <alignment vertical="top"/>
    </xf>
    <xf numFmtId="43" fontId="10" fillId="6" borderId="13" xfId="3" applyFont="1" applyFill="1" applyBorder="1" applyAlignment="1"/>
    <xf numFmtId="43" fontId="10" fillId="0" borderId="14" xfId="3" applyFont="1" applyBorder="1" applyAlignment="1"/>
    <xf numFmtId="4" fontId="18" fillId="6" borderId="3" xfId="3" applyNumberFormat="1" applyFont="1" applyFill="1" applyBorder="1">
      <alignment vertical="top"/>
    </xf>
    <xf numFmtId="43" fontId="18" fillId="6" borderId="0" xfId="3" applyFont="1" applyFill="1">
      <alignment vertical="top"/>
    </xf>
    <xf numFmtId="43" fontId="32" fillId="0" borderId="0" xfId="3" applyFont="1" applyAlignment="1"/>
    <xf numFmtId="43" fontId="18" fillId="0" borderId="3" xfId="3" applyFont="1" applyFill="1" applyBorder="1">
      <alignment vertical="top"/>
    </xf>
    <xf numFmtId="4" fontId="18" fillId="0" borderId="3" xfId="3" applyNumberFormat="1" applyFont="1" applyFill="1" applyBorder="1">
      <alignment vertical="top"/>
    </xf>
    <xf numFmtId="4" fontId="8" fillId="0" borderId="3" xfId="3" applyNumberFormat="1" applyFont="1" applyFill="1" applyBorder="1">
      <alignment vertical="top"/>
    </xf>
    <xf numFmtId="43" fontId="18" fillId="8" borderId="0" xfId="1" applyFont="1" applyFill="1">
      <alignment vertical="top"/>
    </xf>
    <xf numFmtId="43" fontId="18" fillId="8" borderId="0" xfId="3" applyFont="1" applyFill="1">
      <alignment vertical="top"/>
    </xf>
    <xf numFmtId="43" fontId="8" fillId="8" borderId="0" xfId="1" applyFont="1" applyFill="1">
      <alignment vertical="top"/>
    </xf>
    <xf numFmtId="43" fontId="8" fillId="8" borderId="0" xfId="3" applyFont="1" applyFill="1">
      <alignment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43" fontId="24" fillId="7" borderId="2" xfId="3" applyFont="1" applyFill="1" applyBorder="1" applyAlignment="1"/>
    <xf numFmtId="43" fontId="24" fillId="7" borderId="1" xfId="3" applyFont="1" applyFill="1" applyBorder="1" applyAlignment="1"/>
    <xf numFmtId="43" fontId="13" fillId="7" borderId="0" xfId="0" applyNumberFormat="1" applyFont="1" applyFill="1">
      <alignment vertical="top"/>
    </xf>
    <xf numFmtId="43" fontId="26" fillId="7" borderId="1" xfId="3" applyFont="1" applyFill="1" applyBorder="1" applyAlignment="1"/>
    <xf numFmtId="43" fontId="24" fillId="8" borderId="1" xfId="3" applyFont="1" applyFill="1" applyBorder="1" applyAlignment="1"/>
    <xf numFmtId="43" fontId="25" fillId="6" borderId="15" xfId="3" applyFont="1" applyFill="1" applyBorder="1" applyAlignment="1"/>
    <xf numFmtId="166" fontId="26" fillId="7" borderId="0" xfId="17" applyNumberFormat="1" applyFont="1" applyFill="1"/>
    <xf numFmtId="0" fontId="25" fillId="7" borderId="0" xfId="10" applyFont="1" applyFill="1" applyAlignment="1">
      <alignment horizontal="left"/>
    </xf>
    <xf numFmtId="0" fontId="25" fillId="7" borderId="0" xfId="10" applyFont="1" applyFill="1" applyAlignment="1"/>
    <xf numFmtId="43" fontId="13" fillId="9" borderId="0" xfId="0" applyNumberFormat="1" applyFont="1" applyFill="1">
      <alignment vertical="top"/>
    </xf>
    <xf numFmtId="43" fontId="26" fillId="6" borderId="9" xfId="3" applyFont="1" applyFill="1" applyBorder="1" applyAlignment="1"/>
    <xf numFmtId="43" fontId="26" fillId="6" borderId="0" xfId="3" applyFont="1" applyFill="1" applyBorder="1" applyAlignment="1"/>
    <xf numFmtId="166" fontId="26" fillId="6" borderId="15" xfId="17" applyNumberFormat="1" applyFont="1" applyFill="1" applyBorder="1"/>
    <xf numFmtId="166" fontId="25" fillId="0" borderId="16" xfId="16" applyNumberFormat="1" applyFont="1" applyBorder="1" applyAlignment="1">
      <alignment horizontal="left"/>
    </xf>
    <xf numFmtId="166" fontId="25" fillId="6" borderId="16" xfId="16" applyNumberFormat="1" applyFont="1" applyFill="1" applyBorder="1" applyAlignment="1">
      <alignment horizontal="left"/>
    </xf>
    <xf numFmtId="0" fontId="33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43" fontId="15" fillId="0" borderId="17" xfId="1" applyFont="1" applyBorder="1">
      <alignment vertical="top"/>
    </xf>
    <xf numFmtId="43" fontId="15" fillId="0" borderId="18" xfId="1" applyFont="1" applyBorder="1">
      <alignment vertical="top"/>
    </xf>
    <xf numFmtId="43" fontId="15" fillId="0" borderId="19" xfId="1" applyFont="1" applyBorder="1">
      <alignment vertical="top"/>
    </xf>
    <xf numFmtId="43" fontId="34" fillId="0" borderId="0" xfId="3" applyFont="1" applyFill="1">
      <alignment vertical="top"/>
    </xf>
    <xf numFmtId="43" fontId="34" fillId="0" borderId="0" xfId="1" applyFont="1">
      <alignment vertical="top"/>
    </xf>
    <xf numFmtId="43" fontId="18" fillId="6" borderId="0" xfId="1" applyFont="1" applyFill="1">
      <alignment vertical="top"/>
    </xf>
    <xf numFmtId="43" fontId="8" fillId="6" borderId="0" xfId="1" applyFont="1" applyFill="1">
      <alignment vertical="top"/>
    </xf>
    <xf numFmtId="0" fontId="8" fillId="6" borderId="0" xfId="10" applyFont="1" applyFill="1">
      <alignment vertical="top"/>
    </xf>
    <xf numFmtId="0" fontId="8" fillId="6" borderId="0" xfId="10" applyFont="1" applyFill="1" applyAlignment="1">
      <alignment horizontal="right" vertical="top"/>
    </xf>
    <xf numFmtId="0" fontId="25" fillId="2" borderId="0" xfId="10" applyFont="1" applyFill="1" applyAlignment="1">
      <alignment horizontal="left"/>
    </xf>
    <xf numFmtId="0" fontId="25" fillId="2" borderId="0" xfId="10" applyFont="1" applyFill="1" applyAlignment="1"/>
    <xf numFmtId="0" fontId="30" fillId="2" borderId="0" xfId="0" applyFont="1" applyFill="1" applyAlignment="1">
      <alignment horizontal="left" vertical="center" wrapText="1"/>
    </xf>
    <xf numFmtId="0" fontId="33" fillId="2" borderId="0" xfId="0" applyFont="1" applyFill="1" applyAlignment="1">
      <alignment horizontal="left" vertical="center" wrapText="1"/>
    </xf>
    <xf numFmtId="43" fontId="30" fillId="2" borderId="0" xfId="3" applyFont="1" applyFill="1" applyAlignment="1"/>
    <xf numFmtId="43" fontId="31" fillId="6" borderId="0" xfId="3" applyFont="1" applyFill="1" applyAlignment="1"/>
    <xf numFmtId="43" fontId="24" fillId="4" borderId="0" xfId="3" applyFont="1" applyFill="1" applyAlignment="1"/>
    <xf numFmtId="43" fontId="18" fillId="7" borderId="3" xfId="3" applyFont="1" applyFill="1" applyBorder="1">
      <alignment vertical="top"/>
    </xf>
    <xf numFmtId="43" fontId="24" fillId="5" borderId="1" xfId="3" applyFont="1" applyFill="1" applyBorder="1" applyAlignment="1"/>
    <xf numFmtId="43" fontId="18" fillId="0" borderId="0" xfId="1" applyFont="1" applyAlignment="1">
      <alignment vertical="top" wrapText="1"/>
    </xf>
    <xf numFmtId="0" fontId="22" fillId="0" borderId="7" xfId="0" applyFont="1" applyBorder="1" applyAlignment="1">
      <alignment vertical="top" wrapText="1"/>
    </xf>
    <xf numFmtId="43" fontId="22" fillId="0" borderId="7" xfId="1" applyFont="1" applyFill="1" applyBorder="1" applyAlignment="1">
      <alignment vertical="top" wrapText="1"/>
    </xf>
    <xf numFmtId="43" fontId="22" fillId="0" borderId="7" xfId="1" applyFont="1" applyFill="1" applyBorder="1">
      <alignment vertical="top"/>
    </xf>
    <xf numFmtId="0" fontId="22" fillId="0" borderId="23" xfId="0" applyFont="1" applyBorder="1" applyAlignment="1">
      <alignment vertical="top" wrapText="1"/>
    </xf>
    <xf numFmtId="43" fontId="22" fillId="0" borderId="23" xfId="1" applyFont="1" applyFill="1" applyBorder="1" applyAlignment="1">
      <alignment vertical="top" wrapText="1"/>
    </xf>
    <xf numFmtId="43" fontId="22" fillId="0" borderId="23" xfId="1" applyFont="1" applyFill="1" applyBorder="1">
      <alignment vertical="top"/>
    </xf>
    <xf numFmtId="43" fontId="23" fillId="0" borderId="22" xfId="1" applyFont="1" applyFill="1" applyBorder="1" applyAlignment="1">
      <alignment vertical="top" wrapText="1"/>
    </xf>
    <xf numFmtId="43" fontId="23" fillId="0" borderId="21" xfId="1" applyFont="1" applyFill="1" applyBorder="1">
      <alignment vertical="top"/>
    </xf>
    <xf numFmtId="43" fontId="15" fillId="10" borderId="5" xfId="1" applyFont="1" applyFill="1" applyBorder="1" applyAlignment="1">
      <alignment horizontal="center" vertical="center"/>
    </xf>
    <xf numFmtId="43" fontId="13" fillId="6" borderId="0" xfId="0" applyNumberFormat="1" applyFont="1" applyFill="1">
      <alignment vertical="top"/>
    </xf>
    <xf numFmtId="0" fontId="22" fillId="0" borderId="24" xfId="0" applyFont="1" applyBorder="1" applyAlignment="1">
      <alignment vertical="top" wrapText="1"/>
    </xf>
    <xf numFmtId="43" fontId="22" fillId="0" borderId="24" xfId="1" applyFont="1" applyFill="1" applyBorder="1" applyAlignment="1">
      <alignment vertical="top" wrapText="1"/>
    </xf>
    <xf numFmtId="43" fontId="22" fillId="0" borderId="24" xfId="1" applyFont="1" applyFill="1" applyBorder="1">
      <alignment vertical="top"/>
    </xf>
    <xf numFmtId="43" fontId="23" fillId="0" borderId="24" xfId="1" applyFont="1" applyFill="1" applyBorder="1" applyAlignment="1">
      <alignment vertical="top" wrapText="1"/>
    </xf>
    <xf numFmtId="43" fontId="23" fillId="0" borderId="25" xfId="1" applyFont="1" applyFill="1" applyBorder="1" applyAlignment="1">
      <alignment vertical="top" wrapText="1"/>
    </xf>
    <xf numFmtId="43" fontId="23" fillId="0" borderId="26" xfId="1" applyFont="1" applyFill="1" applyBorder="1">
      <alignment vertical="top"/>
    </xf>
    <xf numFmtId="0" fontId="24" fillId="0" borderId="0" xfId="0" applyFont="1" applyAlignment="1">
      <alignment horizontal="left" vertical="top" readingOrder="1"/>
    </xf>
    <xf numFmtId="0" fontId="24" fillId="0" borderId="0" xfId="0" applyFont="1" applyAlignment="1">
      <alignment vertical="top" readingOrder="1"/>
    </xf>
    <xf numFmtId="0" fontId="24" fillId="0" borderId="0" xfId="0" applyFont="1">
      <alignment vertical="top"/>
    </xf>
    <xf numFmtId="0" fontId="25" fillId="0" borderId="0" xfId="0" applyFont="1" applyAlignment="1">
      <alignment vertical="top" wrapText="1" readingOrder="1"/>
    </xf>
    <xf numFmtId="0" fontId="25" fillId="5" borderId="5" xfId="0" applyFont="1" applyFill="1" applyBorder="1">
      <alignment vertical="top"/>
    </xf>
    <xf numFmtId="0" fontId="25" fillId="0" borderId="5" xfId="0" applyFont="1" applyBorder="1">
      <alignment vertical="top"/>
    </xf>
    <xf numFmtId="0" fontId="25" fillId="0" borderId="0" xfId="10" applyFont="1" applyAlignment="1">
      <alignment horizontal="left" vertical="top" wrapText="1"/>
    </xf>
    <xf numFmtId="0" fontId="25" fillId="0" borderId="24" xfId="10" applyFont="1" applyBorder="1" applyAlignment="1">
      <alignment horizontal="left" vertical="top" wrapText="1"/>
    </xf>
    <xf numFmtId="0" fontId="25" fillId="0" borderId="22" xfId="10" applyFont="1" applyBorder="1" applyAlignment="1">
      <alignment horizontal="left" vertical="top" wrapText="1"/>
    </xf>
    <xf numFmtId="0" fontId="25" fillId="0" borderId="10" xfId="10" applyFont="1" applyBorder="1" applyAlignment="1">
      <alignment horizontal="left" vertical="top" wrapText="1"/>
    </xf>
    <xf numFmtId="0" fontId="25" fillId="0" borderId="5" xfId="0" applyFont="1" applyBorder="1" applyAlignment="1">
      <alignment horizontal="center" vertical="center"/>
    </xf>
    <xf numFmtId="0" fontId="25" fillId="0" borderId="0" xfId="0" applyFont="1">
      <alignment vertical="top"/>
    </xf>
    <xf numFmtId="43" fontId="26" fillId="6" borderId="1" xfId="3" applyFont="1" applyFill="1" applyBorder="1" applyAlignment="1"/>
    <xf numFmtId="43" fontId="24" fillId="9" borderId="1" xfId="3" applyFont="1" applyFill="1" applyBorder="1" applyAlignment="1"/>
    <xf numFmtId="43" fontId="34" fillId="0" borderId="0" xfId="3" applyFont="1">
      <alignment vertical="top"/>
    </xf>
    <xf numFmtId="43" fontId="18" fillId="0" borderId="0" xfId="1" applyFont="1" applyFill="1">
      <alignment vertical="top"/>
    </xf>
    <xf numFmtId="43" fontId="32" fillId="0" borderId="0" xfId="3" applyFont="1" applyFill="1" applyBorder="1" applyAlignment="1"/>
    <xf numFmtId="43" fontId="25" fillId="6" borderId="0" xfId="3" applyFont="1" applyFill="1" applyBorder="1" applyAlignment="1"/>
    <xf numFmtId="0" fontId="31" fillId="6" borderId="0" xfId="0" applyFont="1" applyFill="1" applyAlignment="1">
      <alignment horizontal="left" vertical="center" wrapText="1"/>
    </xf>
    <xf numFmtId="43" fontId="24" fillId="4" borderId="2" xfId="3" applyFont="1" applyFill="1" applyBorder="1" applyAlignment="1"/>
    <xf numFmtId="4" fontId="18" fillId="7" borderId="3" xfId="3" applyNumberFormat="1" applyFont="1" applyFill="1" applyBorder="1">
      <alignment vertical="top"/>
    </xf>
    <xf numFmtId="43" fontId="15" fillId="9" borderId="20" xfId="1" applyFont="1" applyFill="1" applyBorder="1" applyAlignment="1">
      <alignment vertical="center"/>
    </xf>
    <xf numFmtId="43" fontId="24" fillId="11" borderId="1" xfId="3" applyFont="1" applyFill="1" applyBorder="1" applyAlignment="1"/>
    <xf numFmtId="0" fontId="22" fillId="0" borderId="0" xfId="0" applyFont="1" applyAlignment="1">
      <alignment horizontal="left" vertical="top" wrapText="1"/>
    </xf>
    <xf numFmtId="0" fontId="22" fillId="6" borderId="6" xfId="0" applyFont="1" applyFill="1" applyBorder="1" applyAlignment="1">
      <alignment horizontal="left" vertical="top" wrapText="1"/>
    </xf>
    <xf numFmtId="0" fontId="22" fillId="6" borderId="6" xfId="0" applyFont="1" applyFill="1" applyBorder="1" applyAlignment="1">
      <alignment vertical="top" wrapText="1"/>
    </xf>
    <xf numFmtId="43" fontId="22" fillId="6" borderId="6" xfId="1" applyFont="1" applyFill="1" applyBorder="1">
      <alignment vertical="top"/>
    </xf>
    <xf numFmtId="43" fontId="22" fillId="6" borderId="6" xfId="1" applyFont="1" applyFill="1" applyBorder="1" applyAlignment="1">
      <alignment vertical="top" wrapText="1"/>
    </xf>
    <xf numFmtId="43" fontId="23" fillId="6" borderId="8" xfId="1" applyFont="1" applyFill="1" applyBorder="1">
      <alignment vertical="top"/>
    </xf>
    <xf numFmtId="0" fontId="25" fillId="6" borderId="0" xfId="10" applyFont="1" applyFill="1" applyAlignment="1">
      <alignment horizontal="left"/>
    </xf>
    <xf numFmtId="0" fontId="25" fillId="6" borderId="0" xfId="10" applyFont="1" applyFill="1" applyAlignment="1"/>
    <xf numFmtId="39" fontId="25" fillId="6" borderId="0" xfId="10" applyNumberFormat="1" applyFont="1" applyFill="1" applyAlignment="1"/>
    <xf numFmtId="43" fontId="13" fillId="5" borderId="5" xfId="1" applyFont="1" applyFill="1" applyBorder="1" applyAlignment="1">
      <alignment horizontal="center" vertical="top"/>
    </xf>
    <xf numFmtId="43" fontId="15" fillId="5" borderId="5" xfId="1" applyFont="1" applyFill="1" applyBorder="1" applyAlignment="1">
      <alignment horizontal="center" vertical="top"/>
    </xf>
    <xf numFmtId="3" fontId="8" fillId="0" borderId="0" xfId="10" applyNumberFormat="1" applyFont="1" applyAlignment="1">
      <alignment horizontal="left" vertical="top"/>
    </xf>
    <xf numFmtId="0" fontId="8" fillId="0" borderId="0" xfId="10" applyFont="1" applyAlignment="1">
      <alignment horizontal="left" vertical="top"/>
    </xf>
    <xf numFmtId="0" fontId="18" fillId="0" borderId="0" xfId="10" applyFont="1" applyAlignment="1">
      <alignment horizontal="left" vertical="top" wrapText="1"/>
    </xf>
    <xf numFmtId="43" fontId="13" fillId="12" borderId="0" xfId="0" applyNumberFormat="1" applyFont="1" applyFill="1">
      <alignment vertical="top"/>
    </xf>
    <xf numFmtId="43" fontId="13" fillId="5" borderId="0" xfId="0" applyNumberFormat="1" applyFont="1" applyFill="1">
      <alignment vertical="top"/>
    </xf>
    <xf numFmtId="43" fontId="15" fillId="7" borderId="5" xfId="1" applyFont="1" applyFill="1" applyBorder="1" applyAlignment="1">
      <alignment horizontal="center" vertical="center"/>
    </xf>
    <xf numFmtId="43" fontId="15" fillId="6" borderId="5" xfId="1" applyFont="1" applyFill="1" applyBorder="1" applyAlignment="1">
      <alignment horizontal="center" vertical="center"/>
    </xf>
    <xf numFmtId="43" fontId="23" fillId="7" borderId="8" xfId="1" applyFont="1" applyFill="1" applyBorder="1" applyAlignment="1">
      <alignment vertical="top" wrapText="1"/>
    </xf>
    <xf numFmtId="43" fontId="23" fillId="9" borderId="8" xfId="1" applyFont="1" applyFill="1" applyBorder="1" applyAlignment="1">
      <alignment vertical="top" wrapText="1"/>
    </xf>
    <xf numFmtId="43" fontId="25" fillId="7" borderId="0" xfId="3" applyFont="1" applyFill="1" applyAlignment="1"/>
    <xf numFmtId="43" fontId="30" fillId="7" borderId="0" xfId="3" applyFont="1" applyFill="1" applyAlignment="1"/>
  </cellXfs>
  <cellStyles count="20">
    <cellStyle name="Comma" xfId="1" builtinId="3"/>
    <cellStyle name="Comma 2" xfId="2" xr:uid="{00000000-0005-0000-0000-000001000000}"/>
    <cellStyle name="Comma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3" xfId="7" xr:uid="{00000000-0005-0000-0000-000006000000}"/>
    <cellStyle name="Comma 3 4" xfId="18" xr:uid="{B03E615B-DE03-4229-BB76-F667A6EF2AFE}"/>
    <cellStyle name="Comma 4" xfId="8" xr:uid="{00000000-0005-0000-0000-000007000000}"/>
    <cellStyle name="Normal" xfId="0" builtinId="0"/>
    <cellStyle name="Normal 18" xfId="19" xr:uid="{A07C77DC-6E6E-42D7-BEE8-34D147EFC4B1}"/>
    <cellStyle name="Normal 2" xfId="9" xr:uid="{00000000-0005-0000-0000-000009000000}"/>
    <cellStyle name="Normal 2 2" xfId="10" xr:uid="{00000000-0005-0000-0000-00000A000000}"/>
    <cellStyle name="Normal 2 3" xfId="11" xr:uid="{00000000-0005-0000-0000-00000B000000}"/>
    <cellStyle name="Normal 3" xfId="12" xr:uid="{00000000-0005-0000-0000-00000C000000}"/>
    <cellStyle name="Normal 3 2" xfId="13" xr:uid="{00000000-0005-0000-0000-00000D000000}"/>
    <cellStyle name="Normal 3 3" xfId="14" xr:uid="{00000000-0005-0000-0000-00000E000000}"/>
    <cellStyle name="Normal 4" xfId="15" xr:uid="{00000000-0005-0000-0000-00000F000000}"/>
    <cellStyle name="Normal_Book12" xfId="16" xr:uid="{00000000-0005-0000-0000-000010000000}"/>
    <cellStyle name="標準 2" xfId="17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諭" id="{224E7789-B007-4EBB-99C4-D707C60238FB}" userId="a275e4d539a36ee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5" dT="2023-02-15T07:17:30.07" personId="{224E7789-B007-4EBB-99C4-D707C60238FB}" id="{28732A3F-6A9E-42B1-883F-3F6AC3858C9E}">
    <text xml:space="preserve">ຍອດນີ້ໄດ້ມາຈາກການຊື້ທໍ່ 800 ຢູ່ນອກມາຂາຍໃຫ້ JiCA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5" dT="2023-02-15T07:17:30.07" personId="{224E7789-B007-4EBB-99C4-D707C60238FB}" id="{E5340E37-23CA-41C4-9D85-2523BF32CA86}">
    <text xml:space="preserve">ຍອດນີ້ໄດ້ມາຈາກການຊື້ທໍ່ 800 ຢູ່ນອກມາຂາຍໃຫ້ JiCA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I136"/>
  <sheetViews>
    <sheetView showGridLines="0" showOutlineSymbols="0" topLeftCell="A64" zoomScale="70" zoomScaleNormal="70" workbookViewId="0">
      <selection activeCell="B25" sqref="B25"/>
    </sheetView>
  </sheetViews>
  <sheetFormatPr defaultColWidth="6.6640625" defaultRowHeight="31.2" customHeight="1"/>
  <cols>
    <col min="1" max="1" width="22.33203125" style="215" customWidth="1"/>
    <col min="2" max="2" width="56.6640625" style="31" customWidth="1"/>
    <col min="3" max="4" width="27.44140625" style="32" customWidth="1"/>
    <col min="5" max="8" width="27.44140625" style="44" customWidth="1"/>
    <col min="9" max="9" width="28.33203125" style="31" customWidth="1"/>
    <col min="10" max="16384" width="6.6640625" style="31"/>
  </cols>
  <sheetData>
    <row r="2" spans="1:9" ht="31.2" customHeight="1">
      <c r="A2" s="204" t="s">
        <v>0</v>
      </c>
      <c r="C2" s="33"/>
      <c r="D2" s="33"/>
      <c r="E2" s="43"/>
      <c r="F2" s="43"/>
      <c r="G2" s="43"/>
    </row>
    <row r="3" spans="1:9" ht="31.2" customHeight="1">
      <c r="A3" s="205" t="s">
        <v>253</v>
      </c>
      <c r="C3" s="33"/>
      <c r="D3" s="33"/>
      <c r="E3" s="43"/>
      <c r="F3" s="43"/>
      <c r="G3" s="43"/>
    </row>
    <row r="4" spans="1:9" ht="31.2" customHeight="1">
      <c r="A4" s="206" t="s">
        <v>238</v>
      </c>
      <c r="C4" s="33"/>
      <c r="D4" s="33"/>
      <c r="E4" s="43"/>
      <c r="F4" s="43"/>
      <c r="G4" s="43"/>
    </row>
    <row r="5" spans="1:9" ht="31.2" customHeight="1">
      <c r="A5" s="207"/>
      <c r="D5" s="33"/>
      <c r="F5" s="43"/>
      <c r="H5" s="43"/>
    </row>
    <row r="6" spans="1:9" ht="31.2" customHeight="1">
      <c r="A6" s="208" t="s">
        <v>115</v>
      </c>
      <c r="B6" s="35" t="s">
        <v>114</v>
      </c>
      <c r="C6" s="236" t="s">
        <v>108</v>
      </c>
      <c r="D6" s="236"/>
      <c r="E6" s="237" t="s">
        <v>109</v>
      </c>
      <c r="F6" s="237"/>
      <c r="G6" s="237" t="s">
        <v>110</v>
      </c>
      <c r="H6" s="237"/>
    </row>
    <row r="7" spans="1:9" ht="31.2" customHeight="1">
      <c r="A7" s="209"/>
      <c r="B7" s="34"/>
      <c r="C7" s="39"/>
      <c r="D7" s="39"/>
      <c r="E7" s="45"/>
      <c r="F7" s="45"/>
      <c r="G7" s="45"/>
      <c r="H7" s="45"/>
    </row>
    <row r="8" spans="1:9" ht="31.2" customHeight="1">
      <c r="A8" s="210" t="s">
        <v>138</v>
      </c>
      <c r="B8" s="188" t="s">
        <v>139</v>
      </c>
      <c r="C8" s="189">
        <v>12733707</v>
      </c>
      <c r="D8" s="190">
        <v>0</v>
      </c>
      <c r="E8" s="57">
        <v>0</v>
      </c>
      <c r="F8" s="57">
        <v>12319000</v>
      </c>
      <c r="G8" s="57">
        <f>C8+E8-F8</f>
        <v>414707</v>
      </c>
      <c r="H8" s="58">
        <v>0</v>
      </c>
      <c r="I8" s="40">
        <f>G8</f>
        <v>414707</v>
      </c>
    </row>
    <row r="9" spans="1:9" ht="31.2" customHeight="1">
      <c r="A9" s="211">
        <v>1012.01</v>
      </c>
      <c r="B9" s="198" t="s">
        <v>220</v>
      </c>
      <c r="C9" s="199"/>
      <c r="D9" s="200"/>
      <c r="E9" s="201"/>
      <c r="F9" s="202"/>
      <c r="G9" s="63"/>
      <c r="H9" s="203"/>
      <c r="I9" s="40"/>
    </row>
    <row r="10" spans="1:9" ht="31.2" customHeight="1">
      <c r="A10" s="212" t="s">
        <v>140</v>
      </c>
      <c r="B10" s="191" t="s">
        <v>118</v>
      </c>
      <c r="C10" s="192">
        <v>1734000</v>
      </c>
      <c r="D10" s="193">
        <v>0</v>
      </c>
      <c r="E10" s="194">
        <v>0</v>
      </c>
      <c r="F10" s="194">
        <v>5814</v>
      </c>
      <c r="G10" s="63">
        <f t="shared" ref="G10:G67" si="0">C10+E10-F10</f>
        <v>1728186</v>
      </c>
      <c r="H10" s="195">
        <v>0</v>
      </c>
      <c r="I10" s="40">
        <f>G10</f>
        <v>1728186</v>
      </c>
    </row>
    <row r="11" spans="1:9" ht="31.2" customHeight="1">
      <c r="A11" s="213" t="s">
        <v>1</v>
      </c>
      <c r="B11" s="60" t="s">
        <v>141</v>
      </c>
      <c r="C11" s="61">
        <v>13112818</v>
      </c>
      <c r="D11" s="62">
        <v>0</v>
      </c>
      <c r="E11" s="63">
        <v>268408000</v>
      </c>
      <c r="F11" s="63">
        <v>258771054</v>
      </c>
      <c r="G11" s="63">
        <f t="shared" si="0"/>
        <v>22749764</v>
      </c>
      <c r="H11" s="64">
        <v>0</v>
      </c>
      <c r="I11" s="40">
        <f t="shared" ref="I11:I80" si="1">G11</f>
        <v>22749764</v>
      </c>
    </row>
    <row r="12" spans="1:9" ht="31.2" customHeight="1">
      <c r="A12" s="213" t="s">
        <v>142</v>
      </c>
      <c r="B12" s="60" t="s">
        <v>143</v>
      </c>
      <c r="C12" s="61">
        <v>877568</v>
      </c>
      <c r="D12" s="62">
        <v>0</v>
      </c>
      <c r="E12" s="63">
        <v>0</v>
      </c>
      <c r="F12" s="63">
        <v>0</v>
      </c>
      <c r="G12" s="63">
        <f t="shared" si="0"/>
        <v>877568</v>
      </c>
      <c r="H12" s="64">
        <v>0</v>
      </c>
      <c r="I12" s="40">
        <f t="shared" si="1"/>
        <v>877568</v>
      </c>
    </row>
    <row r="13" spans="1:9" ht="31.2" customHeight="1">
      <c r="A13" s="213" t="s">
        <v>144</v>
      </c>
      <c r="B13" s="65" t="s">
        <v>145</v>
      </c>
      <c r="C13" s="61">
        <v>289000</v>
      </c>
      <c r="D13" s="62">
        <v>0</v>
      </c>
      <c r="E13" s="63">
        <v>0</v>
      </c>
      <c r="F13" s="63">
        <v>0</v>
      </c>
      <c r="G13" s="63">
        <f t="shared" si="0"/>
        <v>289000</v>
      </c>
      <c r="H13" s="64">
        <v>0</v>
      </c>
      <c r="I13" s="40">
        <f t="shared" si="1"/>
        <v>289000</v>
      </c>
    </row>
    <row r="14" spans="1:9" ht="31.2" customHeight="1">
      <c r="A14" s="213" t="s">
        <v>146</v>
      </c>
      <c r="B14" s="60" t="s">
        <v>147</v>
      </c>
      <c r="C14" s="61">
        <v>500000</v>
      </c>
      <c r="D14" s="62">
        <v>0</v>
      </c>
      <c r="E14" s="63">
        <v>0</v>
      </c>
      <c r="F14" s="63">
        <v>0</v>
      </c>
      <c r="G14" s="63">
        <f t="shared" si="0"/>
        <v>500000</v>
      </c>
      <c r="H14" s="64">
        <v>0</v>
      </c>
      <c r="I14" s="40">
        <f t="shared" si="1"/>
        <v>500000</v>
      </c>
    </row>
    <row r="15" spans="1:9" ht="31.2" customHeight="1">
      <c r="A15" s="213" t="s">
        <v>148</v>
      </c>
      <c r="B15" s="60" t="s">
        <v>149</v>
      </c>
      <c r="C15" s="61">
        <v>61158715.49999994</v>
      </c>
      <c r="D15" s="62">
        <v>0</v>
      </c>
      <c r="E15" s="63">
        <v>0</v>
      </c>
      <c r="F15" s="63">
        <v>1207190.5</v>
      </c>
      <c r="G15" s="63">
        <f t="shared" si="0"/>
        <v>59951524.99999994</v>
      </c>
      <c r="H15" s="64">
        <v>0</v>
      </c>
      <c r="I15" s="40">
        <f t="shared" si="1"/>
        <v>59951524.99999994</v>
      </c>
    </row>
    <row r="16" spans="1:9" ht="31.2" customHeight="1">
      <c r="A16" s="59" t="s">
        <v>150</v>
      </c>
      <c r="B16" s="60" t="s">
        <v>151</v>
      </c>
      <c r="C16" s="61">
        <v>788307317.00000012</v>
      </c>
      <c r="D16" s="62">
        <v>0</v>
      </c>
      <c r="E16" s="63">
        <v>87306075.849999994</v>
      </c>
      <c r="F16" s="63">
        <v>373210068.7700001</v>
      </c>
      <c r="G16" s="63">
        <f t="shared" si="0"/>
        <v>502403324.08000004</v>
      </c>
      <c r="H16" s="64">
        <v>0</v>
      </c>
      <c r="I16" s="40">
        <f t="shared" si="1"/>
        <v>502403324.08000004</v>
      </c>
    </row>
    <row r="17" spans="1:9" ht="31.2" customHeight="1">
      <c r="A17" s="59" t="s">
        <v>152</v>
      </c>
      <c r="B17" s="60" t="s">
        <v>153</v>
      </c>
      <c r="C17" s="61">
        <v>5146772.1000000006</v>
      </c>
      <c r="D17" s="62">
        <v>0</v>
      </c>
      <c r="E17" s="63">
        <v>0</v>
      </c>
      <c r="F17" s="63">
        <v>0</v>
      </c>
      <c r="G17" s="63">
        <f t="shared" si="0"/>
        <v>5146772.1000000006</v>
      </c>
      <c r="H17" s="64">
        <v>0</v>
      </c>
      <c r="I17" s="40">
        <f t="shared" si="1"/>
        <v>5146772.1000000006</v>
      </c>
    </row>
    <row r="18" spans="1:9" ht="31.2" customHeight="1">
      <c r="A18" s="59" t="s">
        <v>154</v>
      </c>
      <c r="B18" s="60" t="s">
        <v>155</v>
      </c>
      <c r="C18" s="61">
        <v>111851415.48999999</v>
      </c>
      <c r="D18" s="62">
        <v>0</v>
      </c>
      <c r="E18" s="63">
        <v>0</v>
      </c>
      <c r="F18" s="63">
        <v>0</v>
      </c>
      <c r="G18" s="63">
        <f t="shared" si="0"/>
        <v>111851415.48999999</v>
      </c>
      <c r="H18" s="64">
        <v>0</v>
      </c>
      <c r="I18" s="40">
        <f t="shared" si="1"/>
        <v>111851415.48999999</v>
      </c>
    </row>
    <row r="19" spans="1:9" ht="31.2" customHeight="1">
      <c r="A19" s="59" t="s">
        <v>156</v>
      </c>
      <c r="B19" s="60" t="s">
        <v>119</v>
      </c>
      <c r="C19" s="61">
        <v>26116251.5</v>
      </c>
      <c r="D19" s="62">
        <v>0</v>
      </c>
      <c r="E19" s="63">
        <v>0</v>
      </c>
      <c r="F19" s="63">
        <v>0</v>
      </c>
      <c r="G19" s="63">
        <f t="shared" si="0"/>
        <v>26116251.5</v>
      </c>
      <c r="H19" s="64">
        <v>0</v>
      </c>
      <c r="I19" s="40">
        <f t="shared" si="1"/>
        <v>26116251.5</v>
      </c>
    </row>
    <row r="20" spans="1:9" ht="31.2" customHeight="1">
      <c r="A20" s="59" t="s">
        <v>157</v>
      </c>
      <c r="B20" s="60" t="s">
        <v>120</v>
      </c>
      <c r="C20" s="62">
        <v>6426000</v>
      </c>
      <c r="D20" s="61">
        <v>0</v>
      </c>
      <c r="E20" s="63">
        <v>0</v>
      </c>
      <c r="F20" s="63">
        <v>0</v>
      </c>
      <c r="G20" s="63">
        <f t="shared" si="0"/>
        <v>6426000</v>
      </c>
      <c r="H20" s="64">
        <v>0</v>
      </c>
      <c r="I20" s="40">
        <f t="shared" si="1"/>
        <v>6426000</v>
      </c>
    </row>
    <row r="21" spans="1:9" ht="31.2" customHeight="1">
      <c r="A21" s="59" t="s">
        <v>158</v>
      </c>
      <c r="B21" s="60" t="s">
        <v>159</v>
      </c>
      <c r="C21" s="61">
        <v>1325553.3700000001</v>
      </c>
      <c r="D21" s="62">
        <v>0</v>
      </c>
      <c r="E21" s="63">
        <v>0</v>
      </c>
      <c r="F21" s="63">
        <v>0</v>
      </c>
      <c r="G21" s="63">
        <f t="shared" si="0"/>
        <v>1325553.3700000001</v>
      </c>
      <c r="H21" s="64">
        <v>0</v>
      </c>
      <c r="I21" s="40">
        <f t="shared" si="1"/>
        <v>1325553.3700000001</v>
      </c>
    </row>
    <row r="22" spans="1:9" ht="31.2" customHeight="1">
      <c r="A22" s="59" t="s">
        <v>160</v>
      </c>
      <c r="B22" s="60" t="s">
        <v>161</v>
      </c>
      <c r="C22" s="61">
        <v>543864.51</v>
      </c>
      <c r="D22" s="62">
        <v>0</v>
      </c>
      <c r="E22" s="63">
        <v>0</v>
      </c>
      <c r="F22" s="63">
        <v>0</v>
      </c>
      <c r="G22" s="63">
        <f t="shared" si="0"/>
        <v>543864.51</v>
      </c>
      <c r="H22" s="64">
        <v>0</v>
      </c>
      <c r="I22" s="40">
        <f t="shared" si="1"/>
        <v>543864.51</v>
      </c>
    </row>
    <row r="23" spans="1:9" ht="31.2" customHeight="1">
      <c r="A23" s="59" t="s">
        <v>162</v>
      </c>
      <c r="B23" s="60" t="s">
        <v>163</v>
      </c>
      <c r="C23" s="61">
        <v>23641194.530000001</v>
      </c>
      <c r="D23" s="62">
        <v>0</v>
      </c>
      <c r="E23" s="63">
        <v>0</v>
      </c>
      <c r="F23" s="63">
        <v>0</v>
      </c>
      <c r="G23" s="63">
        <f t="shared" si="0"/>
        <v>23641194.530000001</v>
      </c>
      <c r="H23" s="64">
        <v>0</v>
      </c>
      <c r="I23" s="40">
        <f t="shared" si="1"/>
        <v>23641194.530000001</v>
      </c>
    </row>
    <row r="24" spans="1:9" ht="31.2" customHeight="1">
      <c r="A24" s="127">
        <v>1211</v>
      </c>
      <c r="B24" s="60" t="s">
        <v>2</v>
      </c>
      <c r="C24" s="61">
        <v>111894151.44000006</v>
      </c>
      <c r="D24" s="62">
        <v>0</v>
      </c>
      <c r="E24" s="63">
        <v>43140000</v>
      </c>
      <c r="F24" s="63">
        <v>0</v>
      </c>
      <c r="G24" s="63">
        <f t="shared" si="0"/>
        <v>155034151.44000006</v>
      </c>
      <c r="H24" s="64">
        <v>0</v>
      </c>
      <c r="I24" s="40">
        <f t="shared" si="1"/>
        <v>155034151.44000006</v>
      </c>
    </row>
    <row r="25" spans="1:9" ht="31.2" customHeight="1">
      <c r="A25" s="227" t="s">
        <v>285</v>
      </c>
      <c r="B25" s="60" t="s">
        <v>286</v>
      </c>
      <c r="C25" s="61">
        <v>0</v>
      </c>
      <c r="D25" s="62">
        <v>0</v>
      </c>
      <c r="E25" s="63">
        <v>45022464.469999999</v>
      </c>
      <c r="F25" s="63">
        <v>0</v>
      </c>
      <c r="G25" s="63">
        <f t="shared" si="0"/>
        <v>45022464.469999999</v>
      </c>
      <c r="H25" s="64"/>
      <c r="I25" s="40">
        <f t="shared" si="1"/>
        <v>45022464.469999999</v>
      </c>
    </row>
    <row r="26" spans="1:9" ht="31.2" customHeight="1">
      <c r="A26" s="210">
        <v>1311.02</v>
      </c>
      <c r="B26" s="60" t="s">
        <v>3</v>
      </c>
      <c r="C26" s="61">
        <v>18176174.16</v>
      </c>
      <c r="D26" s="62">
        <v>0</v>
      </c>
      <c r="E26" s="63">
        <v>0</v>
      </c>
      <c r="F26" s="63">
        <v>538428.37</v>
      </c>
      <c r="G26" s="63">
        <f t="shared" si="0"/>
        <v>17637745.789999999</v>
      </c>
      <c r="H26" s="64">
        <v>0</v>
      </c>
      <c r="I26" s="40">
        <f t="shared" si="1"/>
        <v>17637745.789999999</v>
      </c>
    </row>
    <row r="27" spans="1:9" ht="31.2" customHeight="1">
      <c r="A27" s="213">
        <v>1311.03</v>
      </c>
      <c r="B27" s="60" t="s">
        <v>4</v>
      </c>
      <c r="C27" s="61">
        <v>8202896.1900000013</v>
      </c>
      <c r="D27" s="62">
        <v>0</v>
      </c>
      <c r="E27" s="63">
        <v>0</v>
      </c>
      <c r="F27" s="63">
        <v>5276657.7300000004</v>
      </c>
      <c r="G27" s="63">
        <f t="shared" si="0"/>
        <v>2926238.4600000009</v>
      </c>
      <c r="H27" s="64">
        <v>0</v>
      </c>
      <c r="I27" s="154">
        <f t="shared" si="1"/>
        <v>2926238.4600000009</v>
      </c>
    </row>
    <row r="28" spans="1:9" ht="31.2" customHeight="1">
      <c r="A28" s="213">
        <v>1311.04</v>
      </c>
      <c r="B28" s="60" t="s">
        <v>5</v>
      </c>
      <c r="C28" s="62">
        <v>24845559.66</v>
      </c>
      <c r="D28" s="61">
        <v>0</v>
      </c>
      <c r="E28" s="63">
        <v>0</v>
      </c>
      <c r="F28" s="63">
        <v>1758877.43</v>
      </c>
      <c r="G28" s="63">
        <f t="shared" si="0"/>
        <v>23086682.23</v>
      </c>
      <c r="H28" s="64">
        <v>0</v>
      </c>
      <c r="I28" s="154">
        <f t="shared" si="1"/>
        <v>23086682.23</v>
      </c>
    </row>
    <row r="29" spans="1:9" ht="31.2" customHeight="1">
      <c r="A29" s="213">
        <v>1311.05</v>
      </c>
      <c r="B29" s="60" t="s">
        <v>6</v>
      </c>
      <c r="C29" s="61">
        <v>8209482.1100000003</v>
      </c>
      <c r="D29" s="62">
        <v>0</v>
      </c>
      <c r="E29" s="63">
        <v>0</v>
      </c>
      <c r="F29" s="63">
        <v>0</v>
      </c>
      <c r="G29" s="63">
        <f t="shared" si="0"/>
        <v>8209482.1100000003</v>
      </c>
      <c r="H29" s="64">
        <v>0</v>
      </c>
      <c r="I29" s="154">
        <f t="shared" si="1"/>
        <v>8209482.1100000003</v>
      </c>
    </row>
    <row r="30" spans="1:9" ht="31.2" customHeight="1">
      <c r="A30" s="213">
        <v>1311.06</v>
      </c>
      <c r="B30" s="60" t="s">
        <v>7</v>
      </c>
      <c r="C30" s="61">
        <v>6553419.8799999999</v>
      </c>
      <c r="D30" s="62">
        <v>0</v>
      </c>
      <c r="E30" s="63">
        <v>0</v>
      </c>
      <c r="F30" s="63">
        <v>0</v>
      </c>
      <c r="G30" s="63">
        <f t="shared" si="0"/>
        <v>6553419.8799999999</v>
      </c>
      <c r="H30" s="64">
        <v>0</v>
      </c>
      <c r="I30" s="154">
        <f t="shared" si="1"/>
        <v>6553419.8799999999</v>
      </c>
    </row>
    <row r="31" spans="1:9" ht="31.2" customHeight="1">
      <c r="A31" s="213">
        <v>1311.07</v>
      </c>
      <c r="B31" s="60" t="s">
        <v>62</v>
      </c>
      <c r="C31" s="61">
        <v>23791355.809999999</v>
      </c>
      <c r="D31" s="62">
        <v>0</v>
      </c>
      <c r="E31" s="63">
        <v>0</v>
      </c>
      <c r="F31" s="63">
        <v>261331.55</v>
      </c>
      <c r="G31" s="63">
        <f t="shared" si="0"/>
        <v>23530024.259999998</v>
      </c>
      <c r="H31" s="64">
        <v>0</v>
      </c>
      <c r="I31" s="154">
        <f t="shared" si="1"/>
        <v>23530024.259999998</v>
      </c>
    </row>
    <row r="32" spans="1:9" ht="31.2" customHeight="1">
      <c r="A32" s="213">
        <v>1311.08</v>
      </c>
      <c r="B32" s="60" t="s">
        <v>8</v>
      </c>
      <c r="C32" s="61">
        <v>5690419</v>
      </c>
      <c r="D32" s="62">
        <v>0</v>
      </c>
      <c r="E32" s="63">
        <v>0</v>
      </c>
      <c r="F32" s="63">
        <v>0</v>
      </c>
      <c r="G32" s="63">
        <f t="shared" si="0"/>
        <v>5690419</v>
      </c>
      <c r="H32" s="64">
        <v>0</v>
      </c>
      <c r="I32" s="154">
        <f t="shared" si="1"/>
        <v>5690419</v>
      </c>
    </row>
    <row r="33" spans="1:9" ht="31.2" customHeight="1">
      <c r="A33" s="213" t="s">
        <v>9</v>
      </c>
      <c r="B33" s="60" t="s">
        <v>10</v>
      </c>
      <c r="C33" s="61">
        <v>0</v>
      </c>
      <c r="D33" s="62">
        <v>0</v>
      </c>
      <c r="E33" s="63">
        <v>262986161.38000003</v>
      </c>
      <c r="F33" s="63">
        <v>262986161.38000003</v>
      </c>
      <c r="G33" s="63">
        <f t="shared" si="0"/>
        <v>0</v>
      </c>
      <c r="H33" s="64">
        <v>0</v>
      </c>
      <c r="I33" s="197">
        <f t="shared" si="1"/>
        <v>0</v>
      </c>
    </row>
    <row r="34" spans="1:9" ht="31.2" customHeight="1">
      <c r="A34" s="213" t="s">
        <v>164</v>
      </c>
      <c r="B34" s="60" t="s">
        <v>121</v>
      </c>
      <c r="C34" s="61"/>
      <c r="D34" s="62"/>
      <c r="E34" s="63"/>
      <c r="F34" s="63"/>
      <c r="G34" s="63"/>
      <c r="H34" s="64"/>
      <c r="I34" s="197"/>
    </row>
    <row r="35" spans="1:9" ht="31.2" customHeight="1">
      <c r="A35" s="213" t="s">
        <v>165</v>
      </c>
      <c r="B35" s="60" t="s">
        <v>122</v>
      </c>
      <c r="C35" s="61">
        <v>0</v>
      </c>
      <c r="D35" s="62">
        <v>0</v>
      </c>
      <c r="E35" s="87">
        <v>1448919</v>
      </c>
      <c r="F35" s="63">
        <v>1448919</v>
      </c>
      <c r="G35" s="63">
        <f t="shared" si="0"/>
        <v>0</v>
      </c>
      <c r="H35" s="64">
        <v>0</v>
      </c>
      <c r="I35" s="40"/>
    </row>
    <row r="36" spans="1:9" ht="31.2" customHeight="1">
      <c r="A36" s="213" t="s">
        <v>166</v>
      </c>
      <c r="B36" s="60" t="s">
        <v>123</v>
      </c>
      <c r="C36" s="61">
        <v>0</v>
      </c>
      <c r="D36" s="62">
        <v>0</v>
      </c>
      <c r="E36" s="87">
        <v>2964758</v>
      </c>
      <c r="F36" s="63">
        <v>2964758</v>
      </c>
      <c r="G36" s="63">
        <f t="shared" si="0"/>
        <v>0</v>
      </c>
      <c r="H36" s="64">
        <v>0</v>
      </c>
      <c r="I36" s="40">
        <f t="shared" si="1"/>
        <v>0</v>
      </c>
    </row>
    <row r="37" spans="1:9" ht="31.2" customHeight="1">
      <c r="A37" s="213" t="s">
        <v>167</v>
      </c>
      <c r="B37" s="60" t="s">
        <v>124</v>
      </c>
      <c r="C37" s="61"/>
      <c r="D37" s="62"/>
      <c r="E37" s="87"/>
      <c r="F37" s="63"/>
      <c r="G37" s="63"/>
      <c r="H37" s="64"/>
      <c r="I37" s="40"/>
    </row>
    <row r="38" spans="1:9" ht="31.2" customHeight="1">
      <c r="A38" s="59" t="s">
        <v>125</v>
      </c>
      <c r="B38" s="60" t="s">
        <v>126</v>
      </c>
      <c r="C38" s="61">
        <v>0</v>
      </c>
      <c r="D38" s="62">
        <v>0</v>
      </c>
      <c r="E38" s="87">
        <v>44481700</v>
      </c>
      <c r="F38" s="63">
        <v>44481700</v>
      </c>
      <c r="G38" s="63">
        <f t="shared" si="0"/>
        <v>0</v>
      </c>
      <c r="H38" s="64">
        <v>0</v>
      </c>
      <c r="I38" s="40">
        <f t="shared" si="1"/>
        <v>0</v>
      </c>
    </row>
    <row r="39" spans="1:9" ht="31.2" customHeight="1">
      <c r="A39" s="59" t="s">
        <v>127</v>
      </c>
      <c r="B39" s="60" t="s">
        <v>128</v>
      </c>
      <c r="C39" s="61">
        <v>0</v>
      </c>
      <c r="D39" s="62">
        <v>0</v>
      </c>
      <c r="E39" s="87">
        <v>153594195.30000001</v>
      </c>
      <c r="F39" s="63">
        <v>153594195.30000001</v>
      </c>
      <c r="G39" s="63">
        <f t="shared" si="0"/>
        <v>0</v>
      </c>
      <c r="H39" s="64">
        <v>0</v>
      </c>
      <c r="I39" s="40">
        <f t="shared" si="1"/>
        <v>0</v>
      </c>
    </row>
    <row r="40" spans="1:9" ht="31.2" customHeight="1">
      <c r="A40" s="59" t="s">
        <v>254</v>
      </c>
      <c r="B40" s="60" t="s">
        <v>255</v>
      </c>
      <c r="C40" s="61">
        <v>0</v>
      </c>
      <c r="D40" s="62">
        <v>0</v>
      </c>
      <c r="E40" s="87">
        <v>2249400</v>
      </c>
      <c r="F40" s="63">
        <v>2249400</v>
      </c>
      <c r="G40" s="63">
        <f t="shared" si="0"/>
        <v>0</v>
      </c>
      <c r="H40" s="64">
        <v>0</v>
      </c>
      <c r="I40" s="40">
        <f t="shared" si="1"/>
        <v>0</v>
      </c>
    </row>
    <row r="41" spans="1:9" ht="31.2" customHeight="1">
      <c r="A41" s="59" t="s">
        <v>129</v>
      </c>
      <c r="B41" s="60" t="s">
        <v>130</v>
      </c>
      <c r="C41" s="61">
        <v>0</v>
      </c>
      <c r="D41" s="62">
        <v>0</v>
      </c>
      <c r="E41" s="87">
        <v>4235750</v>
      </c>
      <c r="F41" s="63">
        <v>4235750</v>
      </c>
      <c r="G41" s="63">
        <f t="shared" si="0"/>
        <v>0</v>
      </c>
      <c r="H41" s="64">
        <v>0</v>
      </c>
      <c r="I41" s="40">
        <f t="shared" si="1"/>
        <v>0</v>
      </c>
    </row>
    <row r="42" spans="1:9" ht="31.2" customHeight="1">
      <c r="A42" s="59" t="s">
        <v>131</v>
      </c>
      <c r="B42" s="60" t="s">
        <v>132</v>
      </c>
      <c r="C42" s="62">
        <v>0</v>
      </c>
      <c r="D42" s="61">
        <v>0</v>
      </c>
      <c r="E42" s="87">
        <v>577836</v>
      </c>
      <c r="F42" s="63">
        <v>577836</v>
      </c>
      <c r="G42" s="63">
        <f t="shared" si="0"/>
        <v>0</v>
      </c>
      <c r="H42" s="64">
        <v>0</v>
      </c>
      <c r="I42" s="40">
        <f t="shared" si="1"/>
        <v>0</v>
      </c>
    </row>
    <row r="43" spans="1:9" ht="31.2" customHeight="1">
      <c r="A43" s="59" t="s">
        <v>133</v>
      </c>
      <c r="B43" s="60" t="s">
        <v>168</v>
      </c>
      <c r="C43" s="61">
        <v>0</v>
      </c>
      <c r="D43" s="62">
        <v>0</v>
      </c>
      <c r="E43" s="87">
        <v>507500</v>
      </c>
      <c r="F43" s="63">
        <v>507500</v>
      </c>
      <c r="G43" s="63">
        <f t="shared" si="0"/>
        <v>0</v>
      </c>
      <c r="H43" s="64">
        <v>0</v>
      </c>
      <c r="I43" s="40">
        <f t="shared" si="1"/>
        <v>0</v>
      </c>
    </row>
    <row r="44" spans="1:9" ht="31.2" customHeight="1">
      <c r="A44" s="59" t="s">
        <v>134</v>
      </c>
      <c r="B44" s="60" t="s">
        <v>169</v>
      </c>
      <c r="C44" s="61">
        <v>0</v>
      </c>
      <c r="D44" s="62">
        <v>0</v>
      </c>
      <c r="E44" s="87">
        <v>10500000</v>
      </c>
      <c r="F44" s="63">
        <v>10500000</v>
      </c>
      <c r="G44" s="63">
        <f t="shared" si="0"/>
        <v>0</v>
      </c>
      <c r="H44" s="64">
        <v>0</v>
      </c>
      <c r="I44" s="40">
        <f t="shared" si="1"/>
        <v>0</v>
      </c>
    </row>
    <row r="45" spans="1:9" ht="31.2" customHeight="1">
      <c r="A45" s="59" t="s">
        <v>170</v>
      </c>
      <c r="B45" s="60" t="s">
        <v>171</v>
      </c>
      <c r="C45" s="61">
        <v>0</v>
      </c>
      <c r="D45" s="62">
        <v>0</v>
      </c>
      <c r="E45" s="87">
        <v>16535098</v>
      </c>
      <c r="F45" s="63">
        <v>16535098</v>
      </c>
      <c r="G45" s="63">
        <f t="shared" si="0"/>
        <v>0</v>
      </c>
      <c r="H45" s="64">
        <v>0</v>
      </c>
      <c r="I45" s="40">
        <f t="shared" si="1"/>
        <v>0</v>
      </c>
    </row>
    <row r="46" spans="1:9" ht="31.2" customHeight="1">
      <c r="A46" s="59" t="s">
        <v>172</v>
      </c>
      <c r="B46" s="60" t="s">
        <v>173</v>
      </c>
      <c r="C46" s="62">
        <v>0</v>
      </c>
      <c r="D46" s="62">
        <v>0</v>
      </c>
      <c r="E46" s="87">
        <v>11275000</v>
      </c>
      <c r="F46" s="63">
        <v>11275000</v>
      </c>
      <c r="G46" s="63">
        <f t="shared" si="0"/>
        <v>0</v>
      </c>
      <c r="H46" s="64">
        <v>0</v>
      </c>
      <c r="I46" s="40">
        <f t="shared" si="1"/>
        <v>0</v>
      </c>
    </row>
    <row r="47" spans="1:9" ht="31.2" customHeight="1">
      <c r="A47" s="59" t="s">
        <v>256</v>
      </c>
      <c r="B47" s="60" t="s">
        <v>257</v>
      </c>
      <c r="C47" s="61">
        <v>0</v>
      </c>
      <c r="D47" s="62">
        <v>0</v>
      </c>
      <c r="E47" s="87">
        <v>1160000</v>
      </c>
      <c r="F47" s="63">
        <v>1160000</v>
      </c>
      <c r="G47" s="63">
        <f t="shared" si="0"/>
        <v>0</v>
      </c>
      <c r="H47" s="64">
        <v>0</v>
      </c>
      <c r="I47" s="40">
        <f t="shared" si="1"/>
        <v>0</v>
      </c>
    </row>
    <row r="48" spans="1:9" ht="31.2" customHeight="1">
      <c r="A48" s="59" t="s">
        <v>258</v>
      </c>
      <c r="B48" s="60" t="s">
        <v>259</v>
      </c>
      <c r="C48" s="61">
        <v>0</v>
      </c>
      <c r="D48" s="62">
        <v>0</v>
      </c>
      <c r="E48" s="87">
        <v>2203000</v>
      </c>
      <c r="F48" s="63">
        <v>2203000</v>
      </c>
      <c r="G48" s="63">
        <f t="shared" si="0"/>
        <v>0</v>
      </c>
      <c r="H48" s="64">
        <v>0</v>
      </c>
      <c r="I48" s="40">
        <f t="shared" si="1"/>
        <v>0</v>
      </c>
    </row>
    <row r="49" spans="1:9" ht="31.2" customHeight="1">
      <c r="A49" s="59" t="s">
        <v>260</v>
      </c>
      <c r="B49" s="60" t="s">
        <v>261</v>
      </c>
      <c r="C49" s="62">
        <v>0</v>
      </c>
      <c r="D49" s="61">
        <v>0</v>
      </c>
      <c r="E49" s="87">
        <v>2117710</v>
      </c>
      <c r="F49" s="63">
        <v>2117710</v>
      </c>
      <c r="G49" s="63">
        <f t="shared" si="0"/>
        <v>0</v>
      </c>
      <c r="H49" s="64">
        <v>0</v>
      </c>
      <c r="I49" s="40">
        <f t="shared" si="1"/>
        <v>0</v>
      </c>
    </row>
    <row r="50" spans="1:9" ht="31.2" customHeight="1">
      <c r="A50" s="59" t="s">
        <v>262</v>
      </c>
      <c r="B50" s="60" t="s">
        <v>263</v>
      </c>
      <c r="C50" s="62">
        <v>0</v>
      </c>
      <c r="D50" s="61">
        <v>0</v>
      </c>
      <c r="E50" s="87">
        <v>1300000</v>
      </c>
      <c r="F50" s="63">
        <v>1300000</v>
      </c>
      <c r="G50" s="63">
        <f t="shared" si="0"/>
        <v>0</v>
      </c>
      <c r="H50" s="64">
        <v>0</v>
      </c>
      <c r="I50" s="197">
        <f t="shared" si="1"/>
        <v>0</v>
      </c>
    </row>
    <row r="51" spans="1:9" ht="31.2" customHeight="1">
      <c r="A51" s="59">
        <v>1365.02</v>
      </c>
      <c r="B51" s="60" t="s">
        <v>174</v>
      </c>
      <c r="C51" s="61">
        <v>658390619.99999976</v>
      </c>
      <c r="D51" s="62">
        <v>0</v>
      </c>
      <c r="E51" s="87">
        <v>262986161.38000003</v>
      </c>
      <c r="F51" s="63">
        <v>282866781.38</v>
      </c>
      <c r="G51" s="63">
        <f t="shared" si="0"/>
        <v>638509999.99999976</v>
      </c>
      <c r="H51" s="64">
        <v>0</v>
      </c>
      <c r="I51" s="40">
        <f t="shared" si="1"/>
        <v>638509999.99999976</v>
      </c>
    </row>
    <row r="52" spans="1:9" ht="31.2" customHeight="1">
      <c r="A52" s="59">
        <v>148</v>
      </c>
      <c r="B52" s="60" t="s">
        <v>175</v>
      </c>
      <c r="C52" s="61">
        <v>1991596289.97</v>
      </c>
      <c r="D52" s="62">
        <v>0</v>
      </c>
      <c r="E52" s="87">
        <v>0</v>
      </c>
      <c r="F52" s="63">
        <v>204517615</v>
      </c>
      <c r="G52" s="63">
        <f t="shared" si="0"/>
        <v>1787078674.97</v>
      </c>
      <c r="H52" s="64">
        <v>0</v>
      </c>
      <c r="I52" s="40">
        <f t="shared" si="1"/>
        <v>1787078674.97</v>
      </c>
    </row>
    <row r="53" spans="1:9" ht="31.2" customHeight="1">
      <c r="A53" s="59">
        <v>1611.01</v>
      </c>
      <c r="B53" s="60" t="s">
        <v>176</v>
      </c>
      <c r="C53" s="61">
        <v>9788416</v>
      </c>
      <c r="D53" s="62">
        <v>0</v>
      </c>
      <c r="E53" s="87">
        <v>0</v>
      </c>
      <c r="F53" s="63">
        <v>0</v>
      </c>
      <c r="G53" s="63">
        <f t="shared" si="0"/>
        <v>9788416</v>
      </c>
      <c r="H53" s="64">
        <v>0</v>
      </c>
      <c r="I53" s="40">
        <f t="shared" si="1"/>
        <v>9788416</v>
      </c>
    </row>
    <row r="54" spans="1:9" ht="31.2" customHeight="1">
      <c r="A54" s="59">
        <v>1611.02</v>
      </c>
      <c r="B54" s="60" t="s">
        <v>177</v>
      </c>
      <c r="C54" s="61">
        <v>749715475.22000003</v>
      </c>
      <c r="D54" s="62">
        <v>0</v>
      </c>
      <c r="E54" s="87">
        <v>0</v>
      </c>
      <c r="F54" s="63">
        <v>0</v>
      </c>
      <c r="G54" s="63">
        <f t="shared" si="0"/>
        <v>749715475.22000003</v>
      </c>
      <c r="H54" s="64">
        <v>0</v>
      </c>
      <c r="I54" s="40">
        <f t="shared" si="1"/>
        <v>749715475.22000003</v>
      </c>
    </row>
    <row r="55" spans="1:9" ht="31.2" customHeight="1">
      <c r="A55" s="59">
        <v>1611.03</v>
      </c>
      <c r="B55" s="60" t="s">
        <v>178</v>
      </c>
      <c r="C55" s="61">
        <v>50266943</v>
      </c>
      <c r="D55" s="62">
        <v>0</v>
      </c>
      <c r="E55" s="87">
        <v>0</v>
      </c>
      <c r="F55" s="63">
        <v>0</v>
      </c>
      <c r="G55" s="63">
        <f t="shared" si="0"/>
        <v>50266943</v>
      </c>
      <c r="H55" s="64">
        <v>0</v>
      </c>
      <c r="I55" s="40">
        <f t="shared" si="1"/>
        <v>50266943</v>
      </c>
    </row>
    <row r="56" spans="1:9" ht="31.2" customHeight="1">
      <c r="A56" s="59">
        <v>1611.04</v>
      </c>
      <c r="B56" s="60" t="s">
        <v>230</v>
      </c>
      <c r="C56" s="61"/>
      <c r="D56" s="62"/>
      <c r="E56" s="87"/>
      <c r="F56" s="63"/>
      <c r="G56" s="63"/>
      <c r="H56" s="64"/>
      <c r="I56" s="40"/>
    </row>
    <row r="57" spans="1:9" ht="31.2" customHeight="1">
      <c r="A57" s="59">
        <v>1611.05</v>
      </c>
      <c r="B57" s="60" t="s">
        <v>179</v>
      </c>
      <c r="C57" s="61">
        <v>3430000</v>
      </c>
      <c r="D57" s="62">
        <v>0</v>
      </c>
      <c r="E57" s="87">
        <v>0</v>
      </c>
      <c r="F57" s="63">
        <v>490000</v>
      </c>
      <c r="G57" s="63">
        <f t="shared" si="0"/>
        <v>2940000</v>
      </c>
      <c r="H57" s="64">
        <v>0</v>
      </c>
      <c r="I57" s="40">
        <f t="shared" si="1"/>
        <v>2940000</v>
      </c>
    </row>
    <row r="58" spans="1:9" ht="31.2" customHeight="1">
      <c r="A58" s="59">
        <v>1618.01</v>
      </c>
      <c r="B58" s="60" t="s">
        <v>180</v>
      </c>
      <c r="C58" s="61">
        <v>5532533878.8999996</v>
      </c>
      <c r="D58" s="62">
        <v>0</v>
      </c>
      <c r="E58" s="87">
        <v>0</v>
      </c>
      <c r="F58" s="63">
        <v>0</v>
      </c>
      <c r="G58" s="63">
        <f t="shared" si="0"/>
        <v>5532533878.8999996</v>
      </c>
      <c r="H58" s="64">
        <v>0</v>
      </c>
      <c r="I58" s="40">
        <f t="shared" si="1"/>
        <v>5532533878.8999996</v>
      </c>
    </row>
    <row r="59" spans="1:9" ht="31.2" customHeight="1">
      <c r="A59" s="59">
        <v>1618.02</v>
      </c>
      <c r="B59" s="60" t="s">
        <v>181</v>
      </c>
      <c r="C59" s="61">
        <v>1613043084.97</v>
      </c>
      <c r="D59" s="62">
        <v>0</v>
      </c>
      <c r="E59" s="87">
        <v>0</v>
      </c>
      <c r="F59" s="63">
        <v>0</v>
      </c>
      <c r="G59" s="63">
        <f t="shared" si="0"/>
        <v>1613043084.97</v>
      </c>
      <c r="H59" s="64">
        <v>0</v>
      </c>
      <c r="I59" s="40">
        <f t="shared" si="1"/>
        <v>1613043084.97</v>
      </c>
    </row>
    <row r="60" spans="1:9" ht="31.2" customHeight="1">
      <c r="A60" s="59" t="s">
        <v>264</v>
      </c>
      <c r="B60" s="60" t="s">
        <v>13</v>
      </c>
      <c r="C60" s="61">
        <v>0</v>
      </c>
      <c r="D60" s="62">
        <v>0</v>
      </c>
      <c r="E60" s="87">
        <v>107745</v>
      </c>
      <c r="F60" s="63">
        <v>107745</v>
      </c>
      <c r="G60" s="63">
        <f t="shared" si="0"/>
        <v>0</v>
      </c>
      <c r="H60" s="64">
        <v>0</v>
      </c>
      <c r="I60" s="40">
        <f t="shared" si="1"/>
        <v>0</v>
      </c>
    </row>
    <row r="61" spans="1:9" ht="31.2" customHeight="1">
      <c r="A61" s="59" t="s">
        <v>265</v>
      </c>
      <c r="B61" s="60" t="s">
        <v>13</v>
      </c>
      <c r="C61" s="61">
        <v>0</v>
      </c>
      <c r="D61" s="62">
        <v>0</v>
      </c>
      <c r="E61" s="63">
        <v>388399</v>
      </c>
      <c r="F61" s="63">
        <v>388399</v>
      </c>
      <c r="G61" s="63">
        <f t="shared" si="0"/>
        <v>0</v>
      </c>
      <c r="H61" s="64">
        <v>0</v>
      </c>
      <c r="I61" s="40">
        <f t="shared" si="1"/>
        <v>0</v>
      </c>
    </row>
    <row r="62" spans="1:9" ht="31.2" customHeight="1">
      <c r="A62" s="59">
        <v>2412</v>
      </c>
      <c r="B62" s="60" t="s">
        <v>14</v>
      </c>
      <c r="C62" s="61">
        <v>17245641840</v>
      </c>
      <c r="D62" s="62">
        <v>0</v>
      </c>
      <c r="E62" s="63">
        <v>0</v>
      </c>
      <c r="F62" s="63">
        <v>0</v>
      </c>
      <c r="G62" s="63">
        <f t="shared" si="0"/>
        <v>17245641840</v>
      </c>
      <c r="H62" s="64">
        <v>0</v>
      </c>
      <c r="I62" s="40">
        <f t="shared" si="1"/>
        <v>17245641840</v>
      </c>
    </row>
    <row r="63" spans="1:9" ht="31.2" customHeight="1">
      <c r="A63" s="59">
        <v>2413</v>
      </c>
      <c r="B63" s="60" t="s">
        <v>15</v>
      </c>
      <c r="C63" s="61">
        <v>6483187128</v>
      </c>
      <c r="D63" s="62">
        <v>0</v>
      </c>
      <c r="E63" s="63">
        <v>0</v>
      </c>
      <c r="F63" s="63">
        <v>0</v>
      </c>
      <c r="G63" s="63">
        <f t="shared" si="0"/>
        <v>6483187128</v>
      </c>
      <c r="H63" s="64">
        <v>0</v>
      </c>
      <c r="I63" s="40">
        <f t="shared" si="1"/>
        <v>6483187128</v>
      </c>
    </row>
    <row r="64" spans="1:9" ht="31.2" customHeight="1">
      <c r="A64" s="59">
        <v>2414</v>
      </c>
      <c r="B64" s="60" t="s">
        <v>16</v>
      </c>
      <c r="C64" s="61">
        <v>2732464590</v>
      </c>
      <c r="D64" s="62">
        <v>0</v>
      </c>
      <c r="E64" s="63">
        <v>0</v>
      </c>
      <c r="F64" s="63">
        <v>0</v>
      </c>
      <c r="G64" s="63">
        <f t="shared" si="0"/>
        <v>2732464590</v>
      </c>
      <c r="H64" s="64">
        <v>0</v>
      </c>
      <c r="I64" s="40">
        <f t="shared" si="1"/>
        <v>2732464590</v>
      </c>
    </row>
    <row r="65" spans="1:9" ht="31.2" customHeight="1">
      <c r="A65" s="59">
        <v>2418</v>
      </c>
      <c r="B65" s="60" t="s">
        <v>182</v>
      </c>
      <c r="C65" s="61">
        <v>295777456</v>
      </c>
      <c r="D65" s="62">
        <v>0</v>
      </c>
      <c r="E65" s="63">
        <v>0</v>
      </c>
      <c r="F65" s="63">
        <v>0</v>
      </c>
      <c r="G65" s="63">
        <f t="shared" si="0"/>
        <v>295777456</v>
      </c>
      <c r="H65" s="64">
        <v>0</v>
      </c>
      <c r="I65" s="40">
        <f t="shared" si="1"/>
        <v>295777456</v>
      </c>
    </row>
    <row r="66" spans="1:9" ht="31.2" customHeight="1">
      <c r="A66" s="59">
        <v>2421.0100000000002</v>
      </c>
      <c r="B66" s="60" t="s">
        <v>183</v>
      </c>
      <c r="C66" s="62">
        <v>2414684067</v>
      </c>
      <c r="D66" s="61">
        <v>0</v>
      </c>
      <c r="E66" s="63">
        <v>0</v>
      </c>
      <c r="F66" s="63">
        <v>0</v>
      </c>
      <c r="G66" s="63">
        <f t="shared" si="0"/>
        <v>2414684067</v>
      </c>
      <c r="H66" s="64">
        <v>0</v>
      </c>
      <c r="I66" s="40">
        <f t="shared" si="1"/>
        <v>2414684067</v>
      </c>
    </row>
    <row r="67" spans="1:9" ht="31.2" customHeight="1">
      <c r="A67" s="59">
        <v>2428</v>
      </c>
      <c r="B67" s="60" t="s">
        <v>184</v>
      </c>
      <c r="C67" s="62">
        <v>0</v>
      </c>
      <c r="D67" s="61">
        <v>1609789374</v>
      </c>
      <c r="E67" s="63">
        <v>0</v>
      </c>
      <c r="F67" s="63">
        <v>0</v>
      </c>
      <c r="G67" s="63">
        <f t="shared" si="0"/>
        <v>0</v>
      </c>
      <c r="H67" s="64">
        <f>D67+F67-E67</f>
        <v>1609789374</v>
      </c>
      <c r="I67" s="40">
        <f t="shared" ref="I67:I70" si="2">-H67</f>
        <v>-1609789374</v>
      </c>
    </row>
    <row r="68" spans="1:9" ht="31.2" customHeight="1">
      <c r="A68" s="59">
        <v>2841</v>
      </c>
      <c r="B68" s="60" t="s">
        <v>68</v>
      </c>
      <c r="C68" s="62">
        <v>0</v>
      </c>
      <c r="D68" s="61">
        <v>13128878509</v>
      </c>
      <c r="E68" s="63">
        <v>0</v>
      </c>
      <c r="F68" s="63">
        <v>230380660.56999999</v>
      </c>
      <c r="G68" s="63">
        <v>0</v>
      </c>
      <c r="H68" s="64">
        <f t="shared" ref="H68:H70" si="3">D68+F68-E68</f>
        <v>13359259169.57</v>
      </c>
      <c r="I68" s="40">
        <f t="shared" si="2"/>
        <v>-13359259169.57</v>
      </c>
    </row>
    <row r="69" spans="1:9" ht="31.2" customHeight="1">
      <c r="A69" s="59">
        <v>303</v>
      </c>
      <c r="B69" s="60" t="s">
        <v>17</v>
      </c>
      <c r="C69" s="62">
        <v>0</v>
      </c>
      <c r="D69" s="61">
        <v>2438301000</v>
      </c>
      <c r="E69" s="63">
        <v>0</v>
      </c>
      <c r="F69" s="63">
        <v>0</v>
      </c>
      <c r="G69" s="63">
        <v>0</v>
      </c>
      <c r="H69" s="64">
        <f t="shared" si="3"/>
        <v>2438301000</v>
      </c>
      <c r="I69" s="40">
        <f t="shared" si="2"/>
        <v>-2438301000</v>
      </c>
    </row>
    <row r="70" spans="1:9" ht="31.2" customHeight="1">
      <c r="A70" s="59">
        <v>304</v>
      </c>
      <c r="B70" s="60" t="s">
        <v>185</v>
      </c>
      <c r="C70" s="62">
        <v>0</v>
      </c>
      <c r="D70" s="61">
        <v>2207179935</v>
      </c>
      <c r="E70" s="63">
        <v>0</v>
      </c>
      <c r="F70" s="63">
        <v>0</v>
      </c>
      <c r="G70" s="63">
        <v>0</v>
      </c>
      <c r="H70" s="64">
        <f t="shared" si="3"/>
        <v>2207179935</v>
      </c>
      <c r="I70" s="40">
        <f t="shared" si="2"/>
        <v>-2207179935</v>
      </c>
    </row>
    <row r="71" spans="1:9" ht="31.2" customHeight="1">
      <c r="A71" s="59">
        <v>329</v>
      </c>
      <c r="B71" s="60" t="s">
        <v>18</v>
      </c>
      <c r="C71" s="62">
        <v>14501414059.559999</v>
      </c>
      <c r="D71" s="61">
        <v>0</v>
      </c>
      <c r="E71" s="63">
        <v>0</v>
      </c>
      <c r="F71" s="63">
        <v>0</v>
      </c>
      <c r="G71" s="63">
        <f t="shared" ref="G71:G72" si="4">C71+E71-F71</f>
        <v>14501414059.559999</v>
      </c>
      <c r="H71" s="64">
        <v>0</v>
      </c>
      <c r="I71" s="40">
        <f t="shared" si="1"/>
        <v>14501414059.559999</v>
      </c>
    </row>
    <row r="72" spans="1:9" ht="31.2" customHeight="1">
      <c r="A72" s="59" t="s">
        <v>186</v>
      </c>
      <c r="B72" s="60" t="s">
        <v>187</v>
      </c>
      <c r="C72" s="62">
        <v>9991039177.6800003</v>
      </c>
      <c r="D72" s="61">
        <v>0</v>
      </c>
      <c r="E72" s="63">
        <v>0</v>
      </c>
      <c r="F72" s="63">
        <v>0</v>
      </c>
      <c r="G72" s="63">
        <f t="shared" si="4"/>
        <v>9991039177.6800003</v>
      </c>
      <c r="H72" s="64">
        <v>0</v>
      </c>
      <c r="I72" s="40">
        <f t="shared" si="1"/>
        <v>9991039177.6800003</v>
      </c>
    </row>
    <row r="73" spans="1:9" ht="31.2" customHeight="1">
      <c r="A73" s="59">
        <v>401.02</v>
      </c>
      <c r="B73" s="60" t="s">
        <v>231</v>
      </c>
      <c r="C73" s="62"/>
      <c r="D73" s="61"/>
      <c r="E73" s="63"/>
      <c r="F73" s="63"/>
      <c r="G73" s="63"/>
      <c r="H73" s="64"/>
      <c r="I73" s="40"/>
    </row>
    <row r="74" spans="1:9" ht="31.2" customHeight="1">
      <c r="A74" s="59">
        <v>401.03</v>
      </c>
      <c r="B74" s="60" t="s">
        <v>75</v>
      </c>
      <c r="C74" s="62"/>
      <c r="D74" s="61"/>
      <c r="E74" s="63"/>
      <c r="F74" s="63"/>
      <c r="G74" s="63"/>
      <c r="H74" s="64"/>
      <c r="I74" s="40"/>
    </row>
    <row r="75" spans="1:9" ht="31.2" customHeight="1">
      <c r="A75" s="59">
        <v>401.05</v>
      </c>
      <c r="B75" s="60" t="s">
        <v>76</v>
      </c>
      <c r="C75" s="62"/>
      <c r="D75" s="61"/>
      <c r="E75" s="63"/>
      <c r="F75" s="63"/>
      <c r="G75" s="63"/>
      <c r="H75" s="64"/>
      <c r="I75" s="40"/>
    </row>
    <row r="76" spans="1:9" ht="31.2" customHeight="1">
      <c r="A76" s="59">
        <v>402.01</v>
      </c>
      <c r="B76" s="60" t="s">
        <v>77</v>
      </c>
      <c r="C76" s="62"/>
      <c r="D76" s="61"/>
      <c r="E76" s="63"/>
      <c r="F76" s="63"/>
      <c r="G76" s="63"/>
      <c r="H76" s="64"/>
      <c r="I76" s="40"/>
    </row>
    <row r="77" spans="1:9" ht="31.2" customHeight="1">
      <c r="A77" s="59">
        <v>402.02</v>
      </c>
      <c r="B77" s="60" t="s">
        <v>78</v>
      </c>
      <c r="C77" s="62"/>
      <c r="D77" s="61"/>
      <c r="E77" s="63"/>
      <c r="F77" s="63"/>
      <c r="G77" s="63"/>
      <c r="H77" s="64"/>
      <c r="I77" s="40"/>
    </row>
    <row r="78" spans="1:9" ht="31.2" customHeight="1">
      <c r="A78" s="66">
        <v>402.03</v>
      </c>
      <c r="B78" s="60" t="s">
        <v>188</v>
      </c>
      <c r="C78" s="62">
        <v>0</v>
      </c>
      <c r="D78" s="61">
        <v>53950000</v>
      </c>
      <c r="E78" s="63">
        <v>53950000</v>
      </c>
      <c r="F78" s="63">
        <v>0</v>
      </c>
      <c r="G78" s="63">
        <v>0</v>
      </c>
      <c r="H78" s="64">
        <f t="shared" ref="H78:H95" si="5">D78+F78-E78</f>
        <v>0</v>
      </c>
      <c r="I78" s="40">
        <f t="shared" si="1"/>
        <v>0</v>
      </c>
    </row>
    <row r="79" spans="1:9" ht="31.2" customHeight="1">
      <c r="A79" s="66">
        <v>402.06</v>
      </c>
      <c r="B79" s="60" t="s">
        <v>232</v>
      </c>
      <c r="C79" s="62"/>
      <c r="D79" s="61"/>
      <c r="E79" s="63"/>
      <c r="F79" s="63"/>
      <c r="G79" s="63"/>
      <c r="H79" s="64"/>
      <c r="I79" s="40"/>
    </row>
    <row r="80" spans="1:9" ht="31.2" customHeight="1">
      <c r="A80" s="59">
        <v>402.07</v>
      </c>
      <c r="B80" s="60" t="s">
        <v>266</v>
      </c>
      <c r="C80" s="61">
        <v>0</v>
      </c>
      <c r="D80" s="62">
        <v>150567615</v>
      </c>
      <c r="E80" s="63">
        <v>150567615</v>
      </c>
      <c r="F80" s="63">
        <v>0</v>
      </c>
      <c r="G80" s="63">
        <v>0</v>
      </c>
      <c r="H80" s="64">
        <f t="shared" si="5"/>
        <v>0</v>
      </c>
      <c r="I80" s="40">
        <f t="shared" si="1"/>
        <v>0</v>
      </c>
    </row>
    <row r="81" spans="1:9" ht="31.2" customHeight="1">
      <c r="A81" s="59">
        <v>4201</v>
      </c>
      <c r="B81" s="60" t="s">
        <v>19</v>
      </c>
      <c r="C81" s="61">
        <v>0</v>
      </c>
      <c r="D81" s="62">
        <v>0</v>
      </c>
      <c r="E81" s="63">
        <v>0</v>
      </c>
      <c r="F81" s="63">
        <v>82244135</v>
      </c>
      <c r="G81" s="63">
        <v>0</v>
      </c>
      <c r="H81" s="64">
        <f t="shared" si="5"/>
        <v>82244135</v>
      </c>
      <c r="I81" s="40">
        <f t="shared" ref="I81:I95" si="6">-H81</f>
        <v>-82244135</v>
      </c>
    </row>
    <row r="82" spans="1:9" ht="31.2" customHeight="1">
      <c r="A82" s="59">
        <v>4202</v>
      </c>
      <c r="B82" s="60" t="s">
        <v>189</v>
      </c>
      <c r="C82" s="61"/>
      <c r="D82" s="62"/>
      <c r="E82" s="63"/>
      <c r="F82" s="63"/>
      <c r="G82" s="63"/>
      <c r="H82" s="64"/>
      <c r="I82" s="40"/>
    </row>
    <row r="83" spans="1:9" ht="31.2" customHeight="1">
      <c r="A83" s="59">
        <v>4211</v>
      </c>
      <c r="B83" s="60" t="s">
        <v>190</v>
      </c>
      <c r="C83" s="61"/>
      <c r="D83" s="62"/>
      <c r="E83" s="63"/>
      <c r="F83" s="63"/>
      <c r="G83" s="63"/>
      <c r="H83" s="64"/>
      <c r="I83" s="40"/>
    </row>
    <row r="84" spans="1:9" ht="31.2" customHeight="1">
      <c r="A84" s="59">
        <v>4221</v>
      </c>
      <c r="B84" s="60" t="s">
        <v>20</v>
      </c>
      <c r="C84" s="61">
        <v>0</v>
      </c>
      <c r="D84" s="62">
        <v>3251639</v>
      </c>
      <c r="E84" s="63">
        <v>3251639</v>
      </c>
      <c r="F84" s="63">
        <v>3218265</v>
      </c>
      <c r="G84" s="63">
        <v>0</v>
      </c>
      <c r="H84" s="64">
        <f t="shared" si="5"/>
        <v>3218265</v>
      </c>
      <c r="I84" s="40">
        <f t="shared" si="6"/>
        <v>-3218265</v>
      </c>
    </row>
    <row r="85" spans="1:9" ht="31.2" customHeight="1">
      <c r="A85" s="59">
        <v>4222</v>
      </c>
      <c r="B85" s="60" t="s">
        <v>234</v>
      </c>
      <c r="C85" s="61"/>
      <c r="D85" s="62"/>
      <c r="E85" s="63"/>
      <c r="F85" s="63"/>
      <c r="G85" s="63"/>
      <c r="H85" s="64"/>
      <c r="I85" s="40"/>
    </row>
    <row r="86" spans="1:9" ht="31.2" customHeight="1">
      <c r="A86" s="59">
        <v>430</v>
      </c>
      <c r="B86" s="60" t="s">
        <v>21</v>
      </c>
      <c r="C86" s="62">
        <v>0</v>
      </c>
      <c r="D86" s="61">
        <v>10645038</v>
      </c>
      <c r="E86" s="63">
        <v>10645038</v>
      </c>
      <c r="F86" s="63">
        <v>3987186.94</v>
      </c>
      <c r="G86" s="63">
        <v>0</v>
      </c>
      <c r="H86" s="64">
        <f t="shared" si="5"/>
        <v>3987186.9399999995</v>
      </c>
      <c r="I86" s="40">
        <f t="shared" si="6"/>
        <v>-3987186.9399999995</v>
      </c>
    </row>
    <row r="87" spans="1:9" ht="31.2" customHeight="1">
      <c r="A87" s="59" t="s">
        <v>267</v>
      </c>
      <c r="B87" s="60" t="s">
        <v>268</v>
      </c>
      <c r="C87" s="62">
        <v>0</v>
      </c>
      <c r="D87" s="61">
        <v>0</v>
      </c>
      <c r="E87" s="63">
        <v>2822240</v>
      </c>
      <c r="F87" s="63">
        <v>2822240</v>
      </c>
      <c r="G87" s="63">
        <v>0</v>
      </c>
      <c r="H87" s="64">
        <f t="shared" si="5"/>
        <v>0</v>
      </c>
      <c r="I87" s="40">
        <f t="shared" si="6"/>
        <v>0</v>
      </c>
    </row>
    <row r="88" spans="1:9" ht="31.2" customHeight="1">
      <c r="A88" s="59">
        <v>433</v>
      </c>
      <c r="B88" s="60" t="s">
        <v>22</v>
      </c>
      <c r="C88" s="62">
        <v>0</v>
      </c>
      <c r="D88" s="61">
        <v>181258150.78999999</v>
      </c>
      <c r="E88" s="63">
        <v>181258150.78999999</v>
      </c>
      <c r="F88" s="63">
        <v>2433841</v>
      </c>
      <c r="G88" s="63">
        <v>0</v>
      </c>
      <c r="H88" s="64">
        <f t="shared" si="5"/>
        <v>2433841</v>
      </c>
      <c r="I88" s="40">
        <f t="shared" si="6"/>
        <v>-2433841</v>
      </c>
    </row>
    <row r="89" spans="1:9" ht="31.2" customHeight="1">
      <c r="A89" s="59">
        <v>473.01</v>
      </c>
      <c r="B89" s="60" t="s">
        <v>192</v>
      </c>
      <c r="C89" s="62">
        <v>0</v>
      </c>
      <c r="D89" s="61">
        <v>14397442086.139999</v>
      </c>
      <c r="E89" s="63">
        <v>0</v>
      </c>
      <c r="F89" s="63">
        <v>0</v>
      </c>
      <c r="G89" s="63">
        <v>0</v>
      </c>
      <c r="H89" s="64">
        <f t="shared" si="5"/>
        <v>14397442086.139999</v>
      </c>
      <c r="I89" s="40">
        <f t="shared" si="6"/>
        <v>-14397442086.139999</v>
      </c>
    </row>
    <row r="90" spans="1:9" ht="31.2" customHeight="1">
      <c r="A90" s="59">
        <v>473.02</v>
      </c>
      <c r="B90" s="60" t="s">
        <v>192</v>
      </c>
      <c r="C90" s="62">
        <v>0</v>
      </c>
      <c r="D90" s="61">
        <v>7545447000</v>
      </c>
      <c r="E90" s="63">
        <v>0</v>
      </c>
      <c r="F90" s="63">
        <v>0</v>
      </c>
      <c r="G90" s="63">
        <v>0</v>
      </c>
      <c r="H90" s="64">
        <f t="shared" si="5"/>
        <v>7545447000</v>
      </c>
      <c r="I90" s="40">
        <f t="shared" si="6"/>
        <v>-7545447000</v>
      </c>
    </row>
    <row r="91" spans="1:9" ht="31.2" customHeight="1">
      <c r="A91" s="59">
        <v>473.03</v>
      </c>
      <c r="B91" s="60" t="s">
        <v>193</v>
      </c>
      <c r="C91" s="62">
        <v>0</v>
      </c>
      <c r="D91" s="61">
        <v>21555014359.650002</v>
      </c>
      <c r="E91" s="63">
        <v>0</v>
      </c>
      <c r="F91" s="63">
        <v>0</v>
      </c>
      <c r="G91" s="63">
        <v>0</v>
      </c>
      <c r="H91" s="64">
        <f t="shared" si="5"/>
        <v>21555014359.650002</v>
      </c>
      <c r="I91" s="40">
        <f t="shared" si="6"/>
        <v>-21555014359.650002</v>
      </c>
    </row>
    <row r="92" spans="1:9" ht="31.2" customHeight="1">
      <c r="A92" s="59">
        <v>4816.01</v>
      </c>
      <c r="B92" s="60" t="s">
        <v>194</v>
      </c>
      <c r="C92" s="62">
        <v>0</v>
      </c>
      <c r="D92" s="61">
        <v>1615823567.95</v>
      </c>
      <c r="E92" s="63">
        <v>0</v>
      </c>
      <c r="F92" s="63">
        <v>0</v>
      </c>
      <c r="G92" s="63">
        <v>0</v>
      </c>
      <c r="H92" s="64">
        <f t="shared" si="5"/>
        <v>1615823567.95</v>
      </c>
      <c r="I92" s="40">
        <f t="shared" si="6"/>
        <v>-1615823567.95</v>
      </c>
    </row>
    <row r="93" spans="1:9" ht="31.2" customHeight="1">
      <c r="A93" s="59">
        <v>4816.0200000000004</v>
      </c>
      <c r="B93" s="60" t="s">
        <v>195</v>
      </c>
      <c r="C93" s="62">
        <v>0</v>
      </c>
      <c r="D93" s="61">
        <v>92178829.299999997</v>
      </c>
      <c r="E93" s="63">
        <v>0</v>
      </c>
      <c r="F93" s="63">
        <v>0</v>
      </c>
      <c r="G93" s="63">
        <v>0</v>
      </c>
      <c r="H93" s="64">
        <f t="shared" si="5"/>
        <v>92178829.299999997</v>
      </c>
      <c r="I93" s="40">
        <f t="shared" si="6"/>
        <v>-92178829.299999997</v>
      </c>
    </row>
    <row r="94" spans="1:9" ht="31.2" customHeight="1">
      <c r="A94" s="59">
        <v>4816.03</v>
      </c>
      <c r="B94" s="60" t="s">
        <v>237</v>
      </c>
      <c r="C94" s="62"/>
      <c r="D94" s="61"/>
      <c r="E94" s="63"/>
      <c r="F94" s="63"/>
      <c r="G94" s="63"/>
      <c r="H94" s="64"/>
      <c r="I94" s="40">
        <v>0</v>
      </c>
    </row>
    <row r="95" spans="1:9" ht="31.2" customHeight="1">
      <c r="A95" s="59" t="s">
        <v>196</v>
      </c>
      <c r="B95" s="60" t="s">
        <v>197</v>
      </c>
      <c r="C95" s="62">
        <v>0</v>
      </c>
      <c r="D95" s="61">
        <v>0</v>
      </c>
      <c r="E95" s="63">
        <v>271088000</v>
      </c>
      <c r="F95" s="63">
        <v>271088000</v>
      </c>
      <c r="G95" s="63">
        <v>0</v>
      </c>
      <c r="H95" s="64">
        <f t="shared" si="5"/>
        <v>0</v>
      </c>
      <c r="I95" s="40">
        <f t="shared" si="6"/>
        <v>0</v>
      </c>
    </row>
    <row r="96" spans="1:9" ht="31.2" customHeight="1">
      <c r="A96" s="59" t="s">
        <v>111</v>
      </c>
      <c r="B96" s="60" t="s">
        <v>23</v>
      </c>
      <c r="C96" s="62">
        <v>840767969.58000004</v>
      </c>
      <c r="D96" s="61">
        <v>0</v>
      </c>
      <c r="E96" s="63">
        <v>0</v>
      </c>
      <c r="F96" s="63">
        <v>0</v>
      </c>
      <c r="G96" s="63">
        <f t="shared" ref="G96:G128" si="7">C96+E96-F96</f>
        <v>840767969.58000004</v>
      </c>
      <c r="H96" s="64">
        <v>0</v>
      </c>
      <c r="I96" s="161">
        <f t="shared" ref="I96:I105" si="8">G96</f>
        <v>840767969.58000004</v>
      </c>
    </row>
    <row r="97" spans="1:9" ht="31.2" customHeight="1">
      <c r="A97" s="59" t="s">
        <v>198</v>
      </c>
      <c r="B97" s="60" t="s">
        <v>199</v>
      </c>
      <c r="C97" s="62">
        <v>862947270.73000002</v>
      </c>
      <c r="D97" s="61">
        <v>0</v>
      </c>
      <c r="E97" s="63">
        <v>282866781.38</v>
      </c>
      <c r="F97" s="63">
        <v>0</v>
      </c>
      <c r="G97" s="63">
        <f t="shared" si="7"/>
        <v>1145814052.1100001</v>
      </c>
      <c r="H97" s="64">
        <v>0</v>
      </c>
      <c r="I97" s="161">
        <f t="shared" si="8"/>
        <v>1145814052.1100001</v>
      </c>
    </row>
    <row r="98" spans="1:9" ht="31.2" customHeight="1">
      <c r="A98" s="59">
        <v>606.02</v>
      </c>
      <c r="B98" s="60" t="s">
        <v>24</v>
      </c>
      <c r="C98" s="62">
        <v>723000</v>
      </c>
      <c r="D98" s="61">
        <v>0</v>
      </c>
      <c r="E98" s="87">
        <v>326000</v>
      </c>
      <c r="F98" s="63">
        <v>0</v>
      </c>
      <c r="G98" s="63">
        <f t="shared" si="7"/>
        <v>1049000</v>
      </c>
      <c r="H98" s="64">
        <v>0</v>
      </c>
      <c r="I98" s="154">
        <f t="shared" si="8"/>
        <v>1049000</v>
      </c>
    </row>
    <row r="99" spans="1:9" ht="31.2" customHeight="1">
      <c r="A99" s="59">
        <v>606.03</v>
      </c>
      <c r="B99" s="60" t="s">
        <v>25</v>
      </c>
      <c r="C99" s="62">
        <v>3315000</v>
      </c>
      <c r="D99" s="61">
        <v>0</v>
      </c>
      <c r="E99" s="87">
        <v>3250000</v>
      </c>
      <c r="F99" s="63">
        <v>0</v>
      </c>
      <c r="G99" s="63">
        <f t="shared" si="7"/>
        <v>6565000</v>
      </c>
      <c r="H99" s="64">
        <v>0</v>
      </c>
      <c r="I99" s="154">
        <f t="shared" si="8"/>
        <v>6565000</v>
      </c>
    </row>
    <row r="100" spans="1:9" ht="31.2" customHeight="1">
      <c r="A100" s="59" t="s">
        <v>269</v>
      </c>
      <c r="B100" s="60" t="s">
        <v>270</v>
      </c>
      <c r="C100" s="62">
        <v>0</v>
      </c>
      <c r="D100" s="61">
        <v>0</v>
      </c>
      <c r="E100" s="87">
        <v>300000</v>
      </c>
      <c r="F100" s="63">
        <v>0</v>
      </c>
      <c r="G100" s="63">
        <f t="shared" si="7"/>
        <v>300000</v>
      </c>
      <c r="H100" s="64">
        <v>0</v>
      </c>
      <c r="I100" s="154">
        <f t="shared" si="8"/>
        <v>300000</v>
      </c>
    </row>
    <row r="101" spans="1:9" ht="31.2" customHeight="1">
      <c r="A101" s="59" t="s">
        <v>271</v>
      </c>
      <c r="B101" s="60" t="s">
        <v>47</v>
      </c>
      <c r="C101" s="61">
        <v>0</v>
      </c>
      <c r="D101" s="62">
        <v>0</v>
      </c>
      <c r="E101" s="87">
        <v>15000</v>
      </c>
      <c r="F101" s="63">
        <v>0</v>
      </c>
      <c r="G101" s="63">
        <f t="shared" si="7"/>
        <v>15000</v>
      </c>
      <c r="H101" s="64">
        <v>0</v>
      </c>
      <c r="I101" s="154">
        <f t="shared" si="8"/>
        <v>15000</v>
      </c>
    </row>
    <row r="102" spans="1:9" ht="31.2" customHeight="1">
      <c r="A102" s="59" t="s">
        <v>200</v>
      </c>
      <c r="B102" s="60" t="s">
        <v>26</v>
      </c>
      <c r="C102" s="62">
        <v>10156200</v>
      </c>
      <c r="D102" s="61">
        <v>0</v>
      </c>
      <c r="E102" s="87">
        <v>15587560</v>
      </c>
      <c r="F102" s="63">
        <v>0</v>
      </c>
      <c r="G102" s="63">
        <f t="shared" si="7"/>
        <v>25743760</v>
      </c>
      <c r="H102" s="64">
        <v>0</v>
      </c>
      <c r="I102" s="154">
        <f t="shared" si="8"/>
        <v>25743760</v>
      </c>
    </row>
    <row r="103" spans="1:9" ht="31.2" customHeight="1">
      <c r="A103" s="59" t="s">
        <v>201</v>
      </c>
      <c r="B103" s="60" t="s">
        <v>27</v>
      </c>
      <c r="C103" s="62">
        <v>4009345.79</v>
      </c>
      <c r="D103" s="61">
        <v>0</v>
      </c>
      <c r="E103" s="87">
        <v>4009346</v>
      </c>
      <c r="F103" s="63">
        <v>0</v>
      </c>
      <c r="G103" s="63">
        <f t="shared" si="7"/>
        <v>8018691.79</v>
      </c>
      <c r="H103" s="64">
        <v>0</v>
      </c>
      <c r="I103" s="154">
        <f t="shared" si="8"/>
        <v>8018691.79</v>
      </c>
    </row>
    <row r="104" spans="1:9" ht="31.2" customHeight="1">
      <c r="A104" s="59" t="s">
        <v>272</v>
      </c>
      <c r="B104" s="60" t="s">
        <v>273</v>
      </c>
      <c r="C104" s="62">
        <v>0</v>
      </c>
      <c r="D104" s="61">
        <v>0</v>
      </c>
      <c r="E104" s="87">
        <v>3000000</v>
      </c>
      <c r="F104" s="63">
        <v>0</v>
      </c>
      <c r="G104" s="63">
        <f t="shared" si="7"/>
        <v>3000000</v>
      </c>
      <c r="H104" s="64">
        <v>0</v>
      </c>
      <c r="I104" s="154">
        <f t="shared" si="8"/>
        <v>3000000</v>
      </c>
    </row>
    <row r="105" spans="1:9" ht="31.2" customHeight="1">
      <c r="A105" s="228" t="s">
        <v>202</v>
      </c>
      <c r="B105" s="229" t="s">
        <v>102</v>
      </c>
      <c r="C105" s="230">
        <v>32408301.309999999</v>
      </c>
      <c r="D105" s="231">
        <v>0</v>
      </c>
      <c r="E105" s="87"/>
      <c r="F105" s="87">
        <v>0</v>
      </c>
      <c r="G105" s="87">
        <f t="shared" si="7"/>
        <v>32408301.309999999</v>
      </c>
      <c r="H105" s="232">
        <v>0</v>
      </c>
      <c r="I105" s="154">
        <f t="shared" si="8"/>
        <v>32408301.309999999</v>
      </c>
    </row>
    <row r="106" spans="1:9" ht="31.2" customHeight="1">
      <c r="A106" s="59" t="s">
        <v>274</v>
      </c>
      <c r="B106" s="60" t="s">
        <v>275</v>
      </c>
      <c r="C106" s="62">
        <v>0</v>
      </c>
      <c r="D106" s="61">
        <v>0</v>
      </c>
      <c r="E106" s="87">
        <v>13665800</v>
      </c>
      <c r="F106" s="63">
        <v>0</v>
      </c>
      <c r="G106" s="63">
        <f t="shared" si="7"/>
        <v>13665800</v>
      </c>
      <c r="H106" s="64">
        <v>0</v>
      </c>
      <c r="I106" s="154">
        <f>G106</f>
        <v>13665800</v>
      </c>
    </row>
    <row r="107" spans="1:9" ht="31.2" customHeight="1">
      <c r="A107" s="59" t="s">
        <v>203</v>
      </c>
      <c r="B107" s="60" t="s">
        <v>28</v>
      </c>
      <c r="C107" s="62">
        <v>5924450</v>
      </c>
      <c r="D107" s="61">
        <v>0</v>
      </c>
      <c r="E107" s="87">
        <v>0</v>
      </c>
      <c r="F107" s="63">
        <v>0</v>
      </c>
      <c r="G107" s="63">
        <f t="shared" si="7"/>
        <v>5924450</v>
      </c>
      <c r="H107" s="64">
        <v>0</v>
      </c>
      <c r="I107" s="154">
        <f t="shared" ref="I107:I127" si="9">G107</f>
        <v>5924450</v>
      </c>
    </row>
    <row r="108" spans="1:9" ht="31.2" customHeight="1">
      <c r="A108" s="59" t="s">
        <v>204</v>
      </c>
      <c r="B108" s="60" t="s">
        <v>29</v>
      </c>
      <c r="C108" s="62">
        <v>280000</v>
      </c>
      <c r="D108" s="61">
        <v>0</v>
      </c>
      <c r="E108" s="87">
        <v>0</v>
      </c>
      <c r="F108" s="63">
        <v>0</v>
      </c>
      <c r="G108" s="63">
        <f t="shared" si="7"/>
        <v>280000</v>
      </c>
      <c r="H108" s="64">
        <v>0</v>
      </c>
      <c r="I108" s="154">
        <f t="shared" si="9"/>
        <v>280000</v>
      </c>
    </row>
    <row r="109" spans="1:9" ht="31.2" customHeight="1">
      <c r="A109" s="59" t="s">
        <v>205</v>
      </c>
      <c r="B109" s="60" t="s">
        <v>30</v>
      </c>
      <c r="C109" s="62">
        <v>500000</v>
      </c>
      <c r="D109" s="61">
        <v>0</v>
      </c>
      <c r="E109" s="87">
        <v>4635000</v>
      </c>
      <c r="F109" s="63">
        <v>0</v>
      </c>
      <c r="G109" s="63">
        <f t="shared" si="7"/>
        <v>5135000</v>
      </c>
      <c r="H109" s="64">
        <v>0</v>
      </c>
      <c r="I109" s="154">
        <f t="shared" si="9"/>
        <v>5135000</v>
      </c>
    </row>
    <row r="110" spans="1:9" ht="31.2" customHeight="1">
      <c r="A110" s="59" t="s">
        <v>206</v>
      </c>
      <c r="B110" s="60" t="s">
        <v>135</v>
      </c>
      <c r="C110" s="62">
        <v>41000</v>
      </c>
      <c r="D110" s="61">
        <v>0</v>
      </c>
      <c r="E110" s="87">
        <v>25634759</v>
      </c>
      <c r="F110" s="63">
        <v>0</v>
      </c>
      <c r="G110" s="63">
        <f t="shared" si="7"/>
        <v>25675759</v>
      </c>
      <c r="H110" s="64">
        <v>0</v>
      </c>
      <c r="I110" s="154">
        <f t="shared" si="9"/>
        <v>25675759</v>
      </c>
    </row>
    <row r="111" spans="1:9" ht="31.2" customHeight="1">
      <c r="A111" s="59" t="s">
        <v>207</v>
      </c>
      <c r="B111" s="60" t="s">
        <v>31</v>
      </c>
      <c r="C111" s="62">
        <v>184000</v>
      </c>
      <c r="D111" s="61">
        <v>0</v>
      </c>
      <c r="E111" s="87">
        <v>184000</v>
      </c>
      <c r="F111" s="63">
        <v>0</v>
      </c>
      <c r="G111" s="63">
        <f t="shared" si="7"/>
        <v>368000</v>
      </c>
      <c r="H111" s="64">
        <v>0</v>
      </c>
      <c r="I111" s="154">
        <f t="shared" si="9"/>
        <v>368000</v>
      </c>
    </row>
    <row r="112" spans="1:9" ht="31.2" customHeight="1">
      <c r="A112" s="59" t="s">
        <v>208</v>
      </c>
      <c r="B112" s="60" t="s">
        <v>32</v>
      </c>
      <c r="C112" s="62">
        <v>490000</v>
      </c>
      <c r="D112" s="62">
        <v>0</v>
      </c>
      <c r="E112" s="87">
        <v>490000</v>
      </c>
      <c r="F112" s="63">
        <v>0</v>
      </c>
      <c r="G112" s="63">
        <f t="shared" si="7"/>
        <v>980000</v>
      </c>
      <c r="H112" s="64">
        <v>0</v>
      </c>
      <c r="I112" s="154">
        <f t="shared" si="9"/>
        <v>980000</v>
      </c>
    </row>
    <row r="113" spans="1:9" ht="31.2" customHeight="1">
      <c r="A113" s="59" t="s">
        <v>209</v>
      </c>
      <c r="B113" s="60" t="s">
        <v>210</v>
      </c>
      <c r="C113" s="62">
        <v>2950614.24</v>
      </c>
      <c r="D113" s="61">
        <v>0</v>
      </c>
      <c r="E113" s="87">
        <v>0</v>
      </c>
      <c r="F113" s="63">
        <v>0</v>
      </c>
      <c r="G113" s="63">
        <f t="shared" si="7"/>
        <v>2950614.24</v>
      </c>
      <c r="H113" s="64">
        <v>0</v>
      </c>
      <c r="I113" s="154">
        <f t="shared" si="9"/>
        <v>2950614.24</v>
      </c>
    </row>
    <row r="114" spans="1:9" ht="31.2" customHeight="1">
      <c r="A114" s="59" t="s">
        <v>211</v>
      </c>
      <c r="B114" s="60" t="s">
        <v>33</v>
      </c>
      <c r="C114" s="62">
        <v>3680000</v>
      </c>
      <c r="D114" s="61">
        <v>0</v>
      </c>
      <c r="E114" s="87">
        <v>0</v>
      </c>
      <c r="F114" s="63">
        <v>0</v>
      </c>
      <c r="G114" s="63">
        <f t="shared" si="7"/>
        <v>3680000</v>
      </c>
      <c r="H114" s="64">
        <v>0</v>
      </c>
      <c r="I114" s="154">
        <f t="shared" si="9"/>
        <v>3680000</v>
      </c>
    </row>
    <row r="115" spans="1:9" ht="31.2" customHeight="1">
      <c r="A115" s="59" t="s">
        <v>212</v>
      </c>
      <c r="B115" s="60" t="s">
        <v>34</v>
      </c>
      <c r="C115" s="62">
        <v>195000</v>
      </c>
      <c r="D115" s="61">
        <v>0</v>
      </c>
      <c r="E115" s="87">
        <v>217000</v>
      </c>
      <c r="F115" s="63">
        <v>0</v>
      </c>
      <c r="G115" s="63">
        <f t="shared" si="7"/>
        <v>412000</v>
      </c>
      <c r="H115" s="64">
        <v>0</v>
      </c>
      <c r="I115" s="154">
        <f t="shared" si="9"/>
        <v>412000</v>
      </c>
    </row>
    <row r="116" spans="1:9" ht="31.2" customHeight="1">
      <c r="A116" s="59" t="s">
        <v>276</v>
      </c>
      <c r="B116" s="60" t="s">
        <v>263</v>
      </c>
      <c r="C116" s="62">
        <v>0</v>
      </c>
      <c r="D116" s="61">
        <v>0</v>
      </c>
      <c r="E116" s="87">
        <v>6686000</v>
      </c>
      <c r="F116" s="63">
        <v>0</v>
      </c>
      <c r="G116" s="63">
        <f t="shared" si="7"/>
        <v>6686000</v>
      </c>
      <c r="H116" s="64">
        <v>0</v>
      </c>
      <c r="I116" s="154">
        <f t="shared" si="9"/>
        <v>6686000</v>
      </c>
    </row>
    <row r="117" spans="1:9" ht="31.2" customHeight="1">
      <c r="A117" s="59" t="s">
        <v>277</v>
      </c>
      <c r="B117" s="60" t="s">
        <v>244</v>
      </c>
      <c r="C117" s="62">
        <v>0</v>
      </c>
      <c r="D117" s="61">
        <v>0</v>
      </c>
      <c r="E117" s="87">
        <v>1677000</v>
      </c>
      <c r="F117" s="63">
        <v>0</v>
      </c>
      <c r="G117" s="63">
        <f t="shared" si="7"/>
        <v>1677000</v>
      </c>
      <c r="H117" s="64">
        <v>0</v>
      </c>
      <c r="I117" s="154">
        <f t="shared" si="9"/>
        <v>1677000</v>
      </c>
    </row>
    <row r="118" spans="1:9" ht="31.2" customHeight="1">
      <c r="A118" s="59" t="s">
        <v>213</v>
      </c>
      <c r="B118" s="60" t="s">
        <v>36</v>
      </c>
      <c r="C118" s="62">
        <v>1025022.4899999999</v>
      </c>
      <c r="D118" s="61">
        <v>0</v>
      </c>
      <c r="E118" s="87">
        <v>124137.3</v>
      </c>
      <c r="F118" s="63">
        <v>0</v>
      </c>
      <c r="G118" s="63">
        <f t="shared" si="7"/>
        <v>1149159.7899999998</v>
      </c>
      <c r="H118" s="64">
        <v>0</v>
      </c>
      <c r="I118" s="154">
        <f t="shared" si="9"/>
        <v>1149159.7899999998</v>
      </c>
    </row>
    <row r="119" spans="1:9" ht="31.2" customHeight="1">
      <c r="A119" s="59" t="s">
        <v>214</v>
      </c>
      <c r="B119" s="60" t="s">
        <v>215</v>
      </c>
      <c r="C119" s="61">
        <v>6420000</v>
      </c>
      <c r="D119" s="62">
        <v>0</v>
      </c>
      <c r="E119" s="87">
        <v>0</v>
      </c>
      <c r="F119" s="63">
        <v>0</v>
      </c>
      <c r="G119" s="63">
        <f t="shared" si="7"/>
        <v>6420000</v>
      </c>
      <c r="H119" s="64">
        <v>0</v>
      </c>
      <c r="I119" s="154">
        <f t="shared" si="9"/>
        <v>6420000</v>
      </c>
    </row>
    <row r="120" spans="1:9" ht="31.2" customHeight="1">
      <c r="A120" s="59" t="s">
        <v>216</v>
      </c>
      <c r="B120" s="60" t="s">
        <v>136</v>
      </c>
      <c r="C120" s="62">
        <v>203205253</v>
      </c>
      <c r="D120" s="62">
        <v>0</v>
      </c>
      <c r="E120" s="87">
        <v>37762435</v>
      </c>
      <c r="F120" s="63">
        <v>0</v>
      </c>
      <c r="G120" s="63">
        <f t="shared" si="7"/>
        <v>240967688</v>
      </c>
      <c r="H120" s="64">
        <v>0</v>
      </c>
      <c r="I120" s="154">
        <f t="shared" si="9"/>
        <v>240967688</v>
      </c>
    </row>
    <row r="121" spans="1:9" ht="31.2" customHeight="1">
      <c r="A121" s="59" t="s">
        <v>278</v>
      </c>
      <c r="B121" s="60" t="s">
        <v>279</v>
      </c>
      <c r="C121" s="62">
        <v>0</v>
      </c>
      <c r="D121" s="62">
        <v>0</v>
      </c>
      <c r="E121" s="87">
        <v>1869476.94</v>
      </c>
      <c r="F121" s="63">
        <v>0</v>
      </c>
      <c r="G121" s="63">
        <f t="shared" si="7"/>
        <v>1869476.94</v>
      </c>
      <c r="H121" s="64">
        <v>0</v>
      </c>
      <c r="I121" s="154">
        <f t="shared" si="9"/>
        <v>1869476.94</v>
      </c>
    </row>
    <row r="122" spans="1:9" ht="31.2" customHeight="1">
      <c r="A122" s="59" t="s">
        <v>280</v>
      </c>
      <c r="B122" s="60" t="s">
        <v>281</v>
      </c>
      <c r="C122" s="62">
        <v>0</v>
      </c>
      <c r="D122" s="61">
        <v>0</v>
      </c>
      <c r="E122" s="87">
        <v>968865</v>
      </c>
      <c r="F122" s="63">
        <v>0</v>
      </c>
      <c r="G122" s="63">
        <f t="shared" si="7"/>
        <v>968865</v>
      </c>
      <c r="H122" s="64">
        <v>0</v>
      </c>
      <c r="I122" s="154">
        <f t="shared" si="9"/>
        <v>968865</v>
      </c>
    </row>
    <row r="123" spans="1:9" ht="31.2" customHeight="1">
      <c r="A123" s="59" t="s">
        <v>217</v>
      </c>
      <c r="B123" s="60" t="s">
        <v>218</v>
      </c>
      <c r="C123" s="61">
        <v>33134941.039999999</v>
      </c>
      <c r="D123" s="62">
        <v>0</v>
      </c>
      <c r="E123" s="87">
        <v>0</v>
      </c>
      <c r="F123" s="63">
        <v>0</v>
      </c>
      <c r="G123" s="63">
        <f t="shared" si="7"/>
        <v>33134941.039999999</v>
      </c>
      <c r="H123" s="64">
        <v>0</v>
      </c>
      <c r="I123" s="154">
        <f t="shared" si="9"/>
        <v>33134941.039999999</v>
      </c>
    </row>
    <row r="124" spans="1:9" ht="31.2" customHeight="1">
      <c r="A124" s="59" t="s">
        <v>137</v>
      </c>
      <c r="B124" s="60" t="s">
        <v>35</v>
      </c>
      <c r="C124" s="61">
        <v>744000</v>
      </c>
      <c r="D124" s="62">
        <v>0</v>
      </c>
      <c r="E124" s="87">
        <v>0</v>
      </c>
      <c r="F124" s="63">
        <v>0</v>
      </c>
      <c r="G124" s="63">
        <f t="shared" si="7"/>
        <v>744000</v>
      </c>
      <c r="H124" s="64">
        <v>0</v>
      </c>
      <c r="I124" s="154">
        <f t="shared" si="9"/>
        <v>744000</v>
      </c>
    </row>
    <row r="125" spans="1:9" ht="31.2" customHeight="1">
      <c r="A125" s="59" t="s">
        <v>282</v>
      </c>
      <c r="B125" s="60" t="s">
        <v>283</v>
      </c>
      <c r="C125" s="61">
        <v>0</v>
      </c>
      <c r="D125" s="62">
        <v>0</v>
      </c>
      <c r="E125" s="87">
        <v>1114000</v>
      </c>
      <c r="F125" s="63">
        <v>0</v>
      </c>
      <c r="G125" s="63">
        <f t="shared" si="7"/>
        <v>1114000</v>
      </c>
      <c r="H125" s="64">
        <v>0</v>
      </c>
      <c r="I125" s="154">
        <f t="shared" si="9"/>
        <v>1114000</v>
      </c>
    </row>
    <row r="126" spans="1:9" ht="31.2" customHeight="1">
      <c r="A126" s="59">
        <v>658</v>
      </c>
      <c r="B126" s="60" t="s">
        <v>38</v>
      </c>
      <c r="C126" s="61">
        <v>0</v>
      </c>
      <c r="D126" s="62">
        <v>8351922.9200000027</v>
      </c>
      <c r="E126" s="87">
        <v>5000</v>
      </c>
      <c r="F126" s="63">
        <v>0</v>
      </c>
      <c r="G126" s="63">
        <v>0</v>
      </c>
      <c r="H126" s="64">
        <f t="shared" ref="H126" si="10">D126+F126-E126</f>
        <v>8346922.9200000027</v>
      </c>
      <c r="I126" s="154">
        <f>-H126</f>
        <v>-8346922.9200000027</v>
      </c>
    </row>
    <row r="127" spans="1:9" ht="31.2" customHeight="1">
      <c r="A127" s="59">
        <v>663</v>
      </c>
      <c r="B127" s="60" t="s">
        <v>39</v>
      </c>
      <c r="C127" s="61">
        <v>47160464.020000003</v>
      </c>
      <c r="D127" s="62">
        <v>0</v>
      </c>
      <c r="E127" s="87">
        <v>3885004.5</v>
      </c>
      <c r="F127" s="63">
        <v>0</v>
      </c>
      <c r="G127" s="63">
        <f t="shared" si="7"/>
        <v>51045468.520000003</v>
      </c>
      <c r="H127" s="64">
        <v>0</v>
      </c>
      <c r="I127" s="154">
        <f t="shared" si="9"/>
        <v>51045468.520000003</v>
      </c>
    </row>
    <row r="128" spans="1:9" ht="31.2" customHeight="1">
      <c r="A128" s="59" t="s">
        <v>219</v>
      </c>
      <c r="B128" s="60" t="s">
        <v>40</v>
      </c>
      <c r="C128" s="61">
        <v>76041488</v>
      </c>
      <c r="D128" s="62">
        <v>0</v>
      </c>
      <c r="E128" s="87">
        <v>76786465.269999996</v>
      </c>
      <c r="F128" s="63">
        <v>0</v>
      </c>
      <c r="G128" s="63">
        <f t="shared" si="7"/>
        <v>152827953.26999998</v>
      </c>
      <c r="H128" s="64">
        <v>0</v>
      </c>
      <c r="I128" s="154">
        <f t="shared" ref="I128" si="11">G128</f>
        <v>152827953.26999998</v>
      </c>
    </row>
    <row r="129" spans="1:9" ht="31.2" customHeight="1">
      <c r="A129" s="59">
        <v>701.01</v>
      </c>
      <c r="B129" s="60" t="s">
        <v>41</v>
      </c>
      <c r="C129" s="61">
        <v>0</v>
      </c>
      <c r="D129" s="62">
        <v>2593490441</v>
      </c>
      <c r="E129" s="63">
        <v>0</v>
      </c>
      <c r="F129" s="63">
        <v>40317760</v>
      </c>
      <c r="G129" s="63">
        <v>0</v>
      </c>
      <c r="H129" s="64">
        <f t="shared" ref="H129:H131" si="12">D129+F129-E129</f>
        <v>2633808201</v>
      </c>
      <c r="I129" s="161">
        <f>-H129</f>
        <v>-2633808201</v>
      </c>
    </row>
    <row r="130" spans="1:9" ht="31.2" customHeight="1">
      <c r="A130" s="59">
        <v>763</v>
      </c>
      <c r="B130" s="60" t="s">
        <v>42</v>
      </c>
      <c r="C130" s="61">
        <v>0</v>
      </c>
      <c r="D130" s="62">
        <v>4061014.93</v>
      </c>
      <c r="E130" s="63">
        <v>0</v>
      </c>
      <c r="F130" s="63">
        <v>1229167.79</v>
      </c>
      <c r="G130" s="63">
        <v>0</v>
      </c>
      <c r="H130" s="64">
        <f t="shared" si="12"/>
        <v>5290182.7200000007</v>
      </c>
      <c r="I130" s="161">
        <f>-H130</f>
        <v>-5290182.7200000007</v>
      </c>
    </row>
    <row r="131" spans="1:9" ht="31.2" customHeight="1">
      <c r="A131" s="133">
        <v>768</v>
      </c>
      <c r="B131" s="60" t="s">
        <v>43</v>
      </c>
      <c r="C131" s="61">
        <v>0</v>
      </c>
      <c r="D131" s="62">
        <v>74773499.069999993</v>
      </c>
      <c r="E131" s="63">
        <v>0</v>
      </c>
      <c r="F131" s="63">
        <v>86560939.849999994</v>
      </c>
      <c r="G131" s="63">
        <v>0</v>
      </c>
      <c r="H131" s="64">
        <f t="shared" si="12"/>
        <v>161334438.91999999</v>
      </c>
      <c r="I131" s="161">
        <f t="shared" ref="I131:I132" si="13">-H131</f>
        <v>-161334438.91999999</v>
      </c>
    </row>
    <row r="132" spans="1:9" ht="31.2" customHeight="1">
      <c r="A132" s="134"/>
      <c r="B132" s="60"/>
      <c r="C132" s="61"/>
      <c r="D132" s="62"/>
      <c r="E132" s="63"/>
      <c r="F132" s="63"/>
      <c r="G132" s="63"/>
      <c r="H132" s="64"/>
      <c r="I132" s="161">
        <f t="shared" si="13"/>
        <v>0</v>
      </c>
    </row>
    <row r="133" spans="1:9" ht="31.2" customHeight="1">
      <c r="A133" s="214" t="s">
        <v>116</v>
      </c>
      <c r="B133" s="47"/>
      <c r="C133" s="48">
        <f t="shared" ref="C133:I133" si="14">SUM(C8:C132)</f>
        <v>67670403981.749992</v>
      </c>
      <c r="D133" s="48">
        <f t="shared" si="14"/>
        <v>67670403981.75</v>
      </c>
      <c r="E133" s="49">
        <f t="shared" si="14"/>
        <v>2384138186.5600004</v>
      </c>
      <c r="F133" s="49">
        <f t="shared" si="14"/>
        <v>2384138186.5599999</v>
      </c>
      <c r="G133" s="196">
        <f t="shared" si="14"/>
        <v>67721098495.109993</v>
      </c>
      <c r="H133" s="196">
        <f t="shared" si="14"/>
        <v>67721098495.109993</v>
      </c>
      <c r="I133" s="50">
        <f t="shared" si="14"/>
        <v>-6.7949295043945313E-6</v>
      </c>
    </row>
    <row r="134" spans="1:9" ht="31.2" customHeight="1">
      <c r="D134" s="32">
        <f>C133-D133</f>
        <v>0</v>
      </c>
      <c r="F134" s="32">
        <f>E133-F133</f>
        <v>0</v>
      </c>
      <c r="H134" s="32">
        <f>G133-H133</f>
        <v>0</v>
      </c>
    </row>
    <row r="135" spans="1:9" ht="31.2" customHeight="1">
      <c r="D135" s="41"/>
      <c r="E135" s="169">
        <f>SUM(E96:E132)</f>
        <v>485059630.38999999</v>
      </c>
      <c r="F135" s="170">
        <f>SUM(F129:F132)</f>
        <v>128107867.63999999</v>
      </c>
    </row>
    <row r="136" spans="1:9" ht="31.2" customHeight="1">
      <c r="D136" s="41"/>
      <c r="E136" s="171"/>
      <c r="F136" s="225">
        <f>F135-E135</f>
        <v>-356951762.75</v>
      </c>
    </row>
  </sheetData>
  <autoFilter ref="A7:H7" xr:uid="{9F3797E1-9A3F-4606-AEFC-8F1F0D331D4B}"/>
  <mergeCells count="3">
    <mergeCell ref="C6:D6"/>
    <mergeCell ref="E6:F6"/>
    <mergeCell ref="G6:H6"/>
  </mergeCells>
  <phoneticPr fontId="19" type="noConversion"/>
  <pageMargins left="0.25" right="0.25" top="0.25" bottom="0.25" header="0" footer="0"/>
  <pageSetup paperSize="9" fitToWidth="0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2D52-B334-4CFA-BC96-F9BF7D3840B6}">
  <sheetPr>
    <tabColor rgb="FFFF0000"/>
  </sheetPr>
  <dimension ref="A2:I126"/>
  <sheetViews>
    <sheetView showGridLines="0" showOutlineSymbols="0" topLeftCell="A76" zoomScale="70" zoomScaleNormal="70" workbookViewId="0">
      <selection activeCell="G125" sqref="G125"/>
    </sheetView>
  </sheetViews>
  <sheetFormatPr defaultColWidth="6.6640625" defaultRowHeight="31.2" customHeight="1"/>
  <cols>
    <col min="1" max="1" width="22.33203125" style="215" customWidth="1"/>
    <col min="2" max="2" width="56.6640625" style="31" customWidth="1"/>
    <col min="3" max="4" width="27.44140625" style="32" customWidth="1"/>
    <col min="5" max="8" width="27.44140625" style="44" customWidth="1"/>
    <col min="9" max="9" width="28.33203125" style="31" customWidth="1"/>
    <col min="10" max="16384" width="6.6640625" style="31"/>
  </cols>
  <sheetData>
    <row r="2" spans="1:9" ht="31.2" customHeight="1">
      <c r="A2" s="204" t="s">
        <v>0</v>
      </c>
      <c r="C2" s="33"/>
      <c r="D2" s="33"/>
      <c r="E2" s="43"/>
      <c r="F2" s="43"/>
      <c r="G2" s="43"/>
    </row>
    <row r="3" spans="1:9" ht="31.2" customHeight="1">
      <c r="A3" s="205" t="s">
        <v>287</v>
      </c>
      <c r="C3" s="33"/>
      <c r="D3" s="33"/>
      <c r="E3" s="43"/>
      <c r="F3" s="43"/>
      <c r="G3" s="43"/>
    </row>
    <row r="4" spans="1:9" ht="31.2" customHeight="1">
      <c r="A4" s="206" t="s">
        <v>238</v>
      </c>
      <c r="C4" s="33"/>
      <c r="D4" s="33"/>
      <c r="E4" s="43"/>
      <c r="F4" s="43"/>
      <c r="G4" s="43"/>
    </row>
    <row r="5" spans="1:9" ht="31.2" customHeight="1">
      <c r="A5" s="207"/>
      <c r="D5" s="33"/>
      <c r="F5" s="43"/>
      <c r="H5" s="43"/>
    </row>
    <row r="6" spans="1:9" ht="31.2" customHeight="1">
      <c r="A6" s="208" t="s">
        <v>115</v>
      </c>
      <c r="B6" s="35" t="s">
        <v>114</v>
      </c>
      <c r="C6" s="236" t="s">
        <v>108</v>
      </c>
      <c r="D6" s="236"/>
      <c r="E6" s="237" t="s">
        <v>109</v>
      </c>
      <c r="F6" s="237"/>
      <c r="G6" s="237" t="s">
        <v>110</v>
      </c>
      <c r="H6" s="237"/>
    </row>
    <row r="7" spans="1:9" ht="31.2" customHeight="1">
      <c r="A7" s="209"/>
      <c r="B7" s="34"/>
      <c r="C7" s="39"/>
      <c r="D7" s="39"/>
      <c r="E7" s="45"/>
      <c r="F7" s="45"/>
      <c r="G7" s="45"/>
      <c r="H7" s="45"/>
    </row>
    <row r="8" spans="1:9" ht="31.2" customHeight="1">
      <c r="A8" s="210" t="s">
        <v>138</v>
      </c>
      <c r="B8" s="188" t="s">
        <v>139</v>
      </c>
      <c r="C8" s="189">
        <v>414707</v>
      </c>
      <c r="D8" s="190">
        <v>0</v>
      </c>
      <c r="E8" s="57">
        <v>35000000</v>
      </c>
      <c r="F8" s="57">
        <v>23620700</v>
      </c>
      <c r="G8" s="57">
        <f>C8+E8-F8</f>
        <v>11794007</v>
      </c>
      <c r="H8" s="58">
        <v>0</v>
      </c>
      <c r="I8" s="40">
        <f>G8</f>
        <v>11794007</v>
      </c>
    </row>
    <row r="9" spans="1:9" ht="31.2" customHeight="1">
      <c r="A9" s="211" t="s">
        <v>140</v>
      </c>
      <c r="B9" s="198" t="s">
        <v>118</v>
      </c>
      <c r="C9" s="199">
        <v>1728186</v>
      </c>
      <c r="D9" s="200">
        <v>0</v>
      </c>
      <c r="E9" s="201">
        <v>0</v>
      </c>
      <c r="F9" s="202">
        <v>0</v>
      </c>
      <c r="G9" s="63">
        <f t="shared" ref="G9:G66" si="0">C9+E9-F9</f>
        <v>1728186</v>
      </c>
      <c r="H9" s="203"/>
      <c r="I9" s="40">
        <f>G9</f>
        <v>1728186</v>
      </c>
    </row>
    <row r="10" spans="1:9" ht="31.2" customHeight="1">
      <c r="A10" s="212" t="s">
        <v>1</v>
      </c>
      <c r="B10" s="191" t="s">
        <v>141</v>
      </c>
      <c r="C10" s="192">
        <v>22749764</v>
      </c>
      <c r="D10" s="193">
        <v>0</v>
      </c>
      <c r="E10" s="194">
        <v>240755180</v>
      </c>
      <c r="F10" s="194">
        <v>245289528</v>
      </c>
      <c r="G10" s="63">
        <f t="shared" si="0"/>
        <v>18215416</v>
      </c>
      <c r="H10" s="195">
        <v>0</v>
      </c>
      <c r="I10" s="40">
        <f>G10</f>
        <v>18215416</v>
      </c>
    </row>
    <row r="11" spans="1:9" ht="31.2" customHeight="1">
      <c r="A11" s="213" t="s">
        <v>142</v>
      </c>
      <c r="B11" s="60" t="s">
        <v>143</v>
      </c>
      <c r="C11" s="61">
        <v>877568</v>
      </c>
      <c r="D11" s="62">
        <v>0</v>
      </c>
      <c r="E11" s="63">
        <v>0</v>
      </c>
      <c r="F11" s="63">
        <v>6000</v>
      </c>
      <c r="G11" s="63">
        <f t="shared" si="0"/>
        <v>871568</v>
      </c>
      <c r="H11" s="64">
        <v>0</v>
      </c>
      <c r="I11" s="40">
        <f t="shared" ref="I11:I71" si="1">G11</f>
        <v>871568</v>
      </c>
    </row>
    <row r="12" spans="1:9" ht="31.2" customHeight="1">
      <c r="A12" s="213" t="s">
        <v>144</v>
      </c>
      <c r="B12" s="60" t="s">
        <v>145</v>
      </c>
      <c r="C12" s="61">
        <v>289000</v>
      </c>
      <c r="D12" s="62">
        <v>0</v>
      </c>
      <c r="E12" s="63">
        <v>0</v>
      </c>
      <c r="F12" s="63">
        <v>0</v>
      </c>
      <c r="G12" s="63">
        <f t="shared" si="0"/>
        <v>289000</v>
      </c>
      <c r="H12" s="64">
        <v>0</v>
      </c>
      <c r="I12" s="40">
        <f t="shared" si="1"/>
        <v>289000</v>
      </c>
    </row>
    <row r="13" spans="1:9" ht="31.2" customHeight="1">
      <c r="A13" s="213" t="s">
        <v>146</v>
      </c>
      <c r="B13" s="65" t="s">
        <v>147</v>
      </c>
      <c r="C13" s="61">
        <v>500000</v>
      </c>
      <c r="D13" s="62">
        <v>0</v>
      </c>
      <c r="E13" s="63">
        <v>0</v>
      </c>
      <c r="F13" s="63">
        <v>40000</v>
      </c>
      <c r="G13" s="63">
        <f t="shared" si="0"/>
        <v>460000</v>
      </c>
      <c r="H13" s="64">
        <v>0</v>
      </c>
      <c r="I13" s="40">
        <f t="shared" si="1"/>
        <v>460000</v>
      </c>
    </row>
    <row r="14" spans="1:9" ht="31.2" customHeight="1">
      <c r="A14" s="213" t="s">
        <v>148</v>
      </c>
      <c r="B14" s="60" t="s">
        <v>149</v>
      </c>
      <c r="C14" s="61">
        <v>59951525</v>
      </c>
      <c r="D14" s="62">
        <v>0</v>
      </c>
      <c r="E14" s="63">
        <v>54062573.049999997</v>
      </c>
      <c r="F14" s="63">
        <v>20579091.030000001</v>
      </c>
      <c r="G14" s="63">
        <f t="shared" si="0"/>
        <v>93435007.019999996</v>
      </c>
      <c r="H14" s="64">
        <v>0</v>
      </c>
      <c r="I14" s="40">
        <f t="shared" si="1"/>
        <v>93435007.019999996</v>
      </c>
    </row>
    <row r="15" spans="1:9" ht="31.2" customHeight="1">
      <c r="A15" s="213" t="s">
        <v>150</v>
      </c>
      <c r="B15" s="60" t="s">
        <v>151</v>
      </c>
      <c r="C15" s="61">
        <v>502403324.07999969</v>
      </c>
      <c r="D15" s="62">
        <v>0</v>
      </c>
      <c r="E15" s="63">
        <v>682749998.41999996</v>
      </c>
      <c r="F15" s="63">
        <v>277694223</v>
      </c>
      <c r="G15" s="63">
        <f t="shared" si="0"/>
        <v>907459099.49999952</v>
      </c>
      <c r="H15" s="64">
        <v>0</v>
      </c>
      <c r="I15" s="40">
        <f t="shared" si="1"/>
        <v>907459099.49999952</v>
      </c>
    </row>
    <row r="16" spans="1:9" ht="31.2" customHeight="1">
      <c r="A16" s="59" t="s">
        <v>152</v>
      </c>
      <c r="B16" s="60" t="s">
        <v>153</v>
      </c>
      <c r="C16" s="61">
        <v>5146772.1000000006</v>
      </c>
      <c r="D16" s="62">
        <v>0</v>
      </c>
      <c r="E16" s="63">
        <v>0</v>
      </c>
      <c r="F16" s="63">
        <v>108861.39</v>
      </c>
      <c r="G16" s="63">
        <f t="shared" si="0"/>
        <v>5037910.7100000009</v>
      </c>
      <c r="H16" s="64">
        <v>0</v>
      </c>
      <c r="I16" s="40">
        <f t="shared" si="1"/>
        <v>5037910.7100000009</v>
      </c>
    </row>
    <row r="17" spans="1:9" ht="31.2" customHeight="1">
      <c r="A17" s="59" t="s">
        <v>154</v>
      </c>
      <c r="B17" s="60" t="s">
        <v>155</v>
      </c>
      <c r="C17" s="61">
        <v>111851415.48999999</v>
      </c>
      <c r="D17" s="62">
        <v>0</v>
      </c>
      <c r="E17" s="63">
        <v>151981.01</v>
      </c>
      <c r="F17" s="63">
        <v>16950</v>
      </c>
      <c r="G17" s="63">
        <f t="shared" si="0"/>
        <v>111986446.5</v>
      </c>
      <c r="H17" s="64">
        <v>0</v>
      </c>
      <c r="I17" s="40">
        <f t="shared" si="1"/>
        <v>111986446.5</v>
      </c>
    </row>
    <row r="18" spans="1:9" ht="31.2" customHeight="1">
      <c r="A18" s="59" t="s">
        <v>156</v>
      </c>
      <c r="B18" s="60" t="s">
        <v>119</v>
      </c>
      <c r="C18" s="61">
        <v>26116251.5</v>
      </c>
      <c r="D18" s="62">
        <v>0</v>
      </c>
      <c r="E18" s="63">
        <v>0</v>
      </c>
      <c r="F18" s="63">
        <v>0</v>
      </c>
      <c r="G18" s="63">
        <f t="shared" si="0"/>
        <v>26116251.5</v>
      </c>
      <c r="H18" s="64">
        <v>0</v>
      </c>
      <c r="I18" s="40">
        <f t="shared" si="1"/>
        <v>26116251.5</v>
      </c>
    </row>
    <row r="19" spans="1:9" ht="31.2" customHeight="1">
      <c r="A19" s="59" t="s">
        <v>157</v>
      </c>
      <c r="B19" s="60" t="s">
        <v>120</v>
      </c>
      <c r="C19" s="61">
        <v>6426000</v>
      </c>
      <c r="D19" s="62">
        <v>0</v>
      </c>
      <c r="E19" s="63">
        <v>0</v>
      </c>
      <c r="F19" s="63">
        <v>113400</v>
      </c>
      <c r="G19" s="63">
        <f t="shared" si="0"/>
        <v>6312600</v>
      </c>
      <c r="H19" s="64">
        <v>0</v>
      </c>
      <c r="I19" s="40">
        <f t="shared" si="1"/>
        <v>6312600</v>
      </c>
    </row>
    <row r="20" spans="1:9" ht="31.2" customHeight="1">
      <c r="A20" s="59" t="s">
        <v>158</v>
      </c>
      <c r="B20" s="60" t="s">
        <v>159</v>
      </c>
      <c r="C20" s="62">
        <v>1325553.3700000001</v>
      </c>
      <c r="D20" s="61">
        <v>0</v>
      </c>
      <c r="E20" s="63">
        <v>1801.13</v>
      </c>
      <c r="F20" s="63">
        <v>0</v>
      </c>
      <c r="G20" s="63">
        <f t="shared" si="0"/>
        <v>1327354.5</v>
      </c>
      <c r="H20" s="64">
        <v>0</v>
      </c>
      <c r="I20" s="40">
        <f t="shared" si="1"/>
        <v>1327354.5</v>
      </c>
    </row>
    <row r="21" spans="1:9" ht="31.2" customHeight="1">
      <c r="A21" s="59" t="s">
        <v>160</v>
      </c>
      <c r="B21" s="60" t="s">
        <v>161</v>
      </c>
      <c r="C21" s="61">
        <v>543864.51</v>
      </c>
      <c r="D21" s="62">
        <v>0</v>
      </c>
      <c r="E21" s="63">
        <v>0</v>
      </c>
      <c r="F21" s="63">
        <v>0</v>
      </c>
      <c r="G21" s="63">
        <f t="shared" si="0"/>
        <v>543864.51</v>
      </c>
      <c r="H21" s="64">
        <v>0</v>
      </c>
      <c r="I21" s="40">
        <f t="shared" si="1"/>
        <v>543864.51</v>
      </c>
    </row>
    <row r="22" spans="1:9" ht="31.2" customHeight="1">
      <c r="A22" s="59" t="s">
        <v>162</v>
      </c>
      <c r="B22" s="60" t="s">
        <v>163</v>
      </c>
      <c r="C22" s="61">
        <v>23641194.530000001</v>
      </c>
      <c r="D22" s="62">
        <v>0</v>
      </c>
      <c r="E22" s="63">
        <v>0</v>
      </c>
      <c r="F22" s="63">
        <v>0</v>
      </c>
      <c r="G22" s="63">
        <f t="shared" si="0"/>
        <v>23641194.530000001</v>
      </c>
      <c r="H22" s="64">
        <v>0</v>
      </c>
      <c r="I22" s="40">
        <f t="shared" si="1"/>
        <v>23641194.530000001</v>
      </c>
    </row>
    <row r="23" spans="1:9" ht="31.2" customHeight="1">
      <c r="A23" s="59">
        <v>1211</v>
      </c>
      <c r="B23" s="60" t="s">
        <v>2</v>
      </c>
      <c r="C23" s="61">
        <v>155034151.44000006</v>
      </c>
      <c r="D23" s="62">
        <v>0</v>
      </c>
      <c r="E23" s="63">
        <v>876991150.5</v>
      </c>
      <c r="F23" s="63">
        <v>825068688.63999999</v>
      </c>
      <c r="G23" s="63">
        <f t="shared" si="0"/>
        <v>206956613.30000007</v>
      </c>
      <c r="H23" s="64">
        <v>0</v>
      </c>
      <c r="I23" s="40">
        <f t="shared" si="1"/>
        <v>206956613.30000007</v>
      </c>
    </row>
    <row r="24" spans="1:9" ht="31.2" customHeight="1">
      <c r="A24" s="127" t="s">
        <v>285</v>
      </c>
      <c r="B24" s="60" t="s">
        <v>286</v>
      </c>
      <c r="C24" s="61">
        <v>45022464.469999999</v>
      </c>
      <c r="D24" s="62">
        <v>0</v>
      </c>
      <c r="E24" s="63">
        <v>0</v>
      </c>
      <c r="F24" s="63">
        <v>0</v>
      </c>
      <c r="G24" s="63">
        <f t="shared" si="0"/>
        <v>45022464.469999999</v>
      </c>
      <c r="H24" s="64">
        <v>0</v>
      </c>
      <c r="I24" s="40">
        <f t="shared" si="1"/>
        <v>45022464.469999999</v>
      </c>
    </row>
    <row r="25" spans="1:9" ht="31.2" customHeight="1">
      <c r="A25" s="227">
        <v>1311.02</v>
      </c>
      <c r="B25" s="60" t="s">
        <v>3</v>
      </c>
      <c r="C25" s="61">
        <v>17637745.789999999</v>
      </c>
      <c r="D25" s="62">
        <v>0</v>
      </c>
      <c r="E25" s="63">
        <v>9240000</v>
      </c>
      <c r="F25" s="63">
        <v>7327686.5099999998</v>
      </c>
      <c r="G25" s="63">
        <f t="shared" si="0"/>
        <v>19550059.280000001</v>
      </c>
      <c r="H25" s="64">
        <v>0</v>
      </c>
      <c r="I25" s="154">
        <f t="shared" si="1"/>
        <v>19550059.280000001</v>
      </c>
    </row>
    <row r="26" spans="1:9" ht="31.2" customHeight="1">
      <c r="A26" s="210">
        <v>1311.03</v>
      </c>
      <c r="B26" s="60" t="s">
        <v>4</v>
      </c>
      <c r="C26" s="61">
        <v>2926238.4600000014</v>
      </c>
      <c r="D26" s="62">
        <v>0</v>
      </c>
      <c r="E26" s="63">
        <v>67875932</v>
      </c>
      <c r="F26" s="63">
        <v>47495824.579999998</v>
      </c>
      <c r="G26" s="63">
        <f t="shared" si="0"/>
        <v>23306345.88000001</v>
      </c>
      <c r="H26" s="64">
        <v>0</v>
      </c>
      <c r="I26" s="154">
        <f t="shared" si="1"/>
        <v>23306345.88000001</v>
      </c>
    </row>
    <row r="27" spans="1:9" ht="31.2" customHeight="1">
      <c r="A27" s="213">
        <v>1311.04</v>
      </c>
      <c r="B27" s="60" t="s">
        <v>5</v>
      </c>
      <c r="C27" s="61">
        <v>23086682.23</v>
      </c>
      <c r="D27" s="62">
        <v>0</v>
      </c>
      <c r="E27" s="63">
        <v>20583750</v>
      </c>
      <c r="F27" s="63">
        <v>25987704</v>
      </c>
      <c r="G27" s="63">
        <f t="shared" si="0"/>
        <v>17682728.230000004</v>
      </c>
      <c r="H27" s="64">
        <v>0</v>
      </c>
      <c r="I27" s="154">
        <f t="shared" si="1"/>
        <v>17682728.230000004</v>
      </c>
    </row>
    <row r="28" spans="1:9" ht="31.2" customHeight="1">
      <c r="A28" s="213">
        <v>1311.05</v>
      </c>
      <c r="B28" s="60" t="s">
        <v>6</v>
      </c>
      <c r="C28" s="62">
        <v>8209482.1100000003</v>
      </c>
      <c r="D28" s="61">
        <v>0</v>
      </c>
      <c r="E28" s="63">
        <v>0</v>
      </c>
      <c r="F28" s="63">
        <v>0</v>
      </c>
      <c r="G28" s="63">
        <f t="shared" si="0"/>
        <v>8209482.1100000003</v>
      </c>
      <c r="H28" s="64">
        <v>0</v>
      </c>
      <c r="I28" s="154">
        <f t="shared" si="1"/>
        <v>8209482.1100000003</v>
      </c>
    </row>
    <row r="29" spans="1:9" ht="31.2" customHeight="1">
      <c r="A29" s="213">
        <v>1311.06</v>
      </c>
      <c r="B29" s="60" t="s">
        <v>7</v>
      </c>
      <c r="C29" s="61">
        <v>6553419.8799999999</v>
      </c>
      <c r="D29" s="62">
        <v>0</v>
      </c>
      <c r="E29" s="63">
        <v>4258500</v>
      </c>
      <c r="F29" s="63">
        <v>2370319.35</v>
      </c>
      <c r="G29" s="63">
        <f t="shared" si="0"/>
        <v>8441600.5299999993</v>
      </c>
      <c r="H29" s="64">
        <v>0</v>
      </c>
      <c r="I29" s="154">
        <f t="shared" si="1"/>
        <v>8441600.5299999993</v>
      </c>
    </row>
    <row r="30" spans="1:9" ht="31.2" customHeight="1">
      <c r="A30" s="213">
        <v>1311.07</v>
      </c>
      <c r="B30" s="60" t="s">
        <v>62</v>
      </c>
      <c r="C30" s="61">
        <v>23530024.260000002</v>
      </c>
      <c r="D30" s="62">
        <v>0</v>
      </c>
      <c r="E30" s="63">
        <v>0</v>
      </c>
      <c r="F30" s="63">
        <v>58086.64</v>
      </c>
      <c r="G30" s="63">
        <f t="shared" si="0"/>
        <v>23471937.620000001</v>
      </c>
      <c r="H30" s="64">
        <v>0</v>
      </c>
      <c r="I30" s="154">
        <f t="shared" si="1"/>
        <v>23471937.620000001</v>
      </c>
    </row>
    <row r="31" spans="1:9" ht="31.2" customHeight="1">
      <c r="A31" s="213">
        <v>1311.08</v>
      </c>
      <c r="B31" s="60" t="s">
        <v>8</v>
      </c>
      <c r="C31" s="61">
        <v>5690419</v>
      </c>
      <c r="D31" s="62">
        <v>0</v>
      </c>
      <c r="E31" s="63">
        <v>0</v>
      </c>
      <c r="F31" s="63">
        <v>0</v>
      </c>
      <c r="G31" s="63">
        <f t="shared" si="0"/>
        <v>5690419</v>
      </c>
      <c r="H31" s="64">
        <v>0</v>
      </c>
      <c r="I31" s="154">
        <f t="shared" si="1"/>
        <v>5690419</v>
      </c>
    </row>
    <row r="32" spans="1:9" ht="31.2" customHeight="1">
      <c r="A32" s="213" t="s">
        <v>9</v>
      </c>
      <c r="B32" s="60" t="s">
        <v>10</v>
      </c>
      <c r="C32" s="61">
        <v>0</v>
      </c>
      <c r="D32" s="62">
        <v>0</v>
      </c>
      <c r="E32" s="63">
        <v>368907008.38</v>
      </c>
      <c r="F32" s="63">
        <v>368907008.38</v>
      </c>
      <c r="G32" s="63">
        <f t="shared" si="0"/>
        <v>0</v>
      </c>
      <c r="H32" s="64">
        <v>0</v>
      </c>
      <c r="I32" s="197">
        <f t="shared" si="1"/>
        <v>0</v>
      </c>
    </row>
    <row r="33" spans="1:9" ht="31.2" customHeight="1">
      <c r="A33" s="213" t="s">
        <v>164</v>
      </c>
      <c r="B33" s="60" t="s">
        <v>121</v>
      </c>
      <c r="C33" s="61">
        <v>0</v>
      </c>
      <c r="D33" s="62">
        <v>0</v>
      </c>
      <c r="E33" s="245">
        <v>2552000</v>
      </c>
      <c r="F33" s="63">
        <v>2552000</v>
      </c>
      <c r="G33" s="63">
        <f t="shared" si="0"/>
        <v>0</v>
      </c>
      <c r="H33" s="64">
        <v>0</v>
      </c>
      <c r="I33" s="197">
        <f t="shared" si="1"/>
        <v>0</v>
      </c>
    </row>
    <row r="34" spans="1:9" ht="31.2" customHeight="1">
      <c r="A34" s="213" t="s">
        <v>165</v>
      </c>
      <c r="B34" s="60" t="s">
        <v>122</v>
      </c>
      <c r="C34" s="61">
        <v>0</v>
      </c>
      <c r="D34" s="62">
        <v>0</v>
      </c>
      <c r="E34" s="245">
        <v>3805226</v>
      </c>
      <c r="F34" s="63">
        <v>3805226</v>
      </c>
      <c r="G34" s="63"/>
      <c r="H34" s="64"/>
      <c r="I34" s="197"/>
    </row>
    <row r="35" spans="1:9" ht="31.2" customHeight="1">
      <c r="A35" s="213" t="s">
        <v>166</v>
      </c>
      <c r="B35" s="60" t="s">
        <v>123</v>
      </c>
      <c r="C35" s="61">
        <v>0</v>
      </c>
      <c r="D35" s="62">
        <v>0</v>
      </c>
      <c r="E35" s="245">
        <v>4326818</v>
      </c>
      <c r="F35" s="63">
        <v>4326818</v>
      </c>
      <c r="G35" s="63">
        <f t="shared" si="0"/>
        <v>0</v>
      </c>
      <c r="H35" s="64">
        <v>0</v>
      </c>
      <c r="I35" s="40"/>
    </row>
    <row r="36" spans="1:9" ht="31.2" customHeight="1">
      <c r="A36" s="213" t="s">
        <v>167</v>
      </c>
      <c r="B36" s="60" t="s">
        <v>124</v>
      </c>
      <c r="C36" s="61">
        <v>0</v>
      </c>
      <c r="D36" s="62">
        <v>0</v>
      </c>
      <c r="E36" s="245">
        <v>1322100</v>
      </c>
      <c r="F36" s="63">
        <v>1322100</v>
      </c>
      <c r="G36" s="63">
        <f t="shared" si="0"/>
        <v>0</v>
      </c>
      <c r="H36" s="64">
        <v>0</v>
      </c>
      <c r="I36" s="40">
        <f t="shared" si="1"/>
        <v>0</v>
      </c>
    </row>
    <row r="37" spans="1:9" ht="31.2" customHeight="1">
      <c r="A37" s="213" t="s">
        <v>125</v>
      </c>
      <c r="B37" s="60" t="s">
        <v>126</v>
      </c>
      <c r="C37" s="61">
        <v>0</v>
      </c>
      <c r="D37" s="62">
        <v>0</v>
      </c>
      <c r="E37" s="245">
        <v>45210545</v>
      </c>
      <c r="F37" s="63">
        <v>45210545</v>
      </c>
      <c r="G37" s="63"/>
      <c r="H37" s="64"/>
      <c r="I37" s="40"/>
    </row>
    <row r="38" spans="1:9" ht="31.2" customHeight="1">
      <c r="A38" s="59" t="s">
        <v>127</v>
      </c>
      <c r="B38" s="60" t="s">
        <v>128</v>
      </c>
      <c r="C38" s="61">
        <v>0</v>
      </c>
      <c r="D38" s="62">
        <v>0</v>
      </c>
      <c r="E38" s="245">
        <v>153594195.30000001</v>
      </c>
      <c r="F38" s="63">
        <v>153594195.30000001</v>
      </c>
      <c r="G38" s="63">
        <f t="shared" si="0"/>
        <v>0</v>
      </c>
      <c r="H38" s="64">
        <v>0</v>
      </c>
      <c r="I38" s="40">
        <f t="shared" si="1"/>
        <v>0</v>
      </c>
    </row>
    <row r="39" spans="1:9" ht="31.2" customHeight="1">
      <c r="A39" s="59" t="s">
        <v>254</v>
      </c>
      <c r="B39" s="60" t="s">
        <v>255</v>
      </c>
      <c r="C39" s="61">
        <v>0</v>
      </c>
      <c r="D39" s="62">
        <v>0</v>
      </c>
      <c r="E39" s="245">
        <v>2249400</v>
      </c>
      <c r="F39" s="63">
        <v>2249400</v>
      </c>
      <c r="G39" s="63">
        <f t="shared" si="0"/>
        <v>0</v>
      </c>
      <c r="H39" s="64">
        <v>0</v>
      </c>
      <c r="I39" s="40">
        <f t="shared" si="1"/>
        <v>0</v>
      </c>
    </row>
    <row r="40" spans="1:9" ht="31.2" customHeight="1">
      <c r="A40" s="59" t="s">
        <v>129</v>
      </c>
      <c r="B40" s="60" t="s">
        <v>130</v>
      </c>
      <c r="C40" s="61">
        <v>0</v>
      </c>
      <c r="D40" s="62">
        <v>0</v>
      </c>
      <c r="E40" s="245">
        <v>8859500</v>
      </c>
      <c r="F40" s="63">
        <v>8859500</v>
      </c>
      <c r="G40" s="63">
        <f t="shared" si="0"/>
        <v>0</v>
      </c>
      <c r="H40" s="64">
        <v>0</v>
      </c>
      <c r="I40" s="40">
        <f t="shared" si="1"/>
        <v>0</v>
      </c>
    </row>
    <row r="41" spans="1:9" ht="31.2" customHeight="1">
      <c r="A41" s="59" t="s">
        <v>131</v>
      </c>
      <c r="B41" s="60" t="s">
        <v>132</v>
      </c>
      <c r="C41" s="61">
        <v>0</v>
      </c>
      <c r="D41" s="62">
        <v>0</v>
      </c>
      <c r="E41" s="245">
        <v>1664623</v>
      </c>
      <c r="F41" s="63">
        <v>1664623</v>
      </c>
      <c r="G41" s="63">
        <f t="shared" si="0"/>
        <v>0</v>
      </c>
      <c r="H41" s="64">
        <v>0</v>
      </c>
      <c r="I41" s="40">
        <f t="shared" si="1"/>
        <v>0</v>
      </c>
    </row>
    <row r="42" spans="1:9" ht="31.2" customHeight="1">
      <c r="A42" s="59" t="s">
        <v>133</v>
      </c>
      <c r="B42" s="60" t="s">
        <v>168</v>
      </c>
      <c r="C42" s="62">
        <v>0</v>
      </c>
      <c r="D42" s="61">
        <v>0</v>
      </c>
      <c r="E42" s="245">
        <v>8008882</v>
      </c>
      <c r="F42" s="63">
        <v>8008882</v>
      </c>
      <c r="G42" s="63">
        <f t="shared" si="0"/>
        <v>0</v>
      </c>
      <c r="H42" s="64">
        <v>0</v>
      </c>
      <c r="I42" s="40">
        <f t="shared" si="1"/>
        <v>0</v>
      </c>
    </row>
    <row r="43" spans="1:9" ht="31.2" customHeight="1">
      <c r="A43" s="59" t="s">
        <v>134</v>
      </c>
      <c r="B43" s="60" t="s">
        <v>169</v>
      </c>
      <c r="C43" s="61">
        <v>0</v>
      </c>
      <c r="D43" s="62">
        <v>0</v>
      </c>
      <c r="E43" s="245">
        <v>13560000</v>
      </c>
      <c r="F43" s="63">
        <v>13560000</v>
      </c>
      <c r="G43" s="63">
        <f t="shared" si="0"/>
        <v>0</v>
      </c>
      <c r="H43" s="64">
        <v>0</v>
      </c>
      <c r="I43" s="40">
        <f t="shared" si="1"/>
        <v>0</v>
      </c>
    </row>
    <row r="44" spans="1:9" ht="31.2" customHeight="1">
      <c r="A44" s="59" t="s">
        <v>170</v>
      </c>
      <c r="B44" s="60" t="s">
        <v>171</v>
      </c>
      <c r="C44" s="61">
        <v>0</v>
      </c>
      <c r="D44" s="62">
        <v>0</v>
      </c>
      <c r="E44" s="245">
        <v>18280000</v>
      </c>
      <c r="F44" s="63">
        <v>18280000</v>
      </c>
      <c r="G44" s="63">
        <f t="shared" si="0"/>
        <v>0</v>
      </c>
      <c r="H44" s="64">
        <v>0</v>
      </c>
      <c r="I44" s="40">
        <f t="shared" si="1"/>
        <v>0</v>
      </c>
    </row>
    <row r="45" spans="1:9" ht="31.2" customHeight="1">
      <c r="A45" s="59" t="s">
        <v>260</v>
      </c>
      <c r="B45" s="60" t="s">
        <v>261</v>
      </c>
      <c r="C45" s="61">
        <v>0</v>
      </c>
      <c r="D45" s="62">
        <v>0</v>
      </c>
      <c r="E45" s="245">
        <v>2153098</v>
      </c>
      <c r="F45" s="63">
        <v>2153098</v>
      </c>
      <c r="G45" s="63">
        <f t="shared" si="0"/>
        <v>0</v>
      </c>
      <c r="H45" s="64">
        <v>0</v>
      </c>
      <c r="I45" s="40">
        <f t="shared" si="1"/>
        <v>0</v>
      </c>
    </row>
    <row r="46" spans="1:9" ht="31.2" customHeight="1">
      <c r="A46" s="59" t="s">
        <v>262</v>
      </c>
      <c r="B46" s="60" t="s">
        <v>263</v>
      </c>
      <c r="C46" s="62">
        <v>0</v>
      </c>
      <c r="D46" s="62">
        <v>0</v>
      </c>
      <c r="E46" s="245">
        <v>7440000</v>
      </c>
      <c r="F46" s="63">
        <v>7440000</v>
      </c>
      <c r="G46" s="63">
        <f t="shared" si="0"/>
        <v>0</v>
      </c>
      <c r="H46" s="64">
        <v>0</v>
      </c>
      <c r="I46" s="40">
        <f t="shared" si="1"/>
        <v>0</v>
      </c>
    </row>
    <row r="47" spans="1:9" ht="31.2" customHeight="1">
      <c r="A47" s="59" t="s">
        <v>288</v>
      </c>
      <c r="B47" s="60" t="s">
        <v>289</v>
      </c>
      <c r="C47" s="61">
        <v>0</v>
      </c>
      <c r="D47" s="62">
        <v>0</v>
      </c>
      <c r="E47" s="245">
        <v>1090000</v>
      </c>
      <c r="F47" s="63">
        <v>1090000</v>
      </c>
      <c r="G47" s="63">
        <f t="shared" si="0"/>
        <v>0</v>
      </c>
      <c r="H47" s="64">
        <v>0</v>
      </c>
      <c r="I47" s="40">
        <f t="shared" si="1"/>
        <v>0</v>
      </c>
    </row>
    <row r="48" spans="1:9" ht="31.2" customHeight="1">
      <c r="A48" s="59" t="s">
        <v>290</v>
      </c>
      <c r="B48" s="60" t="s">
        <v>291</v>
      </c>
      <c r="C48" s="61">
        <v>0</v>
      </c>
      <c r="D48" s="62">
        <v>0</v>
      </c>
      <c r="E48" s="245">
        <v>8551000</v>
      </c>
      <c r="F48" s="63">
        <v>8551000</v>
      </c>
      <c r="G48" s="63">
        <f t="shared" si="0"/>
        <v>0</v>
      </c>
      <c r="H48" s="64">
        <v>0</v>
      </c>
      <c r="I48" s="40">
        <f t="shared" si="1"/>
        <v>0</v>
      </c>
    </row>
    <row r="49" spans="1:9" ht="31.2" customHeight="1">
      <c r="A49" s="59" t="s">
        <v>292</v>
      </c>
      <c r="B49" s="60" t="s">
        <v>293</v>
      </c>
      <c r="C49" s="62">
        <v>0</v>
      </c>
      <c r="D49" s="61">
        <v>0</v>
      </c>
      <c r="E49" s="245">
        <v>3000000</v>
      </c>
      <c r="F49" s="63">
        <v>3000000</v>
      </c>
      <c r="G49" s="63">
        <f t="shared" si="0"/>
        <v>0</v>
      </c>
      <c r="H49" s="64">
        <v>0</v>
      </c>
      <c r="I49" s="40">
        <f t="shared" si="1"/>
        <v>0</v>
      </c>
    </row>
    <row r="50" spans="1:9" ht="31.2" customHeight="1">
      <c r="A50" s="59" t="s">
        <v>294</v>
      </c>
      <c r="B50" s="60" t="s">
        <v>11</v>
      </c>
      <c r="C50" s="62">
        <v>0</v>
      </c>
      <c r="D50" s="61">
        <v>0</v>
      </c>
      <c r="E50" s="87">
        <v>347644637.97000003</v>
      </c>
      <c r="F50" s="63">
        <v>347644637.97000003</v>
      </c>
      <c r="G50" s="63">
        <f t="shared" si="0"/>
        <v>0</v>
      </c>
      <c r="H50" s="64">
        <v>0</v>
      </c>
      <c r="I50" s="197">
        <f t="shared" si="1"/>
        <v>0</v>
      </c>
    </row>
    <row r="51" spans="1:9" ht="31.2" customHeight="1">
      <c r="A51" s="59">
        <v>1365.02</v>
      </c>
      <c r="B51" s="60" t="s">
        <v>174</v>
      </c>
      <c r="C51" s="61">
        <v>638510000</v>
      </c>
      <c r="D51" s="62">
        <v>0</v>
      </c>
      <c r="E51" s="87">
        <v>21262370.41</v>
      </c>
      <c r="F51" s="63">
        <v>17667724.41</v>
      </c>
      <c r="G51" s="63">
        <f t="shared" si="0"/>
        <v>642104646</v>
      </c>
      <c r="H51" s="64">
        <v>0</v>
      </c>
      <c r="I51" s="40">
        <f t="shared" si="1"/>
        <v>642104646</v>
      </c>
    </row>
    <row r="52" spans="1:9" ht="31.2" customHeight="1">
      <c r="A52" s="59">
        <v>148</v>
      </c>
      <c r="B52" s="60" t="s">
        <v>175</v>
      </c>
      <c r="C52" s="61">
        <v>1787078674.97</v>
      </c>
      <c r="D52" s="62">
        <v>0</v>
      </c>
      <c r="E52" s="87">
        <v>0</v>
      </c>
      <c r="F52" s="63">
        <v>0</v>
      </c>
      <c r="G52" s="63">
        <f t="shared" si="0"/>
        <v>1787078674.97</v>
      </c>
      <c r="H52" s="64">
        <v>0</v>
      </c>
      <c r="I52" s="40">
        <f t="shared" si="1"/>
        <v>1787078674.97</v>
      </c>
    </row>
    <row r="53" spans="1:9" ht="31.2" customHeight="1">
      <c r="A53" s="59">
        <v>1611.01</v>
      </c>
      <c r="B53" s="60" t="s">
        <v>176</v>
      </c>
      <c r="C53" s="61">
        <v>9788416</v>
      </c>
      <c r="D53" s="62">
        <v>0</v>
      </c>
      <c r="E53" s="87">
        <v>0</v>
      </c>
      <c r="F53" s="63">
        <v>0</v>
      </c>
      <c r="G53" s="63">
        <f t="shared" si="0"/>
        <v>9788416</v>
      </c>
      <c r="H53" s="64">
        <v>0</v>
      </c>
      <c r="I53" s="40">
        <f t="shared" si="1"/>
        <v>9788416</v>
      </c>
    </row>
    <row r="54" spans="1:9" ht="31.2" customHeight="1">
      <c r="A54" s="59">
        <v>1611.02</v>
      </c>
      <c r="B54" s="60" t="s">
        <v>177</v>
      </c>
      <c r="C54" s="61">
        <v>749715475.22000003</v>
      </c>
      <c r="D54" s="62">
        <v>0</v>
      </c>
      <c r="E54" s="87">
        <v>0</v>
      </c>
      <c r="F54" s="63">
        <v>0</v>
      </c>
      <c r="G54" s="63">
        <f t="shared" si="0"/>
        <v>749715475.22000003</v>
      </c>
      <c r="H54" s="64">
        <v>0</v>
      </c>
      <c r="I54" s="40">
        <f t="shared" si="1"/>
        <v>749715475.22000003</v>
      </c>
    </row>
    <row r="55" spans="1:9" ht="31.2" customHeight="1">
      <c r="A55" s="59">
        <v>1611.03</v>
      </c>
      <c r="B55" s="60" t="s">
        <v>178</v>
      </c>
      <c r="C55" s="61">
        <v>50266943</v>
      </c>
      <c r="D55" s="62">
        <v>0</v>
      </c>
      <c r="E55" s="87">
        <v>0</v>
      </c>
      <c r="F55" s="63">
        <v>0</v>
      </c>
      <c r="G55" s="63">
        <f t="shared" si="0"/>
        <v>50266943</v>
      </c>
      <c r="H55" s="64">
        <v>0</v>
      </c>
      <c r="I55" s="40">
        <f t="shared" si="1"/>
        <v>50266943</v>
      </c>
    </row>
    <row r="56" spans="1:9" ht="31.2" customHeight="1">
      <c r="A56" s="59">
        <v>1611.05</v>
      </c>
      <c r="B56" s="60" t="s">
        <v>179</v>
      </c>
      <c r="C56" s="61">
        <v>2940000</v>
      </c>
      <c r="D56" s="62">
        <v>0</v>
      </c>
      <c r="E56" s="87">
        <v>0</v>
      </c>
      <c r="F56" s="63">
        <v>490000</v>
      </c>
      <c r="G56" s="63">
        <f t="shared" si="0"/>
        <v>2450000</v>
      </c>
      <c r="H56" s="64">
        <v>0</v>
      </c>
      <c r="I56" s="40">
        <f t="shared" si="1"/>
        <v>2450000</v>
      </c>
    </row>
    <row r="57" spans="1:9" ht="31.2" customHeight="1">
      <c r="A57" s="59">
        <v>1611.06</v>
      </c>
      <c r="B57" s="60" t="s">
        <v>295</v>
      </c>
      <c r="C57" s="61">
        <v>0</v>
      </c>
      <c r="D57" s="62">
        <v>0</v>
      </c>
      <c r="E57" s="87">
        <v>37527300</v>
      </c>
      <c r="F57" s="63">
        <v>0</v>
      </c>
      <c r="G57" s="63">
        <f t="shared" si="0"/>
        <v>37527300</v>
      </c>
      <c r="H57" s="64">
        <v>0</v>
      </c>
      <c r="I57" s="40">
        <f t="shared" si="1"/>
        <v>37527300</v>
      </c>
    </row>
    <row r="58" spans="1:9" ht="31.2" customHeight="1">
      <c r="A58" s="59">
        <v>1618.01</v>
      </c>
      <c r="B58" s="60" t="s">
        <v>180</v>
      </c>
      <c r="C58" s="61">
        <v>5532533878.8999996</v>
      </c>
      <c r="D58" s="62">
        <v>0</v>
      </c>
      <c r="E58" s="87">
        <v>0</v>
      </c>
      <c r="F58" s="63">
        <v>0</v>
      </c>
      <c r="G58" s="63">
        <f t="shared" si="0"/>
        <v>5532533878.8999996</v>
      </c>
      <c r="H58" s="64">
        <v>0</v>
      </c>
      <c r="I58" s="40">
        <f t="shared" si="1"/>
        <v>5532533878.8999996</v>
      </c>
    </row>
    <row r="59" spans="1:9" ht="31.2" customHeight="1">
      <c r="A59" s="59">
        <v>1618.02</v>
      </c>
      <c r="B59" s="60" t="s">
        <v>181</v>
      </c>
      <c r="C59" s="61">
        <v>1613043084.97</v>
      </c>
      <c r="D59" s="62">
        <v>0</v>
      </c>
      <c r="E59" s="87">
        <v>0</v>
      </c>
      <c r="F59" s="63">
        <v>0</v>
      </c>
      <c r="G59" s="63">
        <f t="shared" si="0"/>
        <v>1613043084.97</v>
      </c>
      <c r="H59" s="64">
        <v>0</v>
      </c>
      <c r="I59" s="40">
        <f t="shared" si="1"/>
        <v>1613043084.97</v>
      </c>
    </row>
    <row r="60" spans="1:9" ht="31.2" customHeight="1">
      <c r="A60" s="59" t="s">
        <v>265</v>
      </c>
      <c r="B60" s="60" t="s">
        <v>13</v>
      </c>
      <c r="C60" s="61">
        <v>0</v>
      </c>
      <c r="D60" s="62">
        <v>0</v>
      </c>
      <c r="E60" s="87">
        <v>5263937</v>
      </c>
      <c r="F60" s="63">
        <v>5263937</v>
      </c>
      <c r="G60" s="63">
        <f t="shared" si="0"/>
        <v>0</v>
      </c>
      <c r="H60" s="64">
        <v>0</v>
      </c>
      <c r="I60" s="40">
        <f t="shared" si="1"/>
        <v>0</v>
      </c>
    </row>
    <row r="61" spans="1:9" ht="31.2" customHeight="1">
      <c r="A61" s="59">
        <v>2412</v>
      </c>
      <c r="B61" s="60" t="s">
        <v>14</v>
      </c>
      <c r="C61" s="61">
        <v>17245641840</v>
      </c>
      <c r="D61" s="62">
        <v>0</v>
      </c>
      <c r="E61" s="63">
        <v>0</v>
      </c>
      <c r="F61" s="63">
        <v>0</v>
      </c>
      <c r="G61" s="63">
        <f t="shared" si="0"/>
        <v>17245641840</v>
      </c>
      <c r="H61" s="64">
        <v>0</v>
      </c>
      <c r="I61" s="40">
        <f t="shared" si="1"/>
        <v>17245641840</v>
      </c>
    </row>
    <row r="62" spans="1:9" ht="31.2" customHeight="1">
      <c r="A62" s="59">
        <v>2413</v>
      </c>
      <c r="B62" s="60" t="s">
        <v>15</v>
      </c>
      <c r="C62" s="61">
        <v>6483187128</v>
      </c>
      <c r="D62" s="62">
        <v>0</v>
      </c>
      <c r="E62" s="63">
        <v>0</v>
      </c>
      <c r="F62" s="63">
        <v>0</v>
      </c>
      <c r="G62" s="63">
        <f t="shared" si="0"/>
        <v>6483187128</v>
      </c>
      <c r="H62" s="64">
        <v>0</v>
      </c>
      <c r="I62" s="40">
        <f t="shared" si="1"/>
        <v>6483187128</v>
      </c>
    </row>
    <row r="63" spans="1:9" ht="31.2" customHeight="1">
      <c r="A63" s="59">
        <v>2414</v>
      </c>
      <c r="B63" s="60" t="s">
        <v>16</v>
      </c>
      <c r="C63" s="61">
        <v>2732464590</v>
      </c>
      <c r="D63" s="62">
        <v>0</v>
      </c>
      <c r="E63" s="63">
        <v>0</v>
      </c>
      <c r="F63" s="63">
        <v>0</v>
      </c>
      <c r="G63" s="63">
        <f t="shared" si="0"/>
        <v>2732464590</v>
      </c>
      <c r="H63" s="64">
        <v>0</v>
      </c>
      <c r="I63" s="40">
        <f t="shared" si="1"/>
        <v>2732464590</v>
      </c>
    </row>
    <row r="64" spans="1:9" ht="31.2" customHeight="1">
      <c r="A64" s="59">
        <v>2418</v>
      </c>
      <c r="B64" s="60" t="s">
        <v>182</v>
      </c>
      <c r="C64" s="61">
        <v>295777456</v>
      </c>
      <c r="D64" s="62">
        <v>0</v>
      </c>
      <c r="E64" s="63">
        <v>0</v>
      </c>
      <c r="F64" s="63">
        <v>0</v>
      </c>
      <c r="G64" s="63">
        <f t="shared" si="0"/>
        <v>295777456</v>
      </c>
      <c r="H64" s="64">
        <v>0</v>
      </c>
      <c r="I64" s="40">
        <f t="shared" si="1"/>
        <v>295777456</v>
      </c>
    </row>
    <row r="65" spans="1:9" ht="31.2" customHeight="1">
      <c r="A65" s="59">
        <v>2421.0100000000002</v>
      </c>
      <c r="B65" s="60" t="s">
        <v>183</v>
      </c>
      <c r="C65" s="61">
        <v>2414684067</v>
      </c>
      <c r="D65" s="62">
        <v>0</v>
      </c>
      <c r="E65" s="63">
        <v>0</v>
      </c>
      <c r="F65" s="63">
        <v>0</v>
      </c>
      <c r="G65" s="63">
        <f t="shared" si="0"/>
        <v>2414684067</v>
      </c>
      <c r="H65" s="64">
        <v>0</v>
      </c>
      <c r="I65" s="40">
        <f t="shared" si="1"/>
        <v>2414684067</v>
      </c>
    </row>
    <row r="66" spans="1:9" ht="31.2" customHeight="1">
      <c r="A66" s="59">
        <v>2428</v>
      </c>
      <c r="B66" s="60" t="s">
        <v>184</v>
      </c>
      <c r="C66" s="62">
        <v>0</v>
      </c>
      <c r="D66" s="61">
        <v>1609789374</v>
      </c>
      <c r="E66" s="63">
        <v>0</v>
      </c>
      <c r="F66" s="63">
        <v>0</v>
      </c>
      <c r="G66" s="63">
        <f t="shared" si="0"/>
        <v>0</v>
      </c>
      <c r="H66" s="64">
        <f>D66+F66-E66</f>
        <v>1609789374</v>
      </c>
      <c r="I66" s="40">
        <f t="shared" ref="I66:I69" si="2">-H66</f>
        <v>-1609789374</v>
      </c>
    </row>
    <row r="67" spans="1:9" ht="31.2" customHeight="1">
      <c r="A67" s="59">
        <v>2841</v>
      </c>
      <c r="B67" s="60" t="s">
        <v>68</v>
      </c>
      <c r="C67" s="62">
        <v>0</v>
      </c>
      <c r="D67" s="61">
        <v>13359259169.57</v>
      </c>
      <c r="E67" s="63">
        <v>0</v>
      </c>
      <c r="F67" s="63">
        <v>230380660.56999999</v>
      </c>
      <c r="G67" s="63"/>
      <c r="H67" s="64">
        <f>D67+F67-E67</f>
        <v>13589639830.139999</v>
      </c>
      <c r="I67" s="40">
        <f t="shared" si="2"/>
        <v>-13589639830.139999</v>
      </c>
    </row>
    <row r="68" spans="1:9" ht="31.2" customHeight="1">
      <c r="A68" s="59">
        <v>303</v>
      </c>
      <c r="B68" s="60" t="s">
        <v>17</v>
      </c>
      <c r="C68" s="62">
        <v>0</v>
      </c>
      <c r="D68" s="61">
        <v>2438301000</v>
      </c>
      <c r="E68" s="63">
        <v>0</v>
      </c>
      <c r="F68" s="63">
        <v>0</v>
      </c>
      <c r="G68" s="63">
        <v>0</v>
      </c>
      <c r="H68" s="64">
        <f t="shared" ref="H68:H70" si="3">D68+F68-E68</f>
        <v>2438301000</v>
      </c>
      <c r="I68" s="154">
        <f t="shared" si="2"/>
        <v>-2438301000</v>
      </c>
    </row>
    <row r="69" spans="1:9" ht="31.2" customHeight="1">
      <c r="A69" s="59">
        <v>304</v>
      </c>
      <c r="B69" s="60" t="s">
        <v>185</v>
      </c>
      <c r="C69" s="62">
        <v>0</v>
      </c>
      <c r="D69" s="61">
        <v>2207179935</v>
      </c>
      <c r="E69" s="63">
        <v>0</v>
      </c>
      <c r="F69" s="63">
        <v>0</v>
      </c>
      <c r="G69" s="63">
        <v>0</v>
      </c>
      <c r="H69" s="64">
        <f t="shared" si="3"/>
        <v>2207179935</v>
      </c>
      <c r="I69" s="154">
        <f t="shared" si="2"/>
        <v>-2207179935</v>
      </c>
    </row>
    <row r="70" spans="1:9" ht="31.2" customHeight="1">
      <c r="A70" s="59">
        <v>329</v>
      </c>
      <c r="B70" s="60" t="s">
        <v>18</v>
      </c>
      <c r="C70" s="62">
        <v>14501414059.559999</v>
      </c>
      <c r="D70" s="61">
        <v>0</v>
      </c>
      <c r="E70" s="63">
        <v>0</v>
      </c>
      <c r="F70" s="63">
        <v>0</v>
      </c>
      <c r="G70" s="63">
        <f t="shared" ref="G70" si="4">C70+E70-F70</f>
        <v>14501414059.559999</v>
      </c>
      <c r="H70" s="64">
        <f t="shared" si="3"/>
        <v>0</v>
      </c>
      <c r="I70" s="154">
        <f t="shared" si="1"/>
        <v>14501414059.559999</v>
      </c>
    </row>
    <row r="71" spans="1:9" ht="31.2" customHeight="1">
      <c r="A71" s="59" t="s">
        <v>186</v>
      </c>
      <c r="B71" s="60" t="s">
        <v>187</v>
      </c>
      <c r="C71" s="62">
        <v>9991039177.6800003</v>
      </c>
      <c r="D71" s="61">
        <v>0</v>
      </c>
      <c r="E71" s="63">
        <v>0</v>
      </c>
      <c r="F71" s="63">
        <v>0</v>
      </c>
      <c r="G71" s="63">
        <f t="shared" ref="G71" si="5">C71+E71-F71</f>
        <v>9991039177.6800003</v>
      </c>
      <c r="H71" s="64">
        <v>0</v>
      </c>
      <c r="I71" s="154">
        <f t="shared" si="1"/>
        <v>9991039177.6800003</v>
      </c>
    </row>
    <row r="72" spans="1:9" ht="31.2" customHeight="1">
      <c r="A72" s="59">
        <v>4201</v>
      </c>
      <c r="B72" s="60" t="s">
        <v>19</v>
      </c>
      <c r="C72" s="62">
        <v>0</v>
      </c>
      <c r="D72" s="61">
        <v>82244134.99999997</v>
      </c>
      <c r="E72" s="63">
        <v>82290480</v>
      </c>
      <c r="F72" s="63">
        <v>81176645</v>
      </c>
      <c r="G72" s="63">
        <v>0</v>
      </c>
      <c r="H72" s="64">
        <f>D72+F72-E72</f>
        <v>81130299.99999997</v>
      </c>
      <c r="I72" s="242">
        <f t="shared" ref="I72:I75" si="6">-H72</f>
        <v>-81130299.99999997</v>
      </c>
    </row>
    <row r="73" spans="1:9" ht="31.2" customHeight="1">
      <c r="A73" s="59">
        <v>4221</v>
      </c>
      <c r="B73" s="60" t="s">
        <v>20</v>
      </c>
      <c r="C73" s="62">
        <v>0</v>
      </c>
      <c r="D73" s="61">
        <v>3218265</v>
      </c>
      <c r="E73" s="63">
        <v>0</v>
      </c>
      <c r="F73" s="63">
        <v>3020100</v>
      </c>
      <c r="G73" s="63"/>
      <c r="H73" s="64">
        <f t="shared" ref="H73:H81" si="7">D73+F73-E73</f>
        <v>6238365</v>
      </c>
      <c r="I73" s="242">
        <f t="shared" si="6"/>
        <v>-6238365</v>
      </c>
    </row>
    <row r="74" spans="1:9" ht="31.2" customHeight="1">
      <c r="A74" s="59">
        <v>430</v>
      </c>
      <c r="B74" s="60" t="s">
        <v>21</v>
      </c>
      <c r="C74" s="62">
        <v>0</v>
      </c>
      <c r="D74" s="61">
        <v>3987186.9399999976</v>
      </c>
      <c r="E74" s="63">
        <v>4003249</v>
      </c>
      <c r="F74" s="63">
        <v>3960516.06</v>
      </c>
      <c r="G74" s="63"/>
      <c r="H74" s="64">
        <f t="shared" si="7"/>
        <v>3944453.9999999981</v>
      </c>
      <c r="I74" s="242">
        <f t="shared" si="6"/>
        <v>-3944453.9999999981</v>
      </c>
    </row>
    <row r="75" spans="1:9" ht="31.2" customHeight="1">
      <c r="A75" s="59" t="s">
        <v>267</v>
      </c>
      <c r="B75" s="60" t="s">
        <v>268</v>
      </c>
      <c r="C75" s="62">
        <v>0</v>
      </c>
      <c r="D75" s="61">
        <v>0</v>
      </c>
      <c r="E75" s="63">
        <v>57373262.259999998</v>
      </c>
      <c r="F75" s="63">
        <v>57373262.259999998</v>
      </c>
      <c r="G75" s="63"/>
      <c r="H75" s="64">
        <f t="shared" si="7"/>
        <v>0</v>
      </c>
      <c r="I75" s="242">
        <f t="shared" si="6"/>
        <v>0</v>
      </c>
    </row>
    <row r="76" spans="1:9" ht="31.2" customHeight="1">
      <c r="A76" s="59">
        <v>433</v>
      </c>
      <c r="B76" s="60" t="s">
        <v>22</v>
      </c>
      <c r="C76" s="62">
        <v>0</v>
      </c>
      <c r="D76" s="61">
        <v>2433841</v>
      </c>
      <c r="E76" s="63">
        <v>2433841</v>
      </c>
      <c r="F76" s="63">
        <v>52109325.259999998</v>
      </c>
      <c r="G76" s="63"/>
      <c r="H76" s="64">
        <f t="shared" si="7"/>
        <v>52109325.259999998</v>
      </c>
      <c r="I76" s="242">
        <f t="shared" ref="I76:I81" si="8">-H76</f>
        <v>-52109325.259999998</v>
      </c>
    </row>
    <row r="77" spans="1:9" ht="31.2" customHeight="1">
      <c r="A77" s="59">
        <v>473.01</v>
      </c>
      <c r="B77" s="60" t="s">
        <v>192</v>
      </c>
      <c r="C77" s="62">
        <v>0</v>
      </c>
      <c r="D77" s="61">
        <v>14397442086.139999</v>
      </c>
      <c r="E77" s="63">
        <v>0</v>
      </c>
      <c r="F77" s="63">
        <v>0</v>
      </c>
      <c r="G77" s="63"/>
      <c r="H77" s="64">
        <f t="shared" si="7"/>
        <v>14397442086.139999</v>
      </c>
      <c r="I77" s="242">
        <f t="shared" si="8"/>
        <v>-14397442086.139999</v>
      </c>
    </row>
    <row r="78" spans="1:9" ht="31.2" customHeight="1">
      <c r="A78" s="66">
        <v>473.02</v>
      </c>
      <c r="B78" s="60" t="s">
        <v>192</v>
      </c>
      <c r="C78" s="62">
        <v>0</v>
      </c>
      <c r="D78" s="61">
        <v>7545447000</v>
      </c>
      <c r="E78" s="63">
        <v>0</v>
      </c>
      <c r="F78" s="63">
        <v>0</v>
      </c>
      <c r="G78" s="63">
        <v>0</v>
      </c>
      <c r="H78" s="64">
        <f t="shared" si="7"/>
        <v>7545447000</v>
      </c>
      <c r="I78" s="242">
        <f t="shared" si="8"/>
        <v>-7545447000</v>
      </c>
    </row>
    <row r="79" spans="1:9" ht="31.2" customHeight="1">
      <c r="A79" s="66">
        <v>473.03</v>
      </c>
      <c r="B79" s="60" t="s">
        <v>193</v>
      </c>
      <c r="C79" s="62">
        <v>0</v>
      </c>
      <c r="D79" s="61">
        <v>21555014359.650002</v>
      </c>
      <c r="E79" s="63">
        <v>0</v>
      </c>
      <c r="F79" s="63">
        <v>0</v>
      </c>
      <c r="G79" s="63"/>
      <c r="H79" s="64">
        <f t="shared" si="7"/>
        <v>21555014359.650002</v>
      </c>
      <c r="I79" s="242">
        <f t="shared" si="8"/>
        <v>-21555014359.650002</v>
      </c>
    </row>
    <row r="80" spans="1:9" ht="31.2" customHeight="1">
      <c r="A80" s="59">
        <v>4816.01</v>
      </c>
      <c r="B80" s="60" t="s">
        <v>194</v>
      </c>
      <c r="C80" s="61">
        <v>0</v>
      </c>
      <c r="D80" s="62">
        <v>1615823567.95</v>
      </c>
      <c r="E80" s="63">
        <v>0</v>
      </c>
      <c r="F80" s="63">
        <v>0</v>
      </c>
      <c r="G80" s="63">
        <v>0</v>
      </c>
      <c r="H80" s="64">
        <f t="shared" si="7"/>
        <v>1615823567.95</v>
      </c>
      <c r="I80" s="242">
        <f t="shared" si="8"/>
        <v>-1615823567.95</v>
      </c>
    </row>
    <row r="81" spans="1:9" ht="31.2" customHeight="1">
      <c r="A81" s="59">
        <v>4816.0200000000004</v>
      </c>
      <c r="B81" s="60" t="s">
        <v>195</v>
      </c>
      <c r="C81" s="61">
        <v>0</v>
      </c>
      <c r="D81" s="62">
        <v>92178829.299999997</v>
      </c>
      <c r="E81" s="63">
        <v>0</v>
      </c>
      <c r="F81" s="63">
        <v>0</v>
      </c>
      <c r="G81" s="63">
        <v>0</v>
      </c>
      <c r="H81" s="64">
        <f t="shared" si="7"/>
        <v>92178829.299999997</v>
      </c>
      <c r="I81" s="242">
        <f t="shared" si="8"/>
        <v>-92178829.299999997</v>
      </c>
    </row>
    <row r="82" spans="1:9" ht="31.2" customHeight="1">
      <c r="A82" s="59" t="s">
        <v>296</v>
      </c>
      <c r="B82" s="60" t="s">
        <v>297</v>
      </c>
      <c r="C82" s="61">
        <v>0</v>
      </c>
      <c r="D82" s="62">
        <v>0</v>
      </c>
      <c r="E82" s="63">
        <v>35000000</v>
      </c>
      <c r="F82" s="63">
        <v>35000000</v>
      </c>
      <c r="G82" s="63"/>
      <c r="H82" s="64"/>
      <c r="I82" s="40"/>
    </row>
    <row r="83" spans="1:9" ht="31.2" customHeight="1">
      <c r="A83" s="59" t="s">
        <v>196</v>
      </c>
      <c r="B83" s="60" t="s">
        <v>197</v>
      </c>
      <c r="C83" s="61">
        <v>0</v>
      </c>
      <c r="D83" s="62">
        <v>0</v>
      </c>
      <c r="E83" s="63">
        <v>186450000</v>
      </c>
      <c r="F83" s="63">
        <v>186450000</v>
      </c>
      <c r="G83" s="63"/>
      <c r="H83" s="64"/>
      <c r="I83" s="40"/>
    </row>
    <row r="84" spans="1:9" ht="31.2" customHeight="1">
      <c r="A84" s="59" t="s">
        <v>298</v>
      </c>
      <c r="B84" s="60" t="s">
        <v>299</v>
      </c>
      <c r="C84" s="61">
        <v>0</v>
      </c>
      <c r="D84" s="62">
        <v>0</v>
      </c>
      <c r="E84" s="63">
        <v>717209230.5</v>
      </c>
      <c r="F84" s="63">
        <v>717209230.5</v>
      </c>
      <c r="G84" s="63">
        <v>0</v>
      </c>
      <c r="H84" s="64">
        <f t="shared" ref="H84" si="9">D84+F84-E84</f>
        <v>0</v>
      </c>
      <c r="I84" s="40">
        <f t="shared" ref="I84" si="10">-H84</f>
        <v>0</v>
      </c>
    </row>
    <row r="85" spans="1:9" ht="31.2" customHeight="1">
      <c r="A85" s="59" t="s">
        <v>111</v>
      </c>
      <c r="B85" s="60" t="s">
        <v>23</v>
      </c>
      <c r="C85" s="61">
        <v>840767969.58000004</v>
      </c>
      <c r="D85" s="62">
        <v>0</v>
      </c>
      <c r="E85" s="63">
        <v>347644637.97000003</v>
      </c>
      <c r="F85" s="63">
        <v>0</v>
      </c>
      <c r="G85" s="63">
        <f t="shared" ref="G85:G118" si="11">C85+E85-F85</f>
        <v>1188412607.5500002</v>
      </c>
      <c r="H85" s="64">
        <v>0</v>
      </c>
      <c r="I85" s="241">
        <f t="shared" ref="I85:I95" si="12">G85</f>
        <v>1188412607.5500002</v>
      </c>
    </row>
    <row r="86" spans="1:9" ht="31.2" customHeight="1">
      <c r="A86" s="59" t="s">
        <v>198</v>
      </c>
      <c r="B86" s="60" t="s">
        <v>199</v>
      </c>
      <c r="C86" s="62">
        <v>1145814052.1100001</v>
      </c>
      <c r="D86" s="61">
        <v>0</v>
      </c>
      <c r="E86" s="63">
        <v>17667724.41</v>
      </c>
      <c r="F86" s="63">
        <v>0</v>
      </c>
      <c r="G86" s="63">
        <f t="shared" si="11"/>
        <v>1163481776.5200002</v>
      </c>
      <c r="H86" s="64">
        <v>0</v>
      </c>
      <c r="I86" s="241">
        <f t="shared" si="12"/>
        <v>1163481776.5200002</v>
      </c>
    </row>
    <row r="87" spans="1:9" ht="31.2" customHeight="1">
      <c r="A87" s="59">
        <v>606.02</v>
      </c>
      <c r="B87" s="60" t="s">
        <v>24</v>
      </c>
      <c r="C87" s="62">
        <v>1049000</v>
      </c>
      <c r="D87" s="61">
        <v>0</v>
      </c>
      <c r="E87" s="246">
        <v>110000</v>
      </c>
      <c r="F87" s="63">
        <v>0</v>
      </c>
      <c r="G87" s="63">
        <f t="shared" si="11"/>
        <v>1159000</v>
      </c>
      <c r="H87" s="64">
        <v>0</v>
      </c>
      <c r="I87" s="241">
        <f t="shared" si="12"/>
        <v>1159000</v>
      </c>
    </row>
    <row r="88" spans="1:9" ht="31.2" customHeight="1">
      <c r="A88" s="59">
        <v>606.03</v>
      </c>
      <c r="B88" s="60" t="s">
        <v>25</v>
      </c>
      <c r="C88" s="62">
        <v>6565000</v>
      </c>
      <c r="D88" s="61">
        <v>0</v>
      </c>
      <c r="E88" s="246">
        <v>4400000</v>
      </c>
      <c r="F88" s="63">
        <v>0</v>
      </c>
      <c r="G88" s="63">
        <f t="shared" si="11"/>
        <v>10965000</v>
      </c>
      <c r="H88" s="64">
        <v>0</v>
      </c>
      <c r="I88" s="241">
        <f t="shared" si="12"/>
        <v>10965000</v>
      </c>
    </row>
    <row r="89" spans="1:9" ht="31.2" customHeight="1">
      <c r="A89" s="59">
        <v>606.04</v>
      </c>
      <c r="B89" s="60" t="s">
        <v>300</v>
      </c>
      <c r="C89" s="62">
        <v>0</v>
      </c>
      <c r="D89" s="61">
        <v>0</v>
      </c>
      <c r="E89" s="246">
        <v>509040</v>
      </c>
      <c r="F89" s="63">
        <v>0</v>
      </c>
      <c r="G89" s="63">
        <f t="shared" si="11"/>
        <v>509040</v>
      </c>
      <c r="H89" s="64">
        <v>0</v>
      </c>
      <c r="I89" s="241">
        <f t="shared" si="12"/>
        <v>509040</v>
      </c>
    </row>
    <row r="90" spans="1:9" ht="31.2" customHeight="1">
      <c r="A90" s="59" t="s">
        <v>269</v>
      </c>
      <c r="B90" s="60" t="s">
        <v>270</v>
      </c>
      <c r="C90" s="62">
        <v>300000</v>
      </c>
      <c r="D90" s="61">
        <v>0</v>
      </c>
      <c r="E90" s="246">
        <v>300000</v>
      </c>
      <c r="F90" s="63">
        <v>0</v>
      </c>
      <c r="G90" s="63">
        <f t="shared" si="11"/>
        <v>600000</v>
      </c>
      <c r="H90" s="64">
        <v>0</v>
      </c>
      <c r="I90" s="241">
        <f t="shared" si="12"/>
        <v>600000</v>
      </c>
    </row>
    <row r="91" spans="1:9" ht="31.2" customHeight="1">
      <c r="A91" s="59" t="s">
        <v>271</v>
      </c>
      <c r="B91" s="60" t="s">
        <v>47</v>
      </c>
      <c r="C91" s="62">
        <v>15000</v>
      </c>
      <c r="D91" s="61">
        <v>0</v>
      </c>
      <c r="E91" s="246">
        <v>0</v>
      </c>
      <c r="F91" s="63">
        <v>0</v>
      </c>
      <c r="G91" s="63">
        <f t="shared" si="11"/>
        <v>15000</v>
      </c>
      <c r="H91" s="64">
        <v>0</v>
      </c>
      <c r="I91" s="241">
        <f t="shared" si="12"/>
        <v>15000</v>
      </c>
    </row>
    <row r="92" spans="1:9" ht="31.2" customHeight="1">
      <c r="A92" s="59" t="s">
        <v>200</v>
      </c>
      <c r="B92" s="60" t="s">
        <v>26</v>
      </c>
      <c r="C92" s="62">
        <v>25743760</v>
      </c>
      <c r="D92" s="61">
        <v>0</v>
      </c>
      <c r="E92" s="246">
        <v>0</v>
      </c>
      <c r="F92" s="63">
        <v>0</v>
      </c>
      <c r="G92" s="63">
        <f t="shared" si="11"/>
        <v>25743760</v>
      </c>
      <c r="H92" s="64">
        <v>0</v>
      </c>
      <c r="I92" s="241">
        <f t="shared" si="12"/>
        <v>25743760</v>
      </c>
    </row>
    <row r="93" spans="1:9" ht="31.2" customHeight="1">
      <c r="A93" s="59" t="s">
        <v>201</v>
      </c>
      <c r="B93" s="60" t="s">
        <v>27</v>
      </c>
      <c r="C93" s="62">
        <v>8018691.79</v>
      </c>
      <c r="D93" s="61">
        <v>0</v>
      </c>
      <c r="E93" s="246">
        <v>4009346</v>
      </c>
      <c r="F93" s="63">
        <v>0</v>
      </c>
      <c r="G93" s="63">
        <f t="shared" si="11"/>
        <v>12028037.789999999</v>
      </c>
      <c r="H93" s="64">
        <v>0</v>
      </c>
      <c r="I93" s="241">
        <f t="shared" si="12"/>
        <v>12028037.789999999</v>
      </c>
    </row>
    <row r="94" spans="1:9" ht="31.2" customHeight="1">
      <c r="A94" s="59" t="s">
        <v>272</v>
      </c>
      <c r="B94" s="60" t="s">
        <v>273</v>
      </c>
      <c r="C94" s="62">
        <v>3000000</v>
      </c>
      <c r="D94" s="61">
        <v>0</v>
      </c>
      <c r="E94" s="246">
        <v>2500000</v>
      </c>
      <c r="F94" s="63">
        <v>0</v>
      </c>
      <c r="G94" s="63">
        <f t="shared" si="11"/>
        <v>5500000</v>
      </c>
      <c r="H94" s="64">
        <v>0</v>
      </c>
      <c r="I94" s="241">
        <f t="shared" si="12"/>
        <v>5500000</v>
      </c>
    </row>
    <row r="95" spans="1:9" ht="31.2" customHeight="1">
      <c r="A95" s="59" t="s">
        <v>202</v>
      </c>
      <c r="B95" s="60" t="s">
        <v>102</v>
      </c>
      <c r="C95" s="62">
        <v>32408301.309999999</v>
      </c>
      <c r="D95" s="61">
        <v>0</v>
      </c>
      <c r="E95" s="246">
        <v>0</v>
      </c>
      <c r="F95" s="63">
        <v>0</v>
      </c>
      <c r="G95" s="63">
        <f t="shared" si="11"/>
        <v>32408301.309999999</v>
      </c>
      <c r="H95" s="64">
        <v>0</v>
      </c>
      <c r="I95" s="241">
        <f t="shared" si="12"/>
        <v>32408301.309999999</v>
      </c>
    </row>
    <row r="96" spans="1:9" ht="31.2" customHeight="1">
      <c r="A96" s="59" t="s">
        <v>274</v>
      </c>
      <c r="B96" s="60" t="s">
        <v>275</v>
      </c>
      <c r="C96" s="62">
        <v>13665800</v>
      </c>
      <c r="D96" s="61">
        <v>0</v>
      </c>
      <c r="E96" s="246">
        <v>13670000</v>
      </c>
      <c r="F96" s="63">
        <v>0</v>
      </c>
      <c r="G96" s="63">
        <f t="shared" si="11"/>
        <v>27335800</v>
      </c>
      <c r="H96" s="64">
        <v>0</v>
      </c>
      <c r="I96" s="241">
        <f t="shared" ref="I96:I105" si="13">G96</f>
        <v>27335800</v>
      </c>
    </row>
    <row r="97" spans="1:9" ht="31.2" customHeight="1">
      <c r="A97" s="59" t="s">
        <v>203</v>
      </c>
      <c r="B97" s="60" t="s">
        <v>28</v>
      </c>
      <c r="C97" s="62">
        <v>5924450</v>
      </c>
      <c r="D97" s="61">
        <v>0</v>
      </c>
      <c r="E97" s="246">
        <v>4237500</v>
      </c>
      <c r="F97" s="63">
        <v>0</v>
      </c>
      <c r="G97" s="63">
        <f t="shared" si="11"/>
        <v>10161950</v>
      </c>
      <c r="H97" s="64">
        <v>0</v>
      </c>
      <c r="I97" s="241">
        <f t="shared" si="13"/>
        <v>10161950</v>
      </c>
    </row>
    <row r="98" spans="1:9" ht="31.2" customHeight="1">
      <c r="A98" s="59" t="s">
        <v>204</v>
      </c>
      <c r="B98" s="60" t="s">
        <v>29</v>
      </c>
      <c r="C98" s="62">
        <v>280000</v>
      </c>
      <c r="D98" s="61">
        <v>0</v>
      </c>
      <c r="E98" s="246">
        <v>450000</v>
      </c>
      <c r="F98" s="63">
        <v>0</v>
      </c>
      <c r="G98" s="63">
        <f t="shared" si="11"/>
        <v>730000</v>
      </c>
      <c r="H98" s="64">
        <v>0</v>
      </c>
      <c r="I98" s="154">
        <f t="shared" si="13"/>
        <v>730000</v>
      </c>
    </row>
    <row r="99" spans="1:9" ht="31.2" customHeight="1">
      <c r="A99" s="59" t="s">
        <v>205</v>
      </c>
      <c r="B99" s="60" t="s">
        <v>30</v>
      </c>
      <c r="C99" s="62">
        <v>5135000</v>
      </c>
      <c r="D99" s="61">
        <v>0</v>
      </c>
      <c r="E99" s="246">
        <v>0</v>
      </c>
      <c r="F99" s="63">
        <v>0</v>
      </c>
      <c r="G99" s="63">
        <f t="shared" si="11"/>
        <v>5135000</v>
      </c>
      <c r="H99" s="64">
        <v>0</v>
      </c>
      <c r="I99" s="154">
        <f t="shared" si="13"/>
        <v>5135000</v>
      </c>
    </row>
    <row r="100" spans="1:9" ht="31.2" customHeight="1">
      <c r="A100" s="59" t="s">
        <v>206</v>
      </c>
      <c r="B100" s="60" t="s">
        <v>135</v>
      </c>
      <c r="C100" s="62">
        <v>25675759</v>
      </c>
      <c r="D100" s="61">
        <v>0</v>
      </c>
      <c r="E100" s="246">
        <v>180000</v>
      </c>
      <c r="F100" s="63">
        <v>0</v>
      </c>
      <c r="G100" s="63">
        <f t="shared" si="11"/>
        <v>25855759</v>
      </c>
      <c r="H100" s="64">
        <v>0</v>
      </c>
      <c r="I100" s="154">
        <f t="shared" si="13"/>
        <v>25855759</v>
      </c>
    </row>
    <row r="101" spans="1:9" ht="31.2" customHeight="1">
      <c r="A101" s="59" t="s">
        <v>207</v>
      </c>
      <c r="B101" s="60" t="s">
        <v>31</v>
      </c>
      <c r="C101" s="61">
        <v>368000</v>
      </c>
      <c r="D101" s="62">
        <v>0</v>
      </c>
      <c r="E101" s="246">
        <v>194000</v>
      </c>
      <c r="F101" s="63">
        <v>0</v>
      </c>
      <c r="G101" s="63">
        <f t="shared" si="11"/>
        <v>562000</v>
      </c>
      <c r="H101" s="64">
        <v>0</v>
      </c>
      <c r="I101" s="154">
        <f t="shared" si="13"/>
        <v>562000</v>
      </c>
    </row>
    <row r="102" spans="1:9" ht="31.2" customHeight="1">
      <c r="A102" s="59" t="s">
        <v>208</v>
      </c>
      <c r="B102" s="60" t="s">
        <v>32</v>
      </c>
      <c r="C102" s="62">
        <v>980000</v>
      </c>
      <c r="D102" s="61">
        <v>0</v>
      </c>
      <c r="E102" s="246">
        <v>490000</v>
      </c>
      <c r="F102" s="63">
        <v>0</v>
      </c>
      <c r="G102" s="63">
        <f t="shared" si="11"/>
        <v>1470000</v>
      </c>
      <c r="H102" s="64">
        <v>0</v>
      </c>
      <c r="I102" s="154">
        <f t="shared" si="13"/>
        <v>1470000</v>
      </c>
    </row>
    <row r="103" spans="1:9" ht="31.2" customHeight="1">
      <c r="A103" s="59" t="s">
        <v>209</v>
      </c>
      <c r="B103" s="60" t="s">
        <v>210</v>
      </c>
      <c r="C103" s="62">
        <v>2950614.24</v>
      </c>
      <c r="D103" s="61">
        <v>0</v>
      </c>
      <c r="E103" s="246">
        <v>0</v>
      </c>
      <c r="F103" s="63">
        <v>0</v>
      </c>
      <c r="G103" s="63">
        <f t="shared" si="11"/>
        <v>2950614.24</v>
      </c>
      <c r="H103" s="64">
        <v>0</v>
      </c>
      <c r="I103" s="154">
        <f t="shared" si="13"/>
        <v>2950614.24</v>
      </c>
    </row>
    <row r="104" spans="1:9" ht="31.2" customHeight="1">
      <c r="A104" s="59" t="s">
        <v>211</v>
      </c>
      <c r="B104" s="60" t="s">
        <v>33</v>
      </c>
      <c r="C104" s="62">
        <v>3680000</v>
      </c>
      <c r="D104" s="61">
        <v>0</v>
      </c>
      <c r="E104" s="246">
        <v>0</v>
      </c>
      <c r="F104" s="63">
        <v>0</v>
      </c>
      <c r="G104" s="63">
        <f t="shared" si="11"/>
        <v>3680000</v>
      </c>
      <c r="H104" s="64">
        <v>0</v>
      </c>
      <c r="I104" s="154">
        <f t="shared" si="13"/>
        <v>3680000</v>
      </c>
    </row>
    <row r="105" spans="1:9" ht="31.2" customHeight="1">
      <c r="A105" s="228" t="s">
        <v>212</v>
      </c>
      <c r="B105" s="229" t="s">
        <v>34</v>
      </c>
      <c r="C105" s="230">
        <v>412000</v>
      </c>
      <c r="D105" s="231">
        <v>0</v>
      </c>
      <c r="E105" s="246">
        <v>1178000</v>
      </c>
      <c r="F105" s="87">
        <v>0</v>
      </c>
      <c r="G105" s="63">
        <f t="shared" si="11"/>
        <v>1590000</v>
      </c>
      <c r="H105" s="232">
        <v>0</v>
      </c>
      <c r="I105" s="154">
        <f t="shared" si="13"/>
        <v>1590000</v>
      </c>
    </row>
    <row r="106" spans="1:9" ht="31.2" customHeight="1">
      <c r="A106" s="59" t="s">
        <v>276</v>
      </c>
      <c r="B106" s="60" t="s">
        <v>263</v>
      </c>
      <c r="C106" s="62">
        <v>6686000</v>
      </c>
      <c r="D106" s="61">
        <v>0</v>
      </c>
      <c r="E106" s="246">
        <v>0</v>
      </c>
      <c r="F106" s="63">
        <v>0</v>
      </c>
      <c r="G106" s="63">
        <f t="shared" si="11"/>
        <v>6686000</v>
      </c>
      <c r="H106" s="64">
        <v>0</v>
      </c>
      <c r="I106" s="154">
        <f>G106</f>
        <v>6686000</v>
      </c>
    </row>
    <row r="107" spans="1:9" ht="31.2" customHeight="1">
      <c r="A107" s="59" t="s">
        <v>277</v>
      </c>
      <c r="B107" s="60" t="s">
        <v>244</v>
      </c>
      <c r="C107" s="62">
        <v>1677000</v>
      </c>
      <c r="D107" s="61">
        <v>0</v>
      </c>
      <c r="E107" s="246">
        <v>0</v>
      </c>
      <c r="F107" s="63">
        <v>0</v>
      </c>
      <c r="G107" s="63">
        <f t="shared" si="11"/>
        <v>1677000</v>
      </c>
      <c r="H107" s="64">
        <v>0</v>
      </c>
      <c r="I107" s="154">
        <f t="shared" ref="I107:I118" si="14">G107</f>
        <v>1677000</v>
      </c>
    </row>
    <row r="108" spans="1:9" ht="31.2" customHeight="1">
      <c r="A108" s="59" t="s">
        <v>213</v>
      </c>
      <c r="B108" s="60" t="s">
        <v>36</v>
      </c>
      <c r="C108" s="62">
        <v>1149159.7899999998</v>
      </c>
      <c r="D108" s="61">
        <v>0</v>
      </c>
      <c r="E108" s="246">
        <v>548345.03</v>
      </c>
      <c r="F108" s="63">
        <v>0</v>
      </c>
      <c r="G108" s="63">
        <f t="shared" si="11"/>
        <v>1697504.8199999998</v>
      </c>
      <c r="H108" s="64">
        <v>0</v>
      </c>
      <c r="I108" s="154">
        <f t="shared" si="14"/>
        <v>1697504.8199999998</v>
      </c>
    </row>
    <row r="109" spans="1:9" ht="31.2" customHeight="1">
      <c r="A109" s="59" t="s">
        <v>214</v>
      </c>
      <c r="B109" s="60" t="s">
        <v>215</v>
      </c>
      <c r="C109" s="62">
        <v>6420000</v>
      </c>
      <c r="D109" s="61">
        <v>0</v>
      </c>
      <c r="E109" s="246">
        <v>0</v>
      </c>
      <c r="F109" s="63">
        <v>0</v>
      </c>
      <c r="G109" s="63">
        <f t="shared" si="11"/>
        <v>6420000</v>
      </c>
      <c r="H109" s="64">
        <v>0</v>
      </c>
      <c r="I109" s="154">
        <f t="shared" si="14"/>
        <v>6420000</v>
      </c>
    </row>
    <row r="110" spans="1:9" ht="31.2" customHeight="1">
      <c r="A110" s="59" t="s">
        <v>216</v>
      </c>
      <c r="B110" s="60" t="s">
        <v>136</v>
      </c>
      <c r="C110" s="62">
        <v>240967688</v>
      </c>
      <c r="D110" s="61">
        <v>0</v>
      </c>
      <c r="E110" s="246">
        <v>35966100</v>
      </c>
      <c r="F110" s="63">
        <v>0</v>
      </c>
      <c r="G110" s="63">
        <f t="shared" si="11"/>
        <v>276933788</v>
      </c>
      <c r="H110" s="64">
        <v>0</v>
      </c>
      <c r="I110" s="154">
        <f t="shared" si="14"/>
        <v>276933788</v>
      </c>
    </row>
    <row r="111" spans="1:9" ht="31.2" customHeight="1">
      <c r="A111" s="59" t="s">
        <v>278</v>
      </c>
      <c r="B111" s="60" t="s">
        <v>279</v>
      </c>
      <c r="C111" s="62">
        <v>1869476.94</v>
      </c>
      <c r="D111" s="61">
        <v>0</v>
      </c>
      <c r="E111" s="246">
        <v>1791356</v>
      </c>
      <c r="F111" s="63">
        <v>0</v>
      </c>
      <c r="G111" s="63">
        <f t="shared" si="11"/>
        <v>3660832.94</v>
      </c>
      <c r="H111" s="64">
        <v>0</v>
      </c>
      <c r="I111" s="154">
        <f t="shared" si="14"/>
        <v>3660832.94</v>
      </c>
    </row>
    <row r="112" spans="1:9" ht="31.2" customHeight="1">
      <c r="A112" s="59" t="s">
        <v>280</v>
      </c>
      <c r="B112" s="60" t="s">
        <v>281</v>
      </c>
      <c r="C112" s="62">
        <v>968865</v>
      </c>
      <c r="D112" s="62">
        <v>0</v>
      </c>
      <c r="E112" s="246">
        <v>770700</v>
      </c>
      <c r="F112" s="63">
        <v>0</v>
      </c>
      <c r="G112" s="63">
        <f t="shared" si="11"/>
        <v>1739565</v>
      </c>
      <c r="H112" s="64">
        <v>0</v>
      </c>
      <c r="I112" s="154">
        <f t="shared" si="14"/>
        <v>1739565</v>
      </c>
    </row>
    <row r="113" spans="1:9" ht="31.2" customHeight="1">
      <c r="A113" s="59" t="s">
        <v>217</v>
      </c>
      <c r="B113" s="60" t="s">
        <v>218</v>
      </c>
      <c r="C113" s="62">
        <v>33134941.039999999</v>
      </c>
      <c r="D113" s="61">
        <v>0</v>
      </c>
      <c r="E113" s="246">
        <v>0</v>
      </c>
      <c r="F113" s="63">
        <v>0</v>
      </c>
      <c r="G113" s="63">
        <f t="shared" si="11"/>
        <v>33134941.039999999</v>
      </c>
      <c r="H113" s="64">
        <v>0</v>
      </c>
      <c r="I113" s="154">
        <f t="shared" si="14"/>
        <v>33134941.039999999</v>
      </c>
    </row>
    <row r="114" spans="1:9" ht="31.2" customHeight="1">
      <c r="A114" s="59" t="s">
        <v>137</v>
      </c>
      <c r="B114" s="60" t="s">
        <v>35</v>
      </c>
      <c r="C114" s="62">
        <v>744000</v>
      </c>
      <c r="D114" s="61">
        <v>0</v>
      </c>
      <c r="E114" s="246">
        <v>0</v>
      </c>
      <c r="F114" s="63">
        <v>0</v>
      </c>
      <c r="G114" s="63">
        <f t="shared" si="11"/>
        <v>744000</v>
      </c>
      <c r="H114" s="64">
        <v>0</v>
      </c>
      <c r="I114" s="154">
        <f t="shared" si="14"/>
        <v>744000</v>
      </c>
    </row>
    <row r="115" spans="1:9" ht="31.2" customHeight="1">
      <c r="A115" s="59" t="s">
        <v>282</v>
      </c>
      <c r="B115" s="60" t="s">
        <v>283</v>
      </c>
      <c r="C115" s="62">
        <v>1114000</v>
      </c>
      <c r="D115" s="61">
        <v>0</v>
      </c>
      <c r="E115" s="246">
        <v>0</v>
      </c>
      <c r="F115" s="63">
        <v>0</v>
      </c>
      <c r="G115" s="63">
        <f t="shared" si="11"/>
        <v>1114000</v>
      </c>
      <c r="H115" s="64">
        <v>0</v>
      </c>
      <c r="I115" s="154">
        <f t="shared" si="14"/>
        <v>1114000</v>
      </c>
    </row>
    <row r="116" spans="1:9" ht="31.2" customHeight="1">
      <c r="A116" s="59">
        <v>658</v>
      </c>
      <c r="B116" s="60" t="s">
        <v>38</v>
      </c>
      <c r="C116" s="62">
        <v>0</v>
      </c>
      <c r="D116" s="61">
        <v>8346922.9200000027</v>
      </c>
      <c r="E116" s="246">
        <v>25000</v>
      </c>
      <c r="F116" s="63">
        <v>0</v>
      </c>
      <c r="G116" s="63">
        <v>0</v>
      </c>
      <c r="H116" s="64">
        <f>D116+F116-E116</f>
        <v>8321922.9200000027</v>
      </c>
      <c r="I116" s="154">
        <f>-H116</f>
        <v>-8321922.9200000027</v>
      </c>
    </row>
    <row r="117" spans="1:9" ht="31.2" customHeight="1">
      <c r="A117" s="59">
        <v>663</v>
      </c>
      <c r="B117" s="60" t="s">
        <v>39</v>
      </c>
      <c r="C117" s="62">
        <v>51045468.520000003</v>
      </c>
      <c r="D117" s="61">
        <v>0</v>
      </c>
      <c r="E117" s="246">
        <v>55909075.590000004</v>
      </c>
      <c r="F117" s="63">
        <v>0</v>
      </c>
      <c r="G117" s="63">
        <f t="shared" si="11"/>
        <v>106954544.11000001</v>
      </c>
      <c r="H117" s="64">
        <v>0</v>
      </c>
      <c r="I117" s="154">
        <f t="shared" si="14"/>
        <v>106954544.11000001</v>
      </c>
    </row>
    <row r="118" spans="1:9" ht="31.2" customHeight="1">
      <c r="A118" s="59" t="s">
        <v>219</v>
      </c>
      <c r="B118" s="60" t="s">
        <v>40</v>
      </c>
      <c r="C118" s="62">
        <v>152827953.26999998</v>
      </c>
      <c r="D118" s="61">
        <v>0</v>
      </c>
      <c r="E118" s="246">
        <v>76786465.269999996</v>
      </c>
      <c r="F118" s="63">
        <v>0</v>
      </c>
      <c r="G118" s="63">
        <f t="shared" si="11"/>
        <v>229614418.53999996</v>
      </c>
      <c r="H118" s="64">
        <v>0</v>
      </c>
      <c r="I118" s="154">
        <f t="shared" si="14"/>
        <v>229614418.53999996</v>
      </c>
    </row>
    <row r="119" spans="1:9" ht="31.2" customHeight="1">
      <c r="A119" s="59">
        <v>701.01</v>
      </c>
      <c r="B119" s="60" t="s">
        <v>41</v>
      </c>
      <c r="C119" s="61">
        <v>0</v>
      </c>
      <c r="D119" s="62">
        <v>2633808201</v>
      </c>
      <c r="E119" s="87">
        <v>0</v>
      </c>
      <c r="F119" s="63">
        <v>819617888.24000001</v>
      </c>
      <c r="G119" s="63">
        <v>0</v>
      </c>
      <c r="H119" s="64">
        <f>D119+F119-E119</f>
        <v>3453426089.2399998</v>
      </c>
      <c r="I119" s="242">
        <f>-H119</f>
        <v>-3453426089.2399998</v>
      </c>
    </row>
    <row r="120" spans="1:9" ht="31.2" customHeight="1">
      <c r="A120" s="59">
        <v>763</v>
      </c>
      <c r="B120" s="60" t="s">
        <v>42</v>
      </c>
      <c r="C120" s="62">
        <v>0</v>
      </c>
      <c r="D120" s="62">
        <v>5290182.72</v>
      </c>
      <c r="E120" s="87">
        <v>0</v>
      </c>
      <c r="F120" s="63">
        <v>2915094.11</v>
      </c>
      <c r="G120" s="63">
        <v>0</v>
      </c>
      <c r="H120" s="64">
        <f t="shared" ref="H120:H122" si="15">D120+F120-E120</f>
        <v>8205276.8300000001</v>
      </c>
      <c r="I120" s="242">
        <f t="shared" ref="I120:I122" si="16">-H120</f>
        <v>-8205276.8300000001</v>
      </c>
    </row>
    <row r="121" spans="1:9" ht="31.2" customHeight="1">
      <c r="A121" s="59">
        <v>768</v>
      </c>
      <c r="B121" s="60" t="s">
        <v>43</v>
      </c>
      <c r="C121" s="62">
        <v>0</v>
      </c>
      <c r="D121" s="62">
        <v>161334438.91999999</v>
      </c>
      <c r="E121" s="87">
        <v>0</v>
      </c>
      <c r="F121" s="63">
        <v>250000</v>
      </c>
      <c r="G121" s="63">
        <v>0</v>
      </c>
      <c r="H121" s="64">
        <f t="shared" si="15"/>
        <v>161584438.91999999</v>
      </c>
      <c r="I121" s="242">
        <f t="shared" si="16"/>
        <v>-161584438.91999999</v>
      </c>
    </row>
    <row r="122" spans="1:9" ht="31.2" customHeight="1">
      <c r="A122" s="59" t="s">
        <v>301</v>
      </c>
      <c r="B122" s="60" t="s">
        <v>302</v>
      </c>
      <c r="C122" s="62">
        <v>0</v>
      </c>
      <c r="D122" s="61">
        <v>0</v>
      </c>
      <c r="E122" s="87">
        <v>0</v>
      </c>
      <c r="F122" s="63">
        <v>21160380</v>
      </c>
      <c r="G122" s="63">
        <v>0</v>
      </c>
      <c r="H122" s="64">
        <f t="shared" si="15"/>
        <v>21160380</v>
      </c>
      <c r="I122" s="242">
        <f t="shared" si="16"/>
        <v>-21160380</v>
      </c>
    </row>
    <row r="123" spans="1:9" ht="31.2" customHeight="1">
      <c r="A123" s="214" t="s">
        <v>116</v>
      </c>
      <c r="B123" s="47"/>
      <c r="C123" s="48">
        <f>SUM(C8:C122)</f>
        <v>67721098495.109993</v>
      </c>
      <c r="D123" s="48">
        <f>SUM(D8:D122)</f>
        <v>67721098495.109993</v>
      </c>
      <c r="E123" s="49">
        <f>SUM(E8:E122)</f>
        <v>4712040860.2000008</v>
      </c>
      <c r="F123" s="49">
        <f>SUM(F8:F122)</f>
        <v>4712040860.1999998</v>
      </c>
      <c r="G123" s="244">
        <f>SUM(G8:G122)</f>
        <v>68846936534.349991</v>
      </c>
      <c r="H123" s="244">
        <f>SUM(H8:H122)</f>
        <v>68846936534.349991</v>
      </c>
      <c r="I123" s="243">
        <f>SUM(I8:I122)</f>
        <v>-3.814697265625E-6</v>
      </c>
    </row>
    <row r="124" spans="1:9" ht="31.2" customHeight="1">
      <c r="D124" s="32">
        <f>C123-D123</f>
        <v>0</v>
      </c>
      <c r="F124" s="32">
        <f>E123-F123</f>
        <v>0</v>
      </c>
      <c r="H124" s="32">
        <f>G123-H123</f>
        <v>0</v>
      </c>
    </row>
    <row r="125" spans="1:9" ht="31.2" customHeight="1">
      <c r="D125" s="41"/>
      <c r="E125" s="169">
        <f>SUM(E85:E122)</f>
        <v>569337290.26999998</v>
      </c>
      <c r="F125" s="170">
        <f>SUM(F119:F122)</f>
        <v>843943362.35000002</v>
      </c>
    </row>
    <row r="126" spans="1:9" ht="31.2" customHeight="1">
      <c r="D126" s="41"/>
      <c r="E126" s="171"/>
      <c r="F126" s="225">
        <f>F125-E125</f>
        <v>274606072.08000004</v>
      </c>
    </row>
  </sheetData>
  <autoFilter ref="A7:H7" xr:uid="{9F3797E1-9A3F-4606-AEFC-8F1F0D331D4B}"/>
  <mergeCells count="3">
    <mergeCell ref="C6:D6"/>
    <mergeCell ref="E6:F6"/>
    <mergeCell ref="G6:H6"/>
  </mergeCells>
  <pageMargins left="0.25" right="0.25" top="0.25" bottom="0.25" header="0" footer="0"/>
  <pageSetup paperSize="9" fitToWidth="0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18"/>
  <sheetViews>
    <sheetView topLeftCell="B1" zoomScaleNormal="100" workbookViewId="0">
      <pane xSplit="6" ySplit="7" topLeftCell="H102" activePane="bottomRight" state="frozen"/>
      <selection activeCell="B1" sqref="B1"/>
      <selection pane="topRight" activeCell="H1" sqref="H1"/>
      <selection pane="bottomLeft" activeCell="B8" sqref="B8"/>
      <selection pane="bottomRight" activeCell="T92" sqref="T92"/>
    </sheetView>
  </sheetViews>
  <sheetFormatPr defaultColWidth="8.6640625" defaultRowHeight="13.2"/>
  <cols>
    <col min="1" max="1" width="3.6640625" style="2" customWidth="1"/>
    <col min="2" max="2" width="5.109375" style="2" customWidth="1"/>
    <col min="3" max="3" width="8.109375" style="2" customWidth="1"/>
    <col min="4" max="4" width="40.109375" style="2" customWidth="1"/>
    <col min="5" max="5" width="1.6640625" style="3" customWidth="1"/>
    <col min="6" max="6" width="1.88671875" style="2" customWidth="1"/>
    <col min="7" max="7" width="19.33203125" style="2" customWidth="1"/>
    <col min="8" max="8" width="20.6640625" style="4" customWidth="1"/>
    <col min="9" max="9" width="19.44140625" style="3" customWidth="1"/>
    <col min="10" max="10" width="17.44140625" style="3" customWidth="1"/>
    <col min="11" max="11" width="17.44140625" style="3" hidden="1" customWidth="1"/>
    <col min="12" max="13" width="17.44140625" style="4" hidden="1" customWidth="1"/>
    <col min="14" max="18" width="18.33203125" style="4" hidden="1" customWidth="1"/>
    <col min="19" max="19" width="18.33203125" style="4" customWidth="1"/>
    <col min="20" max="20" width="17.6640625" style="2" bestFit="1" customWidth="1"/>
    <col min="21" max="21" width="23.6640625" style="2" hidden="1" customWidth="1"/>
    <col min="22" max="16384" width="8.6640625" style="2"/>
  </cols>
  <sheetData>
    <row r="1" spans="1:22">
      <c r="A1" s="1" t="s">
        <v>239</v>
      </c>
      <c r="B1" s="1"/>
    </row>
    <row r="2" spans="1:22" ht="15">
      <c r="A2" s="5" t="s">
        <v>54</v>
      </c>
      <c r="B2" s="6"/>
      <c r="C2" s="5"/>
      <c r="D2" s="5"/>
      <c r="E2" s="7"/>
      <c r="F2" s="8"/>
    </row>
    <row r="3" spans="1:22" ht="15">
      <c r="A3" s="5" t="s">
        <v>303</v>
      </c>
      <c r="B3" s="6"/>
      <c r="C3" s="5"/>
      <c r="D3" s="5"/>
      <c r="E3" s="7"/>
      <c r="F3" s="8"/>
    </row>
    <row r="4" spans="1:22" ht="15">
      <c r="A4" s="5" t="s">
        <v>304</v>
      </c>
      <c r="B4" s="6"/>
      <c r="C4" s="5"/>
      <c r="D4" s="5"/>
      <c r="E4" s="7"/>
      <c r="F4" s="8"/>
    </row>
    <row r="6" spans="1:22" ht="17.7" customHeight="1">
      <c r="A6" s="1" t="s">
        <v>55</v>
      </c>
      <c r="B6" s="1"/>
      <c r="C6" s="1"/>
    </row>
    <row r="7" spans="1:22" ht="17.7" customHeight="1">
      <c r="A7" s="1"/>
      <c r="B7" s="1" t="s">
        <v>56</v>
      </c>
      <c r="C7" s="1"/>
      <c r="E7" s="9"/>
      <c r="G7" s="10">
        <v>44896</v>
      </c>
      <c r="H7" s="10">
        <v>44927</v>
      </c>
      <c r="I7" s="10">
        <v>44958</v>
      </c>
      <c r="J7" s="10">
        <v>44986</v>
      </c>
      <c r="K7" s="10">
        <v>45017</v>
      </c>
      <c r="L7" s="10">
        <v>45047</v>
      </c>
      <c r="M7" s="10">
        <v>45078</v>
      </c>
      <c r="N7" s="10">
        <v>45108</v>
      </c>
      <c r="O7" s="10">
        <v>45139</v>
      </c>
      <c r="P7" s="10">
        <v>45170</v>
      </c>
      <c r="Q7" s="10">
        <v>45200</v>
      </c>
      <c r="R7" s="10">
        <v>45231</v>
      </c>
      <c r="S7" s="10">
        <v>45261</v>
      </c>
      <c r="U7" s="2">
        <v>17220</v>
      </c>
    </row>
    <row r="8" spans="1:22" ht="17.7" customHeight="1">
      <c r="A8" s="1"/>
      <c r="B8" s="1"/>
      <c r="C8" s="1" t="s">
        <v>57</v>
      </c>
      <c r="E8" s="9"/>
    </row>
    <row r="9" spans="1:22" ht="15.45" customHeight="1">
      <c r="C9" s="150" t="s">
        <v>138</v>
      </c>
      <c r="D9" s="151" t="s">
        <v>139</v>
      </c>
      <c r="E9" s="69"/>
      <c r="F9" s="68"/>
      <c r="G9" s="70">
        <v>2368935</v>
      </c>
      <c r="H9" s="71">
        <v>12733707</v>
      </c>
      <c r="I9" s="71">
        <f>VLOOKUP(C9,TBFeb23!$A$8:J132,9,0)</f>
        <v>414707</v>
      </c>
      <c r="J9" s="71">
        <f>VLOOKUP(C9,TBMar23!$A$8:$K$122,9,0)</f>
        <v>11794007</v>
      </c>
      <c r="K9" s="4"/>
      <c r="T9" s="38"/>
      <c r="U9" s="38" t="e">
        <f>#REF!/$U$7</f>
        <v>#REF!</v>
      </c>
      <c r="V9" s="38"/>
    </row>
    <row r="10" spans="1:22" ht="15.45" customHeight="1">
      <c r="C10" s="150">
        <v>1012.01</v>
      </c>
      <c r="D10" s="151" t="s">
        <v>220</v>
      </c>
      <c r="E10" s="69"/>
      <c r="F10" s="68"/>
      <c r="G10" s="70">
        <v>-2.9802322387695313E-8</v>
      </c>
      <c r="H10" s="71">
        <v>0</v>
      </c>
      <c r="I10" s="71">
        <f>VLOOKUP(C10,TBFeb23!$A$8:J133,9,0)</f>
        <v>0</v>
      </c>
      <c r="J10" s="71">
        <v>0</v>
      </c>
      <c r="K10" s="4"/>
      <c r="T10" s="38"/>
      <c r="U10" s="38" t="e">
        <f>#REF!/$U$7</f>
        <v>#REF!</v>
      </c>
      <c r="V10" s="38"/>
    </row>
    <row r="11" spans="1:22" ht="15.45" customHeight="1">
      <c r="C11" s="150" t="s">
        <v>140</v>
      </c>
      <c r="D11" s="151" t="s">
        <v>118</v>
      </c>
      <c r="E11" s="69"/>
      <c r="F11" s="68"/>
      <c r="G11" s="70">
        <v>1734000</v>
      </c>
      <c r="H11" s="71">
        <v>1734000</v>
      </c>
      <c r="I11" s="71">
        <f>VLOOKUP(C11,TBFeb23!$A$8:J134,9,0)</f>
        <v>1728186</v>
      </c>
      <c r="J11" s="71">
        <f>VLOOKUP(C11,TBMar23!$A$8:$K$122,9,0)</f>
        <v>1728186</v>
      </c>
      <c r="K11" s="4"/>
      <c r="T11" s="38"/>
      <c r="U11" s="38" t="e">
        <f>#REF!/$U$7</f>
        <v>#REF!</v>
      </c>
      <c r="V11" s="38"/>
    </row>
    <row r="12" spans="1:22" ht="15.45" customHeight="1">
      <c r="C12" s="150" t="s">
        <v>1</v>
      </c>
      <c r="D12" s="151" t="s">
        <v>141</v>
      </c>
      <c r="E12" s="69"/>
      <c r="F12" s="68"/>
      <c r="G12" s="70">
        <v>83820256</v>
      </c>
      <c r="H12" s="71">
        <v>13112818</v>
      </c>
      <c r="I12" s="71">
        <f>VLOOKUP(C12,TBFeb23!$A$8:J135,9,0)</f>
        <v>22749764</v>
      </c>
      <c r="J12" s="71">
        <f>VLOOKUP(C12,TBMar23!$A$8:$K$122,9,0)</f>
        <v>18215416</v>
      </c>
      <c r="K12" s="4"/>
      <c r="T12" s="38"/>
      <c r="U12" s="38" t="e">
        <f>#REF!/$U$7</f>
        <v>#REF!</v>
      </c>
      <c r="V12" s="38"/>
    </row>
    <row r="13" spans="1:22" ht="15.45" customHeight="1">
      <c r="C13" s="150" t="s">
        <v>142</v>
      </c>
      <c r="D13" s="151" t="s">
        <v>143</v>
      </c>
      <c r="E13" s="69"/>
      <c r="F13" s="68"/>
      <c r="G13" s="70">
        <v>880568</v>
      </c>
      <c r="H13" s="71">
        <v>877568</v>
      </c>
      <c r="I13" s="71">
        <f>VLOOKUP(C13,TBFeb23!$A$8:J136,9,0)</f>
        <v>877568</v>
      </c>
      <c r="J13" s="71">
        <f>VLOOKUP(C13,TBMar23!$A$8:$K$122,9,0)</f>
        <v>871568</v>
      </c>
      <c r="K13" s="4"/>
      <c r="T13" s="38"/>
      <c r="U13" s="38"/>
      <c r="V13" s="38"/>
    </row>
    <row r="14" spans="1:22" ht="15.45" customHeight="1">
      <c r="C14" s="150" t="s">
        <v>144</v>
      </c>
      <c r="D14" s="151" t="s">
        <v>145</v>
      </c>
      <c r="E14" s="69"/>
      <c r="F14" s="68"/>
      <c r="G14" s="70">
        <v>289000</v>
      </c>
      <c r="H14" s="71">
        <v>289000</v>
      </c>
      <c r="I14" s="71">
        <f>VLOOKUP(C14,TBFeb23!$A$8:J137,9,0)</f>
        <v>289000</v>
      </c>
      <c r="J14" s="71">
        <f>VLOOKUP(C14,TBMar23!$A$8:$K$122,9,0)</f>
        <v>289000</v>
      </c>
      <c r="K14" s="4"/>
      <c r="T14" s="38"/>
      <c r="U14" s="38"/>
      <c r="V14" s="38"/>
    </row>
    <row r="15" spans="1:22" ht="15.45" customHeight="1">
      <c r="C15" s="150" t="s">
        <v>146</v>
      </c>
      <c r="D15" s="151" t="s">
        <v>147</v>
      </c>
      <c r="E15" s="69"/>
      <c r="F15" s="68"/>
      <c r="G15" s="70">
        <v>600000</v>
      </c>
      <c r="H15" s="71">
        <v>500000</v>
      </c>
      <c r="I15" s="71">
        <f>VLOOKUP(C15,TBFeb23!$A$8:J138,9,0)</f>
        <v>500000</v>
      </c>
      <c r="J15" s="71">
        <f>VLOOKUP(C15,TBMar23!$A$8:$K$122,9,0)</f>
        <v>460000</v>
      </c>
      <c r="K15" s="4"/>
      <c r="T15" s="38"/>
      <c r="U15" s="38"/>
      <c r="V15" s="38"/>
    </row>
    <row r="16" spans="1:22" ht="15.45" customHeight="1">
      <c r="C16" s="150" t="s">
        <v>148</v>
      </c>
      <c r="D16" s="151" t="s">
        <v>149</v>
      </c>
      <c r="E16" s="69"/>
      <c r="F16" s="68"/>
      <c r="G16" s="70">
        <v>86900004.360000223</v>
      </c>
      <c r="H16" s="71">
        <v>61158715.49999994</v>
      </c>
      <c r="I16" s="71">
        <f>VLOOKUP(C16,TBFeb23!$A$8:J139,9,0)</f>
        <v>59951524.99999994</v>
      </c>
      <c r="J16" s="71">
        <f>VLOOKUP(C16,TBMar23!$A$8:$K$122,9,0)</f>
        <v>93435007.019999996</v>
      </c>
      <c r="K16" s="4"/>
      <c r="T16" s="38"/>
      <c r="U16" s="38"/>
      <c r="V16" s="38"/>
    </row>
    <row r="17" spans="3:22" ht="15.45" customHeight="1">
      <c r="C17" s="150" t="s">
        <v>150</v>
      </c>
      <c r="D17" s="151" t="s">
        <v>151</v>
      </c>
      <c r="E17" s="69"/>
      <c r="F17" s="68"/>
      <c r="G17" s="70">
        <v>507822809.99999952</v>
      </c>
      <c r="H17" s="71">
        <v>788307317.00000012</v>
      </c>
      <c r="I17" s="71">
        <f>VLOOKUP(C17,TBFeb23!$A$8:J140,9,0)</f>
        <v>502403324.08000004</v>
      </c>
      <c r="J17" s="71">
        <f>VLOOKUP(C17,TBMar23!$A$8:$K$122,9,0)</f>
        <v>907459099.49999952</v>
      </c>
      <c r="K17" s="4"/>
      <c r="T17" s="38"/>
      <c r="U17" s="38"/>
      <c r="V17" s="38"/>
    </row>
    <row r="18" spans="3:22" ht="15.45" customHeight="1">
      <c r="C18" s="150" t="s">
        <v>152</v>
      </c>
      <c r="D18" s="151" t="s">
        <v>153</v>
      </c>
      <c r="E18" s="69"/>
      <c r="F18" s="68"/>
      <c r="G18" s="70">
        <v>4994196.74</v>
      </c>
      <c r="H18" s="71">
        <v>5146772.1000000006</v>
      </c>
      <c r="I18" s="71">
        <f>VLOOKUP(C18,TBFeb23!$A$8:J141,9,0)</f>
        <v>5146772.1000000006</v>
      </c>
      <c r="J18" s="71">
        <f>VLOOKUP(C18,TBMar23!$A$8:$K$122,9,0)</f>
        <v>5037910.7100000009</v>
      </c>
      <c r="K18" s="4"/>
      <c r="T18" s="38"/>
      <c r="U18" s="38" t="e">
        <f>#REF!/$U$7</f>
        <v>#REF!</v>
      </c>
      <c r="V18" s="38"/>
    </row>
    <row r="19" spans="3:22" ht="15.45" customHeight="1">
      <c r="C19" s="150" t="s">
        <v>154</v>
      </c>
      <c r="D19" s="151" t="s">
        <v>155</v>
      </c>
      <c r="E19" s="69"/>
      <c r="F19" s="68"/>
      <c r="G19" s="70">
        <v>112342290</v>
      </c>
      <c r="H19" s="71">
        <v>111851415.48999999</v>
      </c>
      <c r="I19" s="71">
        <f>VLOOKUP(C19,TBFeb23!$A$8:J142,9,0)</f>
        <v>111851415.48999999</v>
      </c>
      <c r="J19" s="71">
        <f>VLOOKUP(C19,TBMar23!$A$8:$K$122,9,0)</f>
        <v>111986446.5</v>
      </c>
      <c r="K19" s="4"/>
      <c r="T19" s="38"/>
      <c r="U19" s="38" t="e">
        <f>#REF!/$U$7</f>
        <v>#REF!</v>
      </c>
      <c r="V19" s="38"/>
    </row>
    <row r="20" spans="3:22" ht="15.45" customHeight="1">
      <c r="C20" s="150" t="s">
        <v>156</v>
      </c>
      <c r="D20" s="151" t="s">
        <v>119</v>
      </c>
      <c r="E20" s="69"/>
      <c r="F20" s="68"/>
      <c r="G20" s="70">
        <v>26116251.5</v>
      </c>
      <c r="H20" s="71">
        <v>26116251.5</v>
      </c>
      <c r="I20" s="71">
        <f>VLOOKUP(C20,TBFeb23!$A$8:J143,9,0)</f>
        <v>26116251.5</v>
      </c>
      <c r="J20" s="71">
        <f>VLOOKUP(C20,TBMar23!$A$8:$K$122,9,0)</f>
        <v>26116251.5</v>
      </c>
      <c r="K20" s="4"/>
      <c r="T20" s="38"/>
      <c r="U20" s="38" t="e">
        <f>#REF!/$U$7</f>
        <v>#REF!</v>
      </c>
      <c r="V20" s="38"/>
    </row>
    <row r="21" spans="3:22" ht="15.45" customHeight="1">
      <c r="C21" s="150" t="s">
        <v>157</v>
      </c>
      <c r="D21" s="151" t="s">
        <v>120</v>
      </c>
      <c r="E21" s="69"/>
      <c r="F21" s="68"/>
      <c r="G21" s="70">
        <v>6422000</v>
      </c>
      <c r="H21" s="71">
        <v>6426000</v>
      </c>
      <c r="I21" s="71">
        <f>VLOOKUP(C21,TBFeb23!$A$8:J144,9,0)</f>
        <v>6426000</v>
      </c>
      <c r="J21" s="71">
        <f>VLOOKUP(C21,TBMar23!$A$8:$K$122,9,0)</f>
        <v>6312600</v>
      </c>
      <c r="K21" s="4"/>
      <c r="T21" s="38"/>
      <c r="U21" s="38" t="e">
        <f>#REF!/$U$7</f>
        <v>#REF!</v>
      </c>
      <c r="V21" s="38"/>
    </row>
    <row r="22" spans="3:22" ht="15.45" customHeight="1">
      <c r="C22" s="150" t="s">
        <v>158</v>
      </c>
      <c r="D22" s="151" t="s">
        <v>159</v>
      </c>
      <c r="E22" s="69"/>
      <c r="F22" s="68"/>
      <c r="G22" s="70">
        <v>1331270</v>
      </c>
      <c r="H22" s="71">
        <v>1325553.3700000001</v>
      </c>
      <c r="I22" s="71">
        <f>VLOOKUP(C22,TBFeb23!$A$8:J145,9,0)</f>
        <v>1325553.3700000001</v>
      </c>
      <c r="J22" s="71">
        <f>VLOOKUP(C22,TBMar23!$A$8:$K$122,9,0)</f>
        <v>1327354.5</v>
      </c>
      <c r="K22" s="4"/>
      <c r="T22" s="38"/>
      <c r="U22" s="38" t="e">
        <f>#REF!/$U$7</f>
        <v>#REF!</v>
      </c>
      <c r="V22" s="38"/>
    </row>
    <row r="23" spans="3:22" ht="15.45" customHeight="1">
      <c r="C23" s="150" t="s">
        <v>160</v>
      </c>
      <c r="D23" s="151" t="s">
        <v>161</v>
      </c>
      <c r="E23" s="69"/>
      <c r="F23" s="68"/>
      <c r="G23" s="70">
        <v>546210</v>
      </c>
      <c r="H23" s="71">
        <v>543864.51</v>
      </c>
      <c r="I23" s="71">
        <f>VLOOKUP(C23,TBFeb23!$A$8:J146,9,0)</f>
        <v>543864.51</v>
      </c>
      <c r="J23" s="71">
        <f>VLOOKUP(C23,TBMar23!$A$8:$K$122,9,0)</f>
        <v>543864.51</v>
      </c>
      <c r="K23" s="4"/>
      <c r="T23" s="38"/>
      <c r="U23" s="38" t="e">
        <f>#REF!/$U$7</f>
        <v>#REF!</v>
      </c>
      <c r="V23" s="38"/>
    </row>
    <row r="24" spans="3:22" ht="15.45" customHeight="1">
      <c r="C24" s="150" t="s">
        <v>162</v>
      </c>
      <c r="D24" s="151" t="s">
        <v>163</v>
      </c>
      <c r="E24" s="69"/>
      <c r="F24" s="68"/>
      <c r="G24" s="70">
        <v>22899510</v>
      </c>
      <c r="H24" s="71">
        <v>23641194.530000001</v>
      </c>
      <c r="I24" s="71">
        <f>VLOOKUP(C24,TBFeb23!$A$8:J147,9,0)</f>
        <v>23641194.530000001</v>
      </c>
      <c r="J24" s="71">
        <f>VLOOKUP(C24,TBMar23!$A$8:$K$122,9,0)</f>
        <v>23641194.530000001</v>
      </c>
      <c r="K24" s="4"/>
      <c r="T24" s="38"/>
      <c r="U24" s="38" t="e">
        <f>#REF!/$U$7</f>
        <v>#REF!</v>
      </c>
      <c r="V24" s="38"/>
    </row>
    <row r="25" spans="3:22" ht="13.8">
      <c r="C25" s="72"/>
      <c r="D25" s="73" t="s">
        <v>58</v>
      </c>
      <c r="E25" s="74"/>
      <c r="F25" s="72"/>
      <c r="G25" s="75">
        <f>SUM(G9:G24)</f>
        <v>859067301.59999967</v>
      </c>
      <c r="H25" s="75">
        <f>SUM(H9:H24)</f>
        <v>1053764177</v>
      </c>
      <c r="I25" s="75">
        <f>SUM(I9:I24)</f>
        <v>763965125.57999992</v>
      </c>
      <c r="J25" s="75">
        <f>SUM(J9:J24)</f>
        <v>1209217905.7699995</v>
      </c>
      <c r="K25" s="11"/>
      <c r="L25" s="11"/>
      <c r="M25" s="11"/>
      <c r="N25" s="11"/>
      <c r="O25" s="11"/>
      <c r="P25" s="11"/>
      <c r="Q25" s="11"/>
      <c r="R25" s="11"/>
      <c r="S25" s="11"/>
      <c r="T25" s="38"/>
      <c r="U25" s="53" t="e">
        <f>#REF!/$U$7</f>
        <v>#REF!</v>
      </c>
      <c r="V25" s="38"/>
    </row>
    <row r="26" spans="3:22" ht="13.8">
      <c r="C26" s="73" t="s">
        <v>59</v>
      </c>
      <c r="D26" s="72"/>
      <c r="E26" s="74"/>
      <c r="F26" s="72"/>
      <c r="G26" s="70"/>
      <c r="H26" s="71"/>
      <c r="I26" s="71"/>
      <c r="J26" s="71"/>
      <c r="K26" s="4"/>
      <c r="T26" s="38"/>
      <c r="V26" s="38"/>
    </row>
    <row r="27" spans="3:22" ht="13.8">
      <c r="C27" s="67">
        <v>1211</v>
      </c>
      <c r="D27" s="68" t="s">
        <v>221</v>
      </c>
      <c r="E27" s="74"/>
      <c r="F27" s="72"/>
      <c r="G27" s="70">
        <v>111880631.44000065</v>
      </c>
      <c r="H27" s="71">
        <v>111894151.44000006</v>
      </c>
      <c r="I27" s="71">
        <f>VLOOKUP(C27,TBFeb23!$A$8:J150,9,0)</f>
        <v>155034151.44000006</v>
      </c>
      <c r="J27" s="71">
        <f>VLOOKUP(C27,TBMar23!$A$8:$K$122,9,0)</f>
        <v>206956613.30000007</v>
      </c>
      <c r="K27" s="4"/>
      <c r="T27" s="38"/>
      <c r="U27" s="38" t="e">
        <f>#REF!/$U$7</f>
        <v>#REF!</v>
      </c>
      <c r="V27" s="38"/>
    </row>
    <row r="28" spans="3:22" ht="13.8">
      <c r="C28" s="67" t="s">
        <v>285</v>
      </c>
      <c r="D28" s="68" t="s">
        <v>286</v>
      </c>
      <c r="E28" s="74"/>
      <c r="F28" s="72"/>
      <c r="G28" s="70"/>
      <c r="H28" s="71"/>
      <c r="I28" s="71">
        <f>VLOOKUP(C28,TBFeb23!$A$8:J151,9,0)</f>
        <v>45022464.469999999</v>
      </c>
      <c r="J28" s="71">
        <f>VLOOKUP(C28,TBMar23!$A$8:$K$122,9,0)</f>
        <v>45022464.469999999</v>
      </c>
      <c r="K28" s="4"/>
      <c r="T28" s="38"/>
      <c r="U28" s="38"/>
      <c r="V28" s="38"/>
    </row>
    <row r="29" spans="3:22" ht="27.6">
      <c r="C29" s="67">
        <v>126</v>
      </c>
      <c r="D29" s="68" t="s">
        <v>222</v>
      </c>
      <c r="E29" s="74"/>
      <c r="F29" s="72"/>
      <c r="G29" s="70">
        <v>0</v>
      </c>
      <c r="H29" s="71">
        <v>0</v>
      </c>
      <c r="I29" s="71"/>
      <c r="J29" s="71">
        <v>0</v>
      </c>
      <c r="K29" s="4"/>
      <c r="T29" s="38"/>
      <c r="U29" s="38" t="e">
        <f>#REF!/$U$7</f>
        <v>#REF!</v>
      </c>
      <c r="V29" s="38"/>
    </row>
    <row r="30" spans="3:22" ht="13.8">
      <c r="C30" s="72"/>
      <c r="D30" s="73" t="s">
        <v>60</v>
      </c>
      <c r="E30" s="74"/>
      <c r="F30" s="72"/>
      <c r="G30" s="75">
        <f>SUM(G27:G29)</f>
        <v>111880631.44000065</v>
      </c>
      <c r="H30" s="75">
        <f>SUM(H27:H29)</f>
        <v>111894151.44000006</v>
      </c>
      <c r="I30" s="75">
        <f>SUM(I27:I29)</f>
        <v>200056615.91000006</v>
      </c>
      <c r="J30" s="75">
        <f>SUM(J27:J29)</f>
        <v>251979077.77000007</v>
      </c>
      <c r="K30" s="11"/>
      <c r="L30" s="11"/>
      <c r="M30" s="11"/>
      <c r="N30" s="11"/>
      <c r="O30" s="11"/>
      <c r="P30" s="11"/>
      <c r="Q30" s="11"/>
      <c r="R30" s="11"/>
      <c r="S30" s="11"/>
      <c r="T30" s="38"/>
      <c r="U30" s="53" t="e">
        <f>#REF!/$U$7</f>
        <v>#REF!</v>
      </c>
      <c r="V30" s="38"/>
    </row>
    <row r="31" spans="3:22" ht="13.8">
      <c r="C31" s="73" t="s">
        <v>61</v>
      </c>
      <c r="D31" s="72"/>
      <c r="E31" s="74"/>
      <c r="F31" s="72"/>
      <c r="G31" s="70"/>
      <c r="H31" s="71"/>
      <c r="I31" s="71"/>
      <c r="J31" s="71"/>
      <c r="K31" s="4"/>
      <c r="T31" s="38"/>
      <c r="U31" s="38" t="e">
        <f>#REF!/$U$7</f>
        <v>#REF!</v>
      </c>
      <c r="V31" s="38"/>
    </row>
    <row r="32" spans="3:22" ht="13.8">
      <c r="C32" s="67">
        <v>1311</v>
      </c>
      <c r="D32" s="68" t="s">
        <v>223</v>
      </c>
      <c r="E32" s="74"/>
      <c r="F32" s="72"/>
      <c r="G32" s="70">
        <v>0</v>
      </c>
      <c r="H32" s="71">
        <v>0</v>
      </c>
      <c r="I32" s="71">
        <v>0</v>
      </c>
      <c r="J32" s="71">
        <v>0</v>
      </c>
      <c r="K32" s="4"/>
      <c r="T32" s="38"/>
      <c r="U32" s="38" t="e">
        <f>#REF!/$U$7</f>
        <v>#REF!</v>
      </c>
      <c r="V32" s="38"/>
    </row>
    <row r="33" spans="3:22" ht="13.8">
      <c r="C33" s="67">
        <v>1311.02</v>
      </c>
      <c r="D33" s="68" t="s">
        <v>3</v>
      </c>
      <c r="E33" s="74"/>
      <c r="F33" s="72"/>
      <c r="G33" s="70">
        <v>17026556</v>
      </c>
      <c r="H33" s="71">
        <v>18176174.16</v>
      </c>
      <c r="I33" s="71">
        <f>VLOOKUP(C33,TBFeb23!$A$8:J155,9,0)</f>
        <v>17637745.789999999</v>
      </c>
      <c r="J33" s="71">
        <f>VLOOKUP(C33,TBMar23!$A$8:$K$122,9,0)</f>
        <v>19550059.280000001</v>
      </c>
      <c r="K33" s="4"/>
      <c r="T33" s="38"/>
      <c r="U33" s="38" t="e">
        <f>#REF!/$U$7</f>
        <v>#REF!</v>
      </c>
      <c r="V33" s="38"/>
    </row>
    <row r="34" spans="3:22" ht="13.8">
      <c r="C34" s="67">
        <v>1311.03</v>
      </c>
      <c r="D34" s="68" t="s">
        <v>4</v>
      </c>
      <c r="E34" s="74"/>
      <c r="F34" s="72"/>
      <c r="G34" s="70">
        <v>36789834</v>
      </c>
      <c r="H34" s="71">
        <v>8202896.1900000013</v>
      </c>
      <c r="I34" s="71">
        <f>VLOOKUP(C34,TBFeb23!$A$8:J156,9,0)</f>
        <v>2926238.4600000009</v>
      </c>
      <c r="J34" s="71">
        <f>VLOOKUP(C34,TBMar23!$A$8:$K$122,9,0)</f>
        <v>23306345.88000001</v>
      </c>
      <c r="K34" s="4"/>
      <c r="T34" s="38"/>
      <c r="U34" s="38" t="e">
        <f>#REF!/$U$7</f>
        <v>#REF!</v>
      </c>
      <c r="V34" s="38"/>
    </row>
    <row r="35" spans="3:22" ht="13.8">
      <c r="C35" s="67">
        <v>1311.04</v>
      </c>
      <c r="D35" s="68" t="s">
        <v>5</v>
      </c>
      <c r="E35" s="74"/>
      <c r="F35" s="72"/>
      <c r="G35" s="70">
        <v>25511849</v>
      </c>
      <c r="H35" s="71">
        <v>24845559.66</v>
      </c>
      <c r="I35" s="71">
        <f>VLOOKUP(C35,TBFeb23!$A$8:J157,9,0)</f>
        <v>23086682.23</v>
      </c>
      <c r="J35" s="71">
        <f>VLOOKUP(C35,TBMar23!$A$8:$K$122,9,0)</f>
        <v>17682728.230000004</v>
      </c>
      <c r="K35" s="4"/>
      <c r="T35" s="38"/>
      <c r="U35" s="38"/>
      <c r="V35" s="38"/>
    </row>
    <row r="36" spans="3:22" ht="13.8">
      <c r="C36" s="67">
        <v>1311.05</v>
      </c>
      <c r="D36" s="68" t="s">
        <v>6</v>
      </c>
      <c r="E36" s="74"/>
      <c r="F36" s="72"/>
      <c r="G36" s="70">
        <v>10353370</v>
      </c>
      <c r="H36" s="71">
        <v>8209482.1100000003</v>
      </c>
      <c r="I36" s="71">
        <f>VLOOKUP(C36,TBFeb23!$A$8:J158,9,0)</f>
        <v>8209482.1100000003</v>
      </c>
      <c r="J36" s="71">
        <f>VLOOKUP(C36,TBMar23!$A$8:$K$122,9,0)</f>
        <v>8209482.1100000003</v>
      </c>
      <c r="K36" s="4"/>
      <c r="T36" s="38"/>
      <c r="U36" s="38"/>
      <c r="V36" s="38"/>
    </row>
    <row r="37" spans="3:22" ht="13.8">
      <c r="C37" s="67">
        <v>1311.06</v>
      </c>
      <c r="D37" s="68" t="s">
        <v>7</v>
      </c>
      <c r="E37" s="74"/>
      <c r="F37" s="72"/>
      <c r="G37" s="70">
        <v>6783495</v>
      </c>
      <c r="H37" s="71">
        <v>6553419.8799999999</v>
      </c>
      <c r="I37" s="71">
        <f>VLOOKUP(C37,TBFeb23!$A$8:J159,9,0)</f>
        <v>6553419.8799999999</v>
      </c>
      <c r="J37" s="71">
        <f>VLOOKUP(C37,TBMar23!$A$8:$K$122,9,0)</f>
        <v>8441600.5299999993</v>
      </c>
      <c r="K37" s="4"/>
      <c r="T37" s="38"/>
      <c r="U37" s="38"/>
      <c r="V37" s="38"/>
    </row>
    <row r="38" spans="3:22" ht="13.8">
      <c r="C38" s="67">
        <v>1311.07</v>
      </c>
      <c r="D38" s="68" t="s">
        <v>62</v>
      </c>
      <c r="E38" s="74"/>
      <c r="F38" s="72"/>
      <c r="G38" s="70">
        <v>23897333</v>
      </c>
      <c r="H38" s="71">
        <v>23791355.809999999</v>
      </c>
      <c r="I38" s="71">
        <f>VLOOKUP(C38,TBFeb23!$A$8:J160,9,0)</f>
        <v>23530024.259999998</v>
      </c>
      <c r="J38" s="71">
        <f>VLOOKUP(C38,TBMar23!$A$8:$K$122,9,0)</f>
        <v>23471937.620000001</v>
      </c>
      <c r="K38" s="4"/>
      <c r="T38" s="38"/>
      <c r="U38" s="38" t="e">
        <f>#REF!/$U$7</f>
        <v>#REF!</v>
      </c>
      <c r="V38" s="38"/>
    </row>
    <row r="39" spans="3:22" ht="13.8">
      <c r="C39" s="67">
        <v>1311.08</v>
      </c>
      <c r="D39" s="68" t="s">
        <v>8</v>
      </c>
      <c r="E39" s="76"/>
      <c r="F39" s="72"/>
      <c r="G39" s="70">
        <v>5690419</v>
      </c>
      <c r="H39" s="71">
        <v>5690419</v>
      </c>
      <c r="I39" s="71">
        <f>VLOOKUP(C39,TBFeb23!$A$8:J161,9,0)</f>
        <v>5690419</v>
      </c>
      <c r="J39" s="71">
        <f>VLOOKUP(C39,TBMar23!$A$8:$K$122,9,0)</f>
        <v>5690419</v>
      </c>
      <c r="K39" s="4"/>
      <c r="T39" s="38"/>
      <c r="U39" s="38" t="e">
        <f>#REF!/$U$7</f>
        <v>#REF!</v>
      </c>
      <c r="V39" s="38"/>
    </row>
    <row r="40" spans="3:22" ht="13.8">
      <c r="C40" s="67">
        <v>1331.001</v>
      </c>
      <c r="D40" s="68" t="s">
        <v>10</v>
      </c>
      <c r="E40" s="74"/>
      <c r="F40" s="72"/>
      <c r="G40" s="70">
        <v>0</v>
      </c>
      <c r="H40" s="71">
        <v>0</v>
      </c>
      <c r="I40" s="71">
        <v>0</v>
      </c>
      <c r="J40" s="71">
        <v>0</v>
      </c>
      <c r="K40" s="4"/>
      <c r="T40" s="38"/>
      <c r="U40" s="38" t="e">
        <f>#REF!/$U$7</f>
        <v>#REF!</v>
      </c>
      <c r="V40" s="38"/>
    </row>
    <row r="41" spans="3:22" ht="13.8">
      <c r="C41" s="67">
        <v>1365.02</v>
      </c>
      <c r="D41" s="68" t="s">
        <v>11</v>
      </c>
      <c r="E41" s="74"/>
      <c r="F41" s="72"/>
      <c r="G41" s="70">
        <v>1489451868.1199999</v>
      </c>
      <c r="H41" s="71">
        <v>658390619.99999976</v>
      </c>
      <c r="I41" s="71">
        <f>VLOOKUP(C41,TBFeb23!$A$8:J163,9,0)</f>
        <v>638509999.99999976</v>
      </c>
      <c r="J41" s="71">
        <f>VLOOKUP(C41,TBMar23!$A$8:$K$122,9,0)</f>
        <v>642104646</v>
      </c>
      <c r="K41" s="4"/>
      <c r="T41" s="38"/>
      <c r="U41" s="38" t="e">
        <f>#REF!/$U$7</f>
        <v>#REF!</v>
      </c>
      <c r="V41" s="38"/>
    </row>
    <row r="42" spans="3:22" ht="13.8">
      <c r="C42" s="72"/>
      <c r="D42" s="73" t="s">
        <v>63</v>
      </c>
      <c r="E42" s="74"/>
      <c r="F42" s="72"/>
      <c r="G42" s="75">
        <f>SUM(G32:G41)</f>
        <v>1615504724.1199999</v>
      </c>
      <c r="H42" s="75">
        <f>SUM(H32:H41)</f>
        <v>753859926.8099997</v>
      </c>
      <c r="I42" s="75">
        <f>SUM(I32:I41)</f>
        <v>726144011.72999978</v>
      </c>
      <c r="J42" s="75">
        <f>SUM(J32:J41)</f>
        <v>748457218.64999998</v>
      </c>
      <c r="K42" s="11"/>
      <c r="L42" s="11"/>
      <c r="M42" s="11"/>
      <c r="N42" s="11"/>
      <c r="O42" s="11"/>
      <c r="P42" s="11"/>
      <c r="Q42" s="11"/>
      <c r="R42" s="11"/>
      <c r="S42" s="11"/>
      <c r="T42" s="38"/>
      <c r="U42" s="53" t="e">
        <f>#REF!/$U$7</f>
        <v>#REF!</v>
      </c>
      <c r="V42" s="38"/>
    </row>
    <row r="43" spans="3:22" ht="13.8">
      <c r="C43" s="73" t="s">
        <v>64</v>
      </c>
      <c r="D43" s="73"/>
      <c r="E43" s="74"/>
      <c r="F43" s="72"/>
      <c r="G43" s="77"/>
      <c r="H43" s="71"/>
      <c r="I43" s="71"/>
      <c r="J43" s="71"/>
      <c r="K43" s="4"/>
      <c r="T43" s="38"/>
      <c r="U43" s="38" t="e">
        <f>#REF!/$U$7</f>
        <v>#REF!</v>
      </c>
      <c r="V43" s="38"/>
    </row>
    <row r="44" spans="3:22" ht="13.8">
      <c r="C44" s="67">
        <v>146</v>
      </c>
      <c r="D44" s="68" t="s">
        <v>225</v>
      </c>
      <c r="E44" s="74"/>
      <c r="F44" s="72"/>
      <c r="G44" s="70">
        <v>0</v>
      </c>
      <c r="H44" s="71">
        <v>0</v>
      </c>
      <c r="I44" s="71">
        <v>0</v>
      </c>
      <c r="J44" s="71">
        <v>0</v>
      </c>
      <c r="K44" s="4"/>
      <c r="T44" s="38"/>
      <c r="U44" s="38" t="e">
        <f>#REF!/$U$7</f>
        <v>#REF!</v>
      </c>
      <c r="V44" s="38"/>
    </row>
    <row r="45" spans="3:22" ht="13.8">
      <c r="C45" s="67">
        <v>148</v>
      </c>
      <c r="D45" s="68" t="s">
        <v>175</v>
      </c>
      <c r="E45" s="74"/>
      <c r="F45" s="72"/>
      <c r="G45" s="70">
        <v>1991596289.97</v>
      </c>
      <c r="H45" s="71">
        <v>1991596289.97</v>
      </c>
      <c r="I45" s="71">
        <f>VLOOKUP(C45,TBFeb23!$A$8:J167,9,0)</f>
        <v>1787078674.97</v>
      </c>
      <c r="J45" s="71">
        <f>VLOOKUP(C45,TBMar23!$A$8:$K$122,9,0)</f>
        <v>1787078674.97</v>
      </c>
      <c r="K45" s="4"/>
      <c r="T45" s="38"/>
      <c r="U45" s="38" t="e">
        <f>#REF!/$U$7</f>
        <v>#REF!</v>
      </c>
      <c r="V45" s="38"/>
    </row>
    <row r="46" spans="3:22" ht="13.8">
      <c r="C46" s="67">
        <v>166</v>
      </c>
      <c r="D46" s="68" t="s">
        <v>13</v>
      </c>
      <c r="E46" s="74"/>
      <c r="F46" s="72"/>
      <c r="G46" s="70">
        <v>0</v>
      </c>
      <c r="H46" s="71">
        <v>0</v>
      </c>
      <c r="I46" s="71">
        <v>0</v>
      </c>
      <c r="J46" s="71">
        <v>0</v>
      </c>
      <c r="K46" s="4"/>
      <c r="T46" s="38"/>
      <c r="U46" s="38" t="e">
        <f>#REF!/$U$7</f>
        <v>#REF!</v>
      </c>
      <c r="V46" s="38"/>
    </row>
    <row r="47" spans="3:22" ht="13.8">
      <c r="C47" s="67">
        <v>167</v>
      </c>
      <c r="D47" s="68" t="s">
        <v>226</v>
      </c>
      <c r="E47" s="74"/>
      <c r="F47" s="72"/>
      <c r="G47" s="70">
        <v>0</v>
      </c>
      <c r="H47" s="71">
        <v>0</v>
      </c>
      <c r="I47" s="71">
        <v>0</v>
      </c>
      <c r="J47" s="71">
        <v>0</v>
      </c>
      <c r="K47" s="4"/>
      <c r="T47" s="38"/>
      <c r="U47" s="38" t="e">
        <f>#REF!/$U$7</f>
        <v>#REF!</v>
      </c>
      <c r="V47" s="38"/>
    </row>
    <row r="48" spans="3:22" ht="13.8">
      <c r="C48" s="72"/>
      <c r="D48" s="73" t="s">
        <v>65</v>
      </c>
      <c r="E48" s="76"/>
      <c r="F48" s="72"/>
      <c r="G48" s="75">
        <f>SUM(G44:G47)</f>
        <v>1991596289.97</v>
      </c>
      <c r="H48" s="75">
        <f>SUM(H44:H47)</f>
        <v>1991596289.97</v>
      </c>
      <c r="I48" s="75">
        <f>SUM(I44:I47)</f>
        <v>1787078674.97</v>
      </c>
      <c r="J48" s="75">
        <f>SUM(J44:J47)</f>
        <v>1787078674.97</v>
      </c>
      <c r="K48" s="11"/>
      <c r="L48" s="11"/>
      <c r="M48" s="11"/>
      <c r="N48" s="11"/>
      <c r="O48" s="11"/>
      <c r="P48" s="11"/>
      <c r="Q48" s="11"/>
      <c r="R48" s="11"/>
      <c r="S48" s="11"/>
      <c r="T48" s="38"/>
      <c r="U48" s="53" t="e">
        <f>#REF!/$U$7</f>
        <v>#REF!</v>
      </c>
      <c r="V48" s="38"/>
    </row>
    <row r="49" spans="2:251" ht="13.8">
      <c r="C49" s="73" t="s">
        <v>52</v>
      </c>
      <c r="D49" s="72"/>
      <c r="E49" s="76"/>
      <c r="F49" s="72"/>
      <c r="G49" s="70"/>
      <c r="H49" s="71"/>
      <c r="I49" s="71"/>
      <c r="J49" s="71"/>
      <c r="K49" s="4"/>
      <c r="T49" s="38"/>
      <c r="U49" s="38" t="e">
        <f>#REF!/$U$7</f>
        <v>#REF!</v>
      </c>
      <c r="V49" s="38"/>
    </row>
    <row r="50" spans="2:251" ht="13.8">
      <c r="C50" s="67">
        <v>1611</v>
      </c>
      <c r="D50" s="72" t="s">
        <v>12</v>
      </c>
      <c r="E50" s="76"/>
      <c r="F50" s="72"/>
      <c r="G50" s="70">
        <v>0</v>
      </c>
      <c r="H50" s="71">
        <v>0</v>
      </c>
      <c r="I50" s="71">
        <v>0</v>
      </c>
      <c r="J50" s="71">
        <v>0</v>
      </c>
      <c r="K50" s="4"/>
      <c r="T50" s="38"/>
      <c r="U50" s="38" t="e">
        <f>#REF!/$U$7</f>
        <v>#REF!</v>
      </c>
      <c r="V50" s="38"/>
    </row>
    <row r="51" spans="2:251" ht="13.8">
      <c r="C51" s="67">
        <v>1611.01</v>
      </c>
      <c r="D51" s="72" t="s">
        <v>227</v>
      </c>
      <c r="E51" s="76"/>
      <c r="F51" s="72"/>
      <c r="G51" s="70">
        <v>9788416</v>
      </c>
      <c r="H51" s="71">
        <v>9788416</v>
      </c>
      <c r="I51" s="71">
        <f>VLOOKUP(C51,TBFeb23!$A$8:J173,9,0)</f>
        <v>9788416</v>
      </c>
      <c r="J51" s="71">
        <f>VLOOKUP(C51,TBMar23!$A$8:$K$122,9,0)</f>
        <v>9788416</v>
      </c>
      <c r="K51" s="4"/>
      <c r="T51" s="38"/>
      <c r="U51" s="38"/>
      <c r="V51" s="38"/>
    </row>
    <row r="52" spans="2:251" ht="13.8">
      <c r="C52" s="67">
        <v>1611.02</v>
      </c>
      <c r="D52" s="72" t="s">
        <v>228</v>
      </c>
      <c r="E52" s="76"/>
      <c r="F52" s="72"/>
      <c r="G52" s="70">
        <v>749715475.22000003</v>
      </c>
      <c r="H52" s="71">
        <v>749715475.22000003</v>
      </c>
      <c r="I52" s="71">
        <f>VLOOKUP(C52,TBFeb23!$A$8:J174,9,0)</f>
        <v>749715475.22000003</v>
      </c>
      <c r="J52" s="71">
        <f>VLOOKUP(C52,TBMar23!$A$8:$K$122,9,0)</f>
        <v>749715475.22000003</v>
      </c>
      <c r="K52" s="4"/>
      <c r="T52" s="38"/>
      <c r="U52" s="38"/>
      <c r="V52" s="38"/>
    </row>
    <row r="53" spans="2:251" ht="13.8">
      <c r="C53" s="67">
        <v>1611.03</v>
      </c>
      <c r="D53" s="72" t="s">
        <v>229</v>
      </c>
      <c r="E53" s="76"/>
      <c r="F53" s="72"/>
      <c r="G53" s="70">
        <v>50266943</v>
      </c>
      <c r="H53" s="71">
        <v>50266943</v>
      </c>
      <c r="I53" s="71">
        <f>VLOOKUP(C53,TBFeb23!$A$8:J175,9,0)</f>
        <v>50266943</v>
      </c>
      <c r="J53" s="71">
        <f>VLOOKUP(C53,TBMar23!$A$8:$K$122,9,0)</f>
        <v>50266943</v>
      </c>
      <c r="K53" s="4"/>
      <c r="T53" s="38"/>
      <c r="U53" s="38"/>
      <c r="V53" s="38"/>
    </row>
    <row r="54" spans="2:251" ht="13.8">
      <c r="C54" s="67">
        <v>1611.04</v>
      </c>
      <c r="D54" s="72" t="s">
        <v>230</v>
      </c>
      <c r="E54" s="76"/>
      <c r="F54" s="72"/>
      <c r="G54" s="70">
        <v>0</v>
      </c>
      <c r="H54" s="71">
        <v>0</v>
      </c>
      <c r="I54" s="71">
        <f>VLOOKUP(C54,TBFeb23!$A$8:J176,9,0)</f>
        <v>0</v>
      </c>
      <c r="J54" s="71">
        <v>0</v>
      </c>
      <c r="K54" s="4"/>
      <c r="T54" s="38"/>
      <c r="U54" s="38"/>
      <c r="V54" s="38"/>
    </row>
    <row r="55" spans="2:251" ht="13.8">
      <c r="C55" s="67">
        <v>1611.05</v>
      </c>
      <c r="D55" s="72" t="s">
        <v>179</v>
      </c>
      <c r="E55" s="76"/>
      <c r="F55" s="72"/>
      <c r="G55" s="70">
        <v>3920000</v>
      </c>
      <c r="H55" s="71">
        <v>3430000</v>
      </c>
      <c r="I55" s="71">
        <f>VLOOKUP(C55,TBFeb23!$A$8:J177,9,0)</f>
        <v>2940000</v>
      </c>
      <c r="J55" s="71">
        <f>VLOOKUP(C55,TBMar23!$A$8:$K$122,9,0)</f>
        <v>2450000</v>
      </c>
      <c r="K55" s="4"/>
      <c r="T55" s="38"/>
      <c r="U55" s="38"/>
      <c r="V55" s="38"/>
    </row>
    <row r="56" spans="2:251" ht="13.8">
      <c r="C56" s="67">
        <v>1611.06</v>
      </c>
      <c r="D56" s="72" t="s">
        <v>295</v>
      </c>
      <c r="E56" s="76"/>
      <c r="F56" s="72"/>
      <c r="G56" s="70"/>
      <c r="H56" s="71"/>
      <c r="I56" s="71"/>
      <c r="J56" s="71">
        <f>VLOOKUP(C56,TBMar23!$A$8:$K$122,9,0)</f>
        <v>37527300</v>
      </c>
      <c r="K56" s="4"/>
      <c r="T56" s="38"/>
      <c r="U56" s="38"/>
      <c r="V56" s="38"/>
    </row>
    <row r="57" spans="2:251" ht="13.8">
      <c r="C57" s="67">
        <v>1618.01</v>
      </c>
      <c r="D57" s="72" t="s">
        <v>180</v>
      </c>
      <c r="E57" s="76"/>
      <c r="F57" s="72"/>
      <c r="G57" s="70">
        <v>5532533878.8999996</v>
      </c>
      <c r="H57" s="71">
        <v>5532533878.8999996</v>
      </c>
      <c r="I57" s="71">
        <f>VLOOKUP(C57,TBFeb23!$A$8:J178,9,0)</f>
        <v>5532533878.8999996</v>
      </c>
      <c r="J57" s="71">
        <f>VLOOKUP(C57,TBMar23!$A$8:$K$122,9,0)</f>
        <v>5532533878.8999996</v>
      </c>
      <c r="K57" s="4"/>
      <c r="T57" s="38"/>
      <c r="U57" s="38"/>
      <c r="V57" s="38"/>
    </row>
    <row r="58" spans="2:251" ht="13.8">
      <c r="C58" s="67">
        <v>1618.02</v>
      </c>
      <c r="D58" s="72" t="s">
        <v>181</v>
      </c>
      <c r="E58" s="76"/>
      <c r="F58" s="72"/>
      <c r="G58" s="70">
        <v>1613043084.9699998</v>
      </c>
      <c r="H58" s="71">
        <v>1613043084.97</v>
      </c>
      <c r="I58" s="71">
        <f>VLOOKUP(C58,TBFeb23!$A$8:J179,9,0)</f>
        <v>1613043084.97</v>
      </c>
      <c r="J58" s="71">
        <f>VLOOKUP(C58,TBMar23!$A$8:$K$122,9,0)</f>
        <v>1613043084.97</v>
      </c>
      <c r="K58" s="4"/>
      <c r="T58" s="38"/>
      <c r="U58" s="38"/>
      <c r="V58" s="38"/>
    </row>
    <row r="59" spans="2:251" ht="13.8">
      <c r="C59" s="72"/>
      <c r="D59" s="73" t="s">
        <v>66</v>
      </c>
      <c r="E59" s="76"/>
      <c r="F59" s="72"/>
      <c r="G59" s="75">
        <f>SUM(G50:G58)</f>
        <v>7959267798.0900002</v>
      </c>
      <c r="H59" s="75">
        <f>SUM(H50:H58)</f>
        <v>7958777798.0900002</v>
      </c>
      <c r="I59" s="75">
        <f>SUM(I50:I58)</f>
        <v>7958287798.0900002</v>
      </c>
      <c r="J59" s="75">
        <f>SUM(J50:J58)</f>
        <v>7995325098.0900002</v>
      </c>
      <c r="K59" s="11"/>
      <c r="L59" s="11"/>
      <c r="M59" s="11"/>
      <c r="N59" s="11"/>
      <c r="O59" s="11"/>
      <c r="P59" s="11"/>
      <c r="Q59" s="11"/>
      <c r="R59" s="11"/>
      <c r="S59" s="11"/>
      <c r="T59" s="38"/>
      <c r="U59" s="53" t="e">
        <f>#REF!/$U$7</f>
        <v>#REF!</v>
      </c>
      <c r="V59" s="38"/>
      <c r="IQ59" s="11"/>
    </row>
    <row r="60" spans="2:251" ht="13.8">
      <c r="B60" s="1" t="s">
        <v>67</v>
      </c>
      <c r="C60" s="72"/>
      <c r="D60" s="72"/>
      <c r="E60" s="76"/>
      <c r="F60" s="72"/>
      <c r="G60" s="70"/>
      <c r="H60" s="71"/>
      <c r="I60" s="71"/>
      <c r="J60" s="71"/>
      <c r="K60" s="4"/>
      <c r="T60" s="38"/>
      <c r="U60" s="38" t="e">
        <f>#REF!/$U$7</f>
        <v>#REF!</v>
      </c>
      <c r="V60" s="38"/>
    </row>
    <row r="61" spans="2:251" ht="13.8">
      <c r="C61" s="67">
        <v>2412</v>
      </c>
      <c r="D61" s="68" t="s">
        <v>14</v>
      </c>
      <c r="E61" s="76"/>
      <c r="F61" s="72"/>
      <c r="G61" s="70">
        <v>17245641840</v>
      </c>
      <c r="H61" s="71">
        <v>17245641840</v>
      </c>
      <c r="I61" s="71">
        <f>VLOOKUP(C61,TBFeb23!$A$8:J182,9,0)</f>
        <v>17245641840</v>
      </c>
      <c r="J61" s="71">
        <f>VLOOKUP(C61,TBMar23!$A$8:$K$122,9,0)</f>
        <v>17245641840</v>
      </c>
      <c r="K61" s="16"/>
      <c r="L61" s="16"/>
      <c r="M61" s="16"/>
      <c r="N61" s="16"/>
      <c r="O61" s="16"/>
      <c r="P61" s="16"/>
      <c r="Q61" s="16"/>
      <c r="R61" s="16"/>
      <c r="S61" s="16"/>
      <c r="T61" s="38"/>
      <c r="U61" s="38" t="e">
        <f>#REF!/$U$7</f>
        <v>#REF!</v>
      </c>
      <c r="V61" s="38"/>
    </row>
    <row r="62" spans="2:251" ht="13.8">
      <c r="C62" s="67">
        <v>2413</v>
      </c>
      <c r="D62" s="68" t="s">
        <v>15</v>
      </c>
      <c r="E62" s="76"/>
      <c r="F62" s="72"/>
      <c r="G62" s="70">
        <v>6483187128</v>
      </c>
      <c r="H62" s="71">
        <v>6483187128</v>
      </c>
      <c r="I62" s="71">
        <f>VLOOKUP(C62,TBFeb23!$A$8:J183,9,0)</f>
        <v>6483187128</v>
      </c>
      <c r="J62" s="71">
        <f>VLOOKUP(C62,TBMar23!$A$8:$K$122,9,0)</f>
        <v>6483187128</v>
      </c>
      <c r="K62" s="16"/>
      <c r="L62" s="16"/>
      <c r="M62" s="16"/>
      <c r="N62" s="16"/>
      <c r="O62" s="16"/>
      <c r="P62" s="16"/>
      <c r="Q62" s="16"/>
      <c r="R62" s="16"/>
      <c r="S62" s="16"/>
      <c r="T62" s="38"/>
      <c r="U62" s="38" t="e">
        <f>#REF!/$U$7</f>
        <v>#REF!</v>
      </c>
      <c r="V62" s="38"/>
    </row>
    <row r="63" spans="2:251" ht="13.8">
      <c r="C63" s="67">
        <v>2414</v>
      </c>
      <c r="D63" s="68" t="s">
        <v>16</v>
      </c>
      <c r="E63" s="76"/>
      <c r="F63" s="72"/>
      <c r="G63" s="70">
        <v>2732464590</v>
      </c>
      <c r="H63" s="71">
        <v>2732464590</v>
      </c>
      <c r="I63" s="71">
        <f>VLOOKUP(C63,TBFeb23!$A$8:J184,9,0)</f>
        <v>2732464590</v>
      </c>
      <c r="J63" s="71">
        <f>VLOOKUP(C63,TBMar23!$A$8:$K$122,9,0)</f>
        <v>2732464590</v>
      </c>
      <c r="K63" s="16"/>
      <c r="L63" s="16"/>
      <c r="M63" s="16"/>
      <c r="N63" s="16"/>
      <c r="O63" s="16"/>
      <c r="P63" s="16"/>
      <c r="Q63" s="16"/>
      <c r="R63" s="16"/>
      <c r="S63" s="16"/>
      <c r="T63" s="38"/>
      <c r="U63" s="38" t="e">
        <f>#REF!/$U$7</f>
        <v>#REF!</v>
      </c>
      <c r="V63" s="38"/>
    </row>
    <row r="64" spans="2:251" ht="13.8">
      <c r="C64" s="67">
        <v>2418</v>
      </c>
      <c r="D64" s="68" t="s">
        <v>182</v>
      </c>
      <c r="E64" s="76"/>
      <c r="F64" s="72"/>
      <c r="G64" s="70">
        <v>295777456</v>
      </c>
      <c r="H64" s="71">
        <v>295777456</v>
      </c>
      <c r="I64" s="71">
        <f>VLOOKUP(C64,TBFeb23!$A$8:J185,9,0)</f>
        <v>295777456</v>
      </c>
      <c r="J64" s="71">
        <f>VLOOKUP(C64,TBMar23!$A$8:$K$122,9,0)</f>
        <v>295777456</v>
      </c>
      <c r="K64" s="16"/>
      <c r="L64" s="16"/>
      <c r="M64" s="16"/>
      <c r="N64" s="16"/>
      <c r="O64" s="16"/>
      <c r="P64" s="16"/>
      <c r="Q64" s="16"/>
      <c r="R64" s="16"/>
      <c r="S64" s="16"/>
      <c r="T64" s="38"/>
      <c r="U64" s="38" t="e">
        <f>#REF!/$U$7</f>
        <v>#REF!</v>
      </c>
      <c r="V64" s="38"/>
    </row>
    <row r="65" spans="1:22" ht="13.8">
      <c r="C65" s="67">
        <v>2421.0100000000002</v>
      </c>
      <c r="D65" s="68" t="s">
        <v>183</v>
      </c>
      <c r="E65" s="76"/>
      <c r="F65" s="72"/>
      <c r="G65" s="70">
        <v>2414684067</v>
      </c>
      <c r="H65" s="71">
        <v>2414684067</v>
      </c>
      <c r="I65" s="71">
        <f>VLOOKUP(C65,TBFeb23!$A$8:J186,9,0)</f>
        <v>2414684067</v>
      </c>
      <c r="J65" s="71">
        <f>VLOOKUP(C65,TBMar23!$A$8:$K$122,9,0)</f>
        <v>2414684067</v>
      </c>
      <c r="K65" s="16"/>
      <c r="L65" s="16"/>
      <c r="M65" s="16"/>
      <c r="N65" s="16"/>
      <c r="O65" s="16"/>
      <c r="P65" s="16"/>
      <c r="Q65" s="16"/>
      <c r="R65" s="16"/>
      <c r="S65" s="16"/>
      <c r="T65" s="38"/>
      <c r="U65" s="38" t="e">
        <f>#REF!/$U$7</f>
        <v>#REF!</v>
      </c>
      <c r="V65" s="38"/>
    </row>
    <row r="66" spans="1:22" ht="13.8">
      <c r="C66" s="67">
        <v>2428</v>
      </c>
      <c r="D66" s="68" t="s">
        <v>184</v>
      </c>
      <c r="E66" s="76"/>
      <c r="F66" s="72"/>
      <c r="G66" s="70">
        <v>-1609789374</v>
      </c>
      <c r="H66" s="71">
        <v>-1609789374</v>
      </c>
      <c r="I66" s="71">
        <f>VLOOKUP(C66,TBFeb23!$A$8:J187,9,0)</f>
        <v>-1609789374</v>
      </c>
      <c r="J66" s="71">
        <f>VLOOKUP(C66,TBMar23!$A$8:$K$122,9,0)</f>
        <v>-1609789374</v>
      </c>
      <c r="K66" s="16"/>
      <c r="L66" s="16"/>
      <c r="M66" s="16"/>
      <c r="N66" s="16"/>
      <c r="O66" s="16"/>
      <c r="P66" s="16"/>
      <c r="Q66" s="16"/>
      <c r="R66" s="16"/>
      <c r="S66" s="16"/>
      <c r="T66" s="38"/>
      <c r="U66" s="38" t="e">
        <f>#REF!/$U$7</f>
        <v>#REF!</v>
      </c>
      <c r="V66" s="38"/>
    </row>
    <row r="67" spans="1:22" ht="13.8">
      <c r="C67" s="67">
        <v>2841</v>
      </c>
      <c r="D67" s="68" t="s">
        <v>68</v>
      </c>
      <c r="E67" s="76"/>
      <c r="F67" s="72"/>
      <c r="G67" s="70">
        <v>-12899242842</v>
      </c>
      <c r="H67" s="71">
        <v>-13128878509</v>
      </c>
      <c r="I67" s="71">
        <f>VLOOKUP(C67,TBFeb23!$A$8:J188,9,0)</f>
        <v>-13359259169.57</v>
      </c>
      <c r="J67" s="71">
        <f>VLOOKUP(C67,TBMar23!$A$8:$K$122,9,0)</f>
        <v>-13589639830.139999</v>
      </c>
      <c r="K67" s="16"/>
      <c r="L67" s="16"/>
      <c r="M67" s="16"/>
      <c r="N67" s="16"/>
      <c r="O67" s="16"/>
      <c r="P67" s="16"/>
      <c r="Q67" s="16"/>
      <c r="R67" s="16"/>
      <c r="S67" s="16"/>
      <c r="T67" s="38"/>
      <c r="U67" s="38" t="e">
        <f>#REF!/$U$7</f>
        <v>#REF!</v>
      </c>
      <c r="V67" s="38"/>
    </row>
    <row r="68" spans="1:22" ht="13.8">
      <c r="C68" s="72"/>
      <c r="D68" s="73" t="s">
        <v>69</v>
      </c>
      <c r="E68" s="76"/>
      <c r="F68" s="72"/>
      <c r="G68" s="75">
        <f>SUM(G61:G67)</f>
        <v>14662722865</v>
      </c>
      <c r="H68" s="75">
        <f>SUM(H61:H67)</f>
        <v>14433087198</v>
      </c>
      <c r="I68" s="75">
        <f>SUM(I61:I67)</f>
        <v>14202706537.43</v>
      </c>
      <c r="J68" s="75">
        <f>SUM(J61:J67)</f>
        <v>13972325876.860001</v>
      </c>
      <c r="K68" s="11"/>
      <c r="L68" s="11"/>
      <c r="M68" s="11"/>
      <c r="N68" s="11"/>
      <c r="O68" s="11"/>
      <c r="P68" s="11"/>
      <c r="Q68" s="11"/>
      <c r="R68" s="11"/>
      <c r="S68" s="11"/>
      <c r="T68" s="38"/>
      <c r="U68" s="38" t="e">
        <f>#REF!/$U$7</f>
        <v>#REF!</v>
      </c>
      <c r="V68" s="38"/>
    </row>
    <row r="69" spans="1:22" ht="14.4" thickBot="1">
      <c r="C69" s="72"/>
      <c r="D69" s="79" t="s">
        <v>70</v>
      </c>
      <c r="E69" s="74"/>
      <c r="F69" s="72"/>
      <c r="G69" s="88">
        <f>G25+G30+G42+G48+G59+G68</f>
        <v>27200039610.220001</v>
      </c>
      <c r="H69" s="88">
        <f>H25+H30+H42+H48+H59+H68</f>
        <v>26302979541.309998</v>
      </c>
      <c r="I69" s="88">
        <f>I25+I30+I42+I48+I59+I68</f>
        <v>25638238763.709999</v>
      </c>
      <c r="J69" s="88">
        <f>J25+J30+J42+J48+J59+J68</f>
        <v>25964383852.110001</v>
      </c>
      <c r="K69" s="13"/>
      <c r="L69" s="13"/>
      <c r="M69" s="13"/>
      <c r="N69" s="13"/>
      <c r="O69" s="13"/>
      <c r="P69" s="13"/>
      <c r="Q69" s="13"/>
      <c r="R69" s="13"/>
      <c r="S69" s="51"/>
      <c r="T69" s="38"/>
      <c r="U69" s="53" t="e">
        <f>#REF!/$U$7</f>
        <v>#REF!</v>
      </c>
      <c r="V69" s="38"/>
    </row>
    <row r="70" spans="1:22" ht="14.4" thickTop="1">
      <c r="A70" s="1" t="s">
        <v>71</v>
      </c>
      <c r="B70" s="1"/>
      <c r="C70" s="73"/>
      <c r="D70" s="72"/>
      <c r="E70" s="74"/>
      <c r="F70" s="72"/>
      <c r="G70" s="70"/>
      <c r="H70" s="71"/>
      <c r="I70" s="71"/>
      <c r="J70" s="71"/>
      <c r="K70" s="4"/>
      <c r="T70" s="38"/>
      <c r="U70" s="38" t="e">
        <f>#REF!/$U$7</f>
        <v>#REF!</v>
      </c>
      <c r="V70" s="38"/>
    </row>
    <row r="71" spans="1:22" ht="13.8">
      <c r="A71" s="1"/>
      <c r="B71" s="1"/>
      <c r="C71" s="73" t="s">
        <v>72</v>
      </c>
      <c r="D71" s="72"/>
      <c r="E71" s="74"/>
      <c r="F71" s="72"/>
      <c r="G71" s="70"/>
      <c r="H71" s="71"/>
      <c r="I71" s="71"/>
      <c r="J71" s="71"/>
      <c r="K71" s="4"/>
      <c r="T71" s="38"/>
      <c r="U71" s="38" t="e">
        <f>#REF!/$U$7</f>
        <v>#REF!</v>
      </c>
      <c r="V71" s="38"/>
    </row>
    <row r="72" spans="1:22" s="3" customFormat="1" ht="13.8">
      <c r="A72" s="1"/>
      <c r="B72" s="1"/>
      <c r="C72" s="73" t="s">
        <v>73</v>
      </c>
      <c r="D72" s="72"/>
      <c r="E72" s="74"/>
      <c r="F72" s="72"/>
      <c r="G72" s="70"/>
      <c r="H72" s="71"/>
      <c r="I72" s="71"/>
      <c r="J72" s="71"/>
      <c r="K72" s="4"/>
      <c r="L72" s="4"/>
      <c r="M72" s="4"/>
      <c r="N72" s="4"/>
      <c r="O72" s="4"/>
      <c r="P72" s="4"/>
      <c r="Q72" s="4"/>
      <c r="R72" s="4"/>
      <c r="S72" s="4"/>
      <c r="T72" s="38"/>
      <c r="U72" s="38" t="e">
        <f>#REF!/$U$7</f>
        <v>#REF!</v>
      </c>
      <c r="V72" s="38"/>
    </row>
    <row r="73" spans="1:22" s="3" customFormat="1" ht="13.8">
      <c r="A73" s="2"/>
      <c r="B73" s="2"/>
      <c r="C73" s="73" t="s">
        <v>74</v>
      </c>
      <c r="D73" s="72"/>
      <c r="E73" s="74"/>
      <c r="F73" s="72"/>
      <c r="G73" s="70"/>
      <c r="H73" s="71"/>
      <c r="I73" s="71"/>
      <c r="J73" s="71"/>
      <c r="K73" s="4"/>
      <c r="L73" s="4"/>
      <c r="M73" s="4"/>
      <c r="N73" s="4"/>
      <c r="O73" s="4"/>
      <c r="P73" s="4"/>
      <c r="Q73" s="4"/>
      <c r="R73" s="4"/>
      <c r="S73" s="4"/>
      <c r="T73" s="38"/>
      <c r="U73" s="38" t="e">
        <f>#REF!/$U$7</f>
        <v>#REF!</v>
      </c>
      <c r="V73" s="38"/>
    </row>
    <row r="74" spans="1:22" s="3" customFormat="1" ht="13.8">
      <c r="A74" s="2"/>
      <c r="B74" s="2"/>
      <c r="C74" s="67">
        <v>401.02</v>
      </c>
      <c r="D74" s="67" t="s">
        <v>231</v>
      </c>
      <c r="E74" s="240"/>
      <c r="F74" s="240"/>
      <c r="G74" s="70">
        <v>590800</v>
      </c>
      <c r="H74" s="71">
        <v>0</v>
      </c>
      <c r="I74" s="71">
        <f>VLOOKUP(C74,TBFeb23!$A$8:J195,9,0)</f>
        <v>0</v>
      </c>
      <c r="J74" s="71">
        <v>0</v>
      </c>
      <c r="K74" s="16"/>
      <c r="L74" s="16"/>
      <c r="M74" s="16"/>
      <c r="N74" s="16"/>
      <c r="O74" s="16"/>
      <c r="P74" s="16"/>
      <c r="Q74" s="16"/>
      <c r="R74" s="16"/>
      <c r="S74" s="16"/>
      <c r="T74" s="38"/>
      <c r="U74" s="38" t="e">
        <f>#REF!/$U$7</f>
        <v>#REF!</v>
      </c>
      <c r="V74" s="38"/>
    </row>
    <row r="75" spans="1:22" s="3" customFormat="1" ht="13.8">
      <c r="A75" s="2"/>
      <c r="B75" s="2"/>
      <c r="C75" s="67">
        <v>401.03</v>
      </c>
      <c r="D75" s="67" t="s">
        <v>75</v>
      </c>
      <c r="E75" s="72"/>
      <c r="F75" s="72"/>
      <c r="G75" s="70">
        <v>6350000</v>
      </c>
      <c r="H75" s="71">
        <v>0</v>
      </c>
      <c r="I75" s="71">
        <f>VLOOKUP(C75,TBFeb23!$A$8:J196,9,0)</f>
        <v>0</v>
      </c>
      <c r="J75" s="71">
        <v>0</v>
      </c>
      <c r="K75" s="16"/>
      <c r="L75" s="16"/>
      <c r="M75" s="16"/>
      <c r="N75" s="16"/>
      <c r="O75" s="16"/>
      <c r="P75" s="16"/>
      <c r="Q75" s="16"/>
      <c r="R75" s="16"/>
      <c r="S75" s="16"/>
      <c r="T75" s="38"/>
      <c r="U75" s="38" t="e">
        <f>#REF!/$U$7</f>
        <v>#REF!</v>
      </c>
      <c r="V75" s="38"/>
    </row>
    <row r="76" spans="1:22" s="3" customFormat="1" ht="13.8">
      <c r="A76" s="2"/>
      <c r="B76" s="2"/>
      <c r="C76" s="67">
        <v>401.05</v>
      </c>
      <c r="D76" s="67" t="s">
        <v>76</v>
      </c>
      <c r="E76" s="240"/>
      <c r="F76" s="240"/>
      <c r="G76" s="70">
        <v>3080000</v>
      </c>
      <c r="H76" s="71">
        <v>0</v>
      </c>
      <c r="I76" s="71">
        <f>VLOOKUP(C76,TBFeb23!$A$8:J197,9,0)</f>
        <v>0</v>
      </c>
      <c r="J76" s="71">
        <v>0</v>
      </c>
      <c r="K76" s="16"/>
      <c r="L76" s="16"/>
      <c r="M76" s="16"/>
      <c r="N76" s="16"/>
      <c r="O76" s="16"/>
      <c r="P76" s="16"/>
      <c r="Q76" s="16"/>
      <c r="R76" s="16"/>
      <c r="S76" s="16"/>
      <c r="T76" s="38"/>
      <c r="U76" s="38" t="e">
        <f>#REF!/$U$7</f>
        <v>#REF!</v>
      </c>
      <c r="V76" s="38"/>
    </row>
    <row r="77" spans="1:22" s="3" customFormat="1" ht="13.8">
      <c r="A77" s="2"/>
      <c r="B77" s="2"/>
      <c r="C77" s="67">
        <v>402.01</v>
      </c>
      <c r="D77" s="67" t="s">
        <v>77</v>
      </c>
      <c r="E77" s="72"/>
      <c r="F77" s="72"/>
      <c r="G77" s="70">
        <v>0</v>
      </c>
      <c r="H77" s="71">
        <v>0</v>
      </c>
      <c r="I77" s="71">
        <f>VLOOKUP(C77,TBFeb23!$A$8:J198,9,0)</f>
        <v>0</v>
      </c>
      <c r="J77" s="71">
        <v>0</v>
      </c>
      <c r="K77" s="16"/>
      <c r="L77" s="16"/>
      <c r="M77" s="16"/>
      <c r="N77" s="16"/>
      <c r="O77" s="16"/>
      <c r="P77" s="16"/>
      <c r="Q77" s="16"/>
      <c r="R77" s="16"/>
      <c r="S77" s="16"/>
      <c r="T77" s="38"/>
      <c r="U77" s="38" t="e">
        <f>#REF!/$U$7</f>
        <v>#REF!</v>
      </c>
      <c r="V77" s="38"/>
    </row>
    <row r="78" spans="1:22" s="3" customFormat="1" ht="13.8">
      <c r="A78" s="2"/>
      <c r="B78" s="2"/>
      <c r="C78" s="67">
        <v>402.02</v>
      </c>
      <c r="D78" s="67" t="s">
        <v>78</v>
      </c>
      <c r="E78" s="240"/>
      <c r="F78" s="240"/>
      <c r="G78" s="70">
        <v>2488800</v>
      </c>
      <c r="H78" s="71">
        <v>0</v>
      </c>
      <c r="I78" s="71">
        <f>VLOOKUP(C78,TBFeb23!$A$8:J199,9,0)</f>
        <v>0</v>
      </c>
      <c r="J78" s="71">
        <v>0</v>
      </c>
      <c r="K78" s="16"/>
      <c r="L78" s="16"/>
      <c r="M78" s="16"/>
      <c r="N78" s="16"/>
      <c r="O78" s="16"/>
      <c r="P78" s="16"/>
      <c r="Q78" s="16"/>
      <c r="R78" s="16"/>
      <c r="S78" s="16"/>
      <c r="T78" s="38"/>
      <c r="U78" s="38" t="e">
        <f>#REF!/$U$7</f>
        <v>#REF!</v>
      </c>
      <c r="V78" s="38"/>
    </row>
    <row r="79" spans="1:22" s="3" customFormat="1" ht="13.8">
      <c r="A79" s="2"/>
      <c r="B79" s="2"/>
      <c r="C79" s="67">
        <v>402.03</v>
      </c>
      <c r="D79" s="67" t="s">
        <v>188</v>
      </c>
      <c r="E79" s="72"/>
      <c r="F79" s="72"/>
      <c r="G79" s="70">
        <v>53950000</v>
      </c>
      <c r="H79" s="71">
        <v>53950000</v>
      </c>
      <c r="I79" s="71">
        <f>VLOOKUP(C79,TBFeb23!$A$8:J200,9,0)</f>
        <v>0</v>
      </c>
      <c r="J79" s="71">
        <v>0</v>
      </c>
      <c r="K79" s="16"/>
      <c r="L79" s="16"/>
      <c r="M79" s="16"/>
      <c r="N79" s="16"/>
      <c r="O79" s="16"/>
      <c r="P79" s="16"/>
      <c r="Q79" s="16"/>
      <c r="R79" s="16"/>
      <c r="S79" s="16"/>
      <c r="T79" s="38"/>
      <c r="U79" s="38" t="e">
        <f>#REF!/$U$7</f>
        <v>#REF!</v>
      </c>
      <c r="V79" s="38"/>
    </row>
    <row r="80" spans="1:22" s="3" customFormat="1" ht="13.8">
      <c r="A80" s="2"/>
      <c r="B80" s="2"/>
      <c r="C80" s="67">
        <v>402.06</v>
      </c>
      <c r="D80" s="67" t="s">
        <v>232</v>
      </c>
      <c r="E80" s="240"/>
      <c r="F80" s="240"/>
      <c r="G80" s="70">
        <v>0</v>
      </c>
      <c r="H80" s="71">
        <v>0</v>
      </c>
      <c r="I80" s="71">
        <f>VLOOKUP(C80,TBFeb23!$A$8:J201,9,0)</f>
        <v>0</v>
      </c>
      <c r="J80" s="71">
        <v>0</v>
      </c>
      <c r="K80" s="16"/>
      <c r="L80" s="16"/>
      <c r="M80" s="16"/>
      <c r="N80" s="16"/>
      <c r="O80" s="16"/>
      <c r="P80" s="16"/>
      <c r="Q80" s="16"/>
      <c r="R80" s="16"/>
      <c r="S80" s="16"/>
      <c r="T80" s="38"/>
      <c r="U80" s="38" t="e">
        <f>#REF!/$U$7</f>
        <v>#REF!</v>
      </c>
      <c r="V80" s="38"/>
    </row>
    <row r="81" spans="1:22" s="3" customFormat="1" ht="13.8">
      <c r="A81" s="2"/>
      <c r="B81" s="2"/>
      <c r="C81" s="67">
        <v>402.07</v>
      </c>
      <c r="D81" s="67" t="s">
        <v>233</v>
      </c>
      <c r="E81" s="72"/>
      <c r="F81" s="72"/>
      <c r="G81" s="70">
        <v>150567615</v>
      </c>
      <c r="H81" s="71">
        <v>150567615</v>
      </c>
      <c r="I81" s="71">
        <f>VLOOKUP(C81,TBFeb23!$A$8:J202,9,0)</f>
        <v>0</v>
      </c>
      <c r="J81" s="71">
        <v>0</v>
      </c>
      <c r="K81" s="16"/>
      <c r="L81" s="16"/>
      <c r="M81" s="16"/>
      <c r="N81" s="16"/>
      <c r="O81" s="16"/>
      <c r="P81" s="16"/>
      <c r="Q81" s="16"/>
      <c r="R81" s="16"/>
      <c r="S81" s="16"/>
      <c r="T81" s="38"/>
      <c r="U81" s="38" t="e">
        <f>#REF!/$U$7</f>
        <v>#REF!</v>
      </c>
      <c r="V81" s="38"/>
    </row>
    <row r="82" spans="1:22" s="3" customFormat="1" ht="13.8">
      <c r="A82" s="2"/>
      <c r="B82" s="2"/>
      <c r="C82" s="67">
        <v>4042</v>
      </c>
      <c r="D82" s="67" t="s">
        <v>112</v>
      </c>
      <c r="E82" s="240"/>
      <c r="F82" s="240"/>
      <c r="G82" s="70">
        <v>0</v>
      </c>
      <c r="H82" s="71">
        <v>0</v>
      </c>
      <c r="I82" s="71">
        <v>0</v>
      </c>
      <c r="J82" s="71">
        <v>0</v>
      </c>
      <c r="K82" s="16"/>
      <c r="L82" s="16"/>
      <c r="M82" s="16"/>
      <c r="N82" s="16"/>
      <c r="O82" s="16"/>
      <c r="P82" s="16"/>
      <c r="Q82" s="16"/>
      <c r="R82" s="16"/>
      <c r="S82" s="16"/>
      <c r="T82" s="38"/>
      <c r="U82" s="38" t="e">
        <f>#REF!/$U$7</f>
        <v>#REF!</v>
      </c>
      <c r="V82" s="38"/>
    </row>
    <row r="83" spans="1:22" s="3" customFormat="1" ht="13.8">
      <c r="A83" s="2"/>
      <c r="B83" s="2"/>
      <c r="C83" s="72"/>
      <c r="D83" s="73" t="s">
        <v>79</v>
      </c>
      <c r="E83" s="72"/>
      <c r="F83" s="72"/>
      <c r="G83" s="75">
        <f>SUM(G74:G82)</f>
        <v>217027215</v>
      </c>
      <c r="H83" s="75">
        <f>SUM(H74:H82)</f>
        <v>204517615</v>
      </c>
      <c r="I83" s="75">
        <f>SUM(I74:I82)</f>
        <v>0</v>
      </c>
      <c r="J83" s="75">
        <f>SUM(J74:J82)</f>
        <v>0</v>
      </c>
      <c r="K83" s="11"/>
      <c r="L83" s="11"/>
      <c r="M83" s="11"/>
      <c r="N83" s="11"/>
      <c r="O83" s="11"/>
      <c r="P83" s="11"/>
      <c r="Q83" s="11"/>
      <c r="R83" s="11"/>
      <c r="S83" s="11"/>
      <c r="T83" s="38"/>
      <c r="U83" s="53" t="e">
        <f>#REF!/$U$7</f>
        <v>#REF!</v>
      </c>
      <c r="V83" s="38"/>
    </row>
    <row r="84" spans="1:22" s="3" customFormat="1" ht="13.8">
      <c r="A84" s="2"/>
      <c r="B84" s="2"/>
      <c r="C84" s="73" t="s">
        <v>80</v>
      </c>
      <c r="D84" s="72"/>
      <c r="E84" s="240"/>
      <c r="F84" s="240"/>
      <c r="G84" s="70"/>
      <c r="H84" s="71"/>
      <c r="I84" s="71"/>
      <c r="J84" s="71"/>
      <c r="K84" s="4"/>
      <c r="L84" s="4"/>
      <c r="M84" s="4"/>
      <c r="N84" s="4"/>
      <c r="O84" s="4"/>
      <c r="P84" s="4"/>
      <c r="Q84" s="4"/>
      <c r="R84" s="4"/>
      <c r="S84" s="4"/>
      <c r="T84" s="38"/>
      <c r="U84" s="38" t="e">
        <f>#REF!/$U$7</f>
        <v>#REF!</v>
      </c>
      <c r="V84" s="38"/>
    </row>
    <row r="85" spans="1:22" s="3" customFormat="1" ht="13.8">
      <c r="A85" s="2"/>
      <c r="B85" s="2"/>
      <c r="C85" s="67">
        <v>4201</v>
      </c>
      <c r="D85" s="68" t="s">
        <v>19</v>
      </c>
      <c r="E85" s="72"/>
      <c r="F85" s="72"/>
      <c r="G85" s="70">
        <v>4.76837158203125E-7</v>
      </c>
      <c r="H85" s="71">
        <v>0</v>
      </c>
      <c r="I85" s="71">
        <f>-VLOOKUP(C85,TBFeb23!$A$8:J206,9,0)</f>
        <v>82244135</v>
      </c>
      <c r="J85" s="71">
        <f>-VLOOKUP(C85,TBMar23!$A$8:$K$122,9,0)</f>
        <v>81130299.99999997</v>
      </c>
      <c r="K85" s="16"/>
      <c r="L85" s="16"/>
      <c r="M85" s="16"/>
      <c r="N85" s="16"/>
      <c r="O85" s="16"/>
      <c r="P85" s="16"/>
      <c r="Q85" s="16"/>
      <c r="R85" s="16"/>
      <c r="S85" s="16"/>
      <c r="T85" s="38"/>
      <c r="U85" s="38" t="e">
        <f>#REF!/$U$7</f>
        <v>#REF!</v>
      </c>
      <c r="V85" s="38"/>
    </row>
    <row r="86" spans="1:22" s="3" customFormat="1" ht="13.8">
      <c r="A86" s="2"/>
      <c r="B86" s="2"/>
      <c r="C86" s="67">
        <v>4202</v>
      </c>
      <c r="D86" s="68" t="s">
        <v>189</v>
      </c>
      <c r="E86" s="72"/>
      <c r="F86" s="72"/>
      <c r="G86" s="70">
        <v>1701780</v>
      </c>
      <c r="H86" s="71">
        <v>0</v>
      </c>
      <c r="I86" s="71">
        <f>-VLOOKUP(C86,TBFeb23!$A$8:J207,9,0)</f>
        <v>0</v>
      </c>
      <c r="J86" s="71">
        <v>0</v>
      </c>
      <c r="K86" s="16"/>
      <c r="L86" s="16"/>
      <c r="M86" s="16"/>
      <c r="N86" s="16"/>
      <c r="O86" s="16"/>
      <c r="P86" s="16"/>
      <c r="Q86" s="16"/>
      <c r="R86" s="16"/>
      <c r="S86" s="16"/>
      <c r="T86" s="38"/>
      <c r="U86" s="38"/>
      <c r="V86" s="38"/>
    </row>
    <row r="87" spans="1:22" s="3" customFormat="1" ht="13.8">
      <c r="A87" s="2"/>
      <c r="B87" s="2"/>
      <c r="C87" s="67">
        <v>4211</v>
      </c>
      <c r="D87" s="68" t="s">
        <v>190</v>
      </c>
      <c r="E87" s="72"/>
      <c r="F87" s="72"/>
      <c r="G87" s="70">
        <v>1590732000</v>
      </c>
      <c r="H87" s="71">
        <v>0</v>
      </c>
      <c r="I87" s="71">
        <f>-VLOOKUP(C87,TBFeb23!$A$8:J208,9,0)</f>
        <v>0</v>
      </c>
      <c r="J87" s="71">
        <v>0</v>
      </c>
      <c r="K87" s="16"/>
      <c r="L87" s="16"/>
      <c r="M87" s="16"/>
      <c r="N87" s="16"/>
      <c r="O87" s="16"/>
      <c r="P87" s="16"/>
      <c r="Q87" s="16"/>
      <c r="R87" s="16"/>
      <c r="S87" s="16"/>
      <c r="T87" s="38"/>
      <c r="U87" s="38"/>
      <c r="V87" s="38"/>
    </row>
    <row r="88" spans="1:22" s="3" customFormat="1" ht="13.8">
      <c r="A88" s="2"/>
      <c r="B88" s="2"/>
      <c r="C88" s="67">
        <v>4221</v>
      </c>
      <c r="D88" s="68" t="s">
        <v>20</v>
      </c>
      <c r="E88" s="72"/>
      <c r="F88" s="72"/>
      <c r="G88" s="70">
        <v>1336913</v>
      </c>
      <c r="H88" s="71">
        <v>3251639</v>
      </c>
      <c r="I88" s="71">
        <f>-VLOOKUP(C88,TBFeb23!$A$8:J209,9,0)</f>
        <v>3218265</v>
      </c>
      <c r="J88" s="71">
        <f>-VLOOKUP(C88,TBMar23!$A$8:$K$122,9,0)</f>
        <v>6238365</v>
      </c>
      <c r="K88" s="16"/>
      <c r="L88" s="16"/>
      <c r="M88" s="16"/>
      <c r="N88" s="16"/>
      <c r="O88" s="16"/>
      <c r="P88" s="16"/>
      <c r="Q88" s="16"/>
      <c r="R88" s="16"/>
      <c r="S88" s="16"/>
      <c r="T88" s="38"/>
      <c r="U88" s="38"/>
      <c r="V88" s="38"/>
    </row>
    <row r="89" spans="1:22" s="3" customFormat="1" ht="13.8">
      <c r="A89" s="2"/>
      <c r="B89" s="2"/>
      <c r="C89" s="67">
        <v>4222</v>
      </c>
      <c r="D89" s="68" t="s">
        <v>234</v>
      </c>
      <c r="E89" s="72"/>
      <c r="F89" s="72"/>
      <c r="G89" s="70">
        <v>0</v>
      </c>
      <c r="H89" s="71">
        <v>0</v>
      </c>
      <c r="I89" s="71">
        <f>-VLOOKUP(C89,TBFeb23!$A$8:J210,9,0)</f>
        <v>0</v>
      </c>
      <c r="J89" s="71">
        <v>0</v>
      </c>
      <c r="K89" s="16"/>
      <c r="L89" s="16"/>
      <c r="M89" s="16"/>
      <c r="N89" s="16"/>
      <c r="O89" s="16"/>
      <c r="P89" s="16"/>
      <c r="Q89" s="16"/>
      <c r="R89" s="16"/>
      <c r="S89" s="16"/>
      <c r="T89" s="38"/>
      <c r="U89" s="38"/>
      <c r="V89" s="38"/>
    </row>
    <row r="90" spans="1:22" s="3" customFormat="1" ht="13.8">
      <c r="A90" s="2"/>
      <c r="B90" s="2"/>
      <c r="C90" s="67">
        <v>430</v>
      </c>
      <c r="D90" s="68" t="s">
        <v>21</v>
      </c>
      <c r="E90" s="72"/>
      <c r="F90" s="72"/>
      <c r="G90" s="70">
        <v>4126928.4799999823</v>
      </c>
      <c r="H90" s="71">
        <v>10645038</v>
      </c>
      <c r="I90" s="71">
        <f>-VLOOKUP(C90,TBFeb23!$A$8:J211,9,0)</f>
        <v>3987186.9399999995</v>
      </c>
      <c r="J90" s="71">
        <f>-VLOOKUP(C90,TBMar23!$A$8:$K$122,9,0)</f>
        <v>3944453.9999999981</v>
      </c>
      <c r="K90" s="16"/>
      <c r="L90" s="16"/>
      <c r="M90" s="16"/>
      <c r="N90" s="16"/>
      <c r="O90" s="16"/>
      <c r="P90" s="16"/>
      <c r="Q90" s="16"/>
      <c r="R90" s="16"/>
      <c r="S90" s="16"/>
      <c r="T90" s="38"/>
      <c r="U90" s="38"/>
      <c r="V90" s="38"/>
    </row>
    <row r="91" spans="1:22" s="3" customFormat="1" ht="13.8">
      <c r="A91" s="2"/>
      <c r="B91" s="2"/>
      <c r="C91" s="67" t="s">
        <v>267</v>
      </c>
      <c r="D91" s="68" t="s">
        <v>268</v>
      </c>
      <c r="E91" s="72"/>
      <c r="F91" s="72"/>
      <c r="G91" s="70">
        <v>-2.2351741790771484E-8</v>
      </c>
      <c r="H91" s="71">
        <v>0</v>
      </c>
      <c r="I91" s="71">
        <f>-VLOOKUP(C91,TBFeb23!$A$8:J212,9,0)</f>
        <v>0</v>
      </c>
      <c r="J91" s="71">
        <f>VLOOKUP(C91,TBMar23!$A$8:$K$122,9,0)</f>
        <v>0</v>
      </c>
      <c r="K91" s="16"/>
      <c r="L91" s="16"/>
      <c r="M91" s="16"/>
      <c r="N91" s="16"/>
      <c r="O91" s="16"/>
      <c r="P91" s="16"/>
      <c r="Q91" s="16"/>
      <c r="R91" s="16"/>
      <c r="S91" s="16"/>
      <c r="T91" s="38"/>
      <c r="U91" s="38"/>
      <c r="V91" s="38"/>
    </row>
    <row r="92" spans="1:22" s="3" customFormat="1" ht="13.8">
      <c r="A92" s="2"/>
      <c r="B92" s="2"/>
      <c r="C92" s="67">
        <v>433</v>
      </c>
      <c r="D92" s="68" t="s">
        <v>22</v>
      </c>
      <c r="E92" s="72"/>
      <c r="F92" s="72"/>
      <c r="G92" s="70">
        <v>26181232.939999994</v>
      </c>
      <c r="H92" s="71">
        <v>181258150.78999999</v>
      </c>
      <c r="I92" s="71">
        <f>-VLOOKUP(C92,TBFeb23!$A$8:J213,9,0)</f>
        <v>2433841</v>
      </c>
      <c r="J92" s="71">
        <f>-VLOOKUP(C92,TBMar23!$A$8:$K$122,9,0)</f>
        <v>52109325.259999998</v>
      </c>
      <c r="K92" s="16"/>
      <c r="L92" s="16"/>
      <c r="M92" s="16"/>
      <c r="N92" s="16"/>
      <c r="O92" s="16"/>
      <c r="P92" s="16"/>
      <c r="Q92" s="16"/>
      <c r="R92" s="16"/>
      <c r="S92" s="16"/>
      <c r="T92" s="38"/>
      <c r="U92" s="38"/>
      <c r="V92" s="38"/>
    </row>
    <row r="93" spans="1:22" s="3" customFormat="1" ht="13.8">
      <c r="A93" s="2"/>
      <c r="B93" s="2"/>
      <c r="C93" s="67">
        <v>473.01</v>
      </c>
      <c r="D93" s="68" t="s">
        <v>235</v>
      </c>
      <c r="E93" s="72"/>
      <c r="F93" s="72"/>
      <c r="G93" s="70">
        <v>14397442086.140003</v>
      </c>
      <c r="H93" s="71">
        <v>14397442086.139999</v>
      </c>
      <c r="I93" s="71">
        <f>-VLOOKUP(C93,TBFeb23!$A$8:J214,9,0)</f>
        <v>14397442086.139999</v>
      </c>
      <c r="J93" s="71">
        <f>-VLOOKUP(C93,TBMar23!$A$8:$K$122,9,0)</f>
        <v>14397442086.139999</v>
      </c>
      <c r="K93" s="16"/>
      <c r="L93" s="16"/>
      <c r="M93" s="16"/>
      <c r="N93" s="16"/>
      <c r="O93" s="16"/>
      <c r="P93" s="16"/>
      <c r="Q93" s="16"/>
      <c r="R93" s="16"/>
      <c r="S93" s="16"/>
      <c r="T93" s="38"/>
      <c r="U93" s="38"/>
      <c r="V93" s="38"/>
    </row>
    <row r="94" spans="1:22" s="3" customFormat="1" ht="13.8">
      <c r="A94" s="2"/>
      <c r="B94" s="2"/>
      <c r="C94" s="67">
        <v>473.02</v>
      </c>
      <c r="D94" s="68" t="s">
        <v>235</v>
      </c>
      <c r="E94" s="72"/>
      <c r="F94" s="72"/>
      <c r="G94" s="70">
        <v>7545447000</v>
      </c>
      <c r="H94" s="71">
        <v>7545447000</v>
      </c>
      <c r="I94" s="71">
        <f>-VLOOKUP(C94,TBFeb23!$A$8:J215,9,0)</f>
        <v>7545447000</v>
      </c>
      <c r="J94" s="71">
        <f>-VLOOKUP(C94,TBMar23!$A$8:$K$122,9,0)</f>
        <v>7545447000</v>
      </c>
      <c r="K94" s="16"/>
      <c r="L94" s="16"/>
      <c r="M94" s="16"/>
      <c r="N94" s="16"/>
      <c r="O94" s="16"/>
      <c r="P94" s="16"/>
      <c r="Q94" s="16"/>
      <c r="R94" s="16"/>
      <c r="S94" s="16"/>
      <c r="T94" s="38"/>
      <c r="U94" s="38"/>
      <c r="V94" s="38"/>
    </row>
    <row r="95" spans="1:22" s="3" customFormat="1" ht="13.8">
      <c r="A95" s="2"/>
      <c r="B95" s="2"/>
      <c r="C95" s="67">
        <v>473.03</v>
      </c>
      <c r="D95" s="68" t="s">
        <v>193</v>
      </c>
      <c r="E95" s="72"/>
      <c r="F95" s="72"/>
      <c r="G95" s="70">
        <v>21555014359.650002</v>
      </c>
      <c r="H95" s="71">
        <v>21555014359.650002</v>
      </c>
      <c r="I95" s="71">
        <f>-VLOOKUP(C95,TBFeb23!$A$8:J216,9,0)</f>
        <v>21555014359.650002</v>
      </c>
      <c r="J95" s="71">
        <f>-VLOOKUP(C95,TBMar23!$A$8:$K$122,9,0)</f>
        <v>21555014359.650002</v>
      </c>
      <c r="K95" s="16"/>
      <c r="L95" s="16"/>
      <c r="M95" s="16"/>
      <c r="N95" s="16"/>
      <c r="O95" s="16"/>
      <c r="P95" s="16"/>
      <c r="Q95" s="16"/>
      <c r="R95" s="16"/>
      <c r="S95" s="16"/>
      <c r="T95" s="38"/>
      <c r="U95" s="38"/>
      <c r="V95" s="38"/>
    </row>
    <row r="96" spans="1:22" s="3" customFormat="1" ht="13.8">
      <c r="A96" s="2"/>
      <c r="B96" s="2"/>
      <c r="C96" s="67">
        <v>4816.01</v>
      </c>
      <c r="D96" s="68" t="s">
        <v>236</v>
      </c>
      <c r="E96" s="72"/>
      <c r="F96" s="72"/>
      <c r="G96" s="70">
        <v>1615823567.9499998</v>
      </c>
      <c r="H96" s="71">
        <v>1615823567.95</v>
      </c>
      <c r="I96" s="71">
        <f>-VLOOKUP(C96,TBFeb23!$A$8:J217,9,0)</f>
        <v>1615823567.95</v>
      </c>
      <c r="J96" s="71">
        <f>-VLOOKUP(C96,TBMar23!$A$8:$K$122,9,0)</f>
        <v>1615823567.95</v>
      </c>
      <c r="K96" s="16"/>
      <c r="L96" s="16"/>
      <c r="M96" s="16"/>
      <c r="N96" s="16"/>
      <c r="O96" s="16"/>
      <c r="P96" s="16"/>
      <c r="Q96" s="16"/>
      <c r="R96" s="16"/>
      <c r="S96" s="16"/>
      <c r="T96" s="38"/>
      <c r="U96" s="38"/>
      <c r="V96" s="38"/>
    </row>
    <row r="97" spans="1:23" s="3" customFormat="1" ht="13.8">
      <c r="A97" s="2"/>
      <c r="B97" s="2"/>
      <c r="C97" s="67">
        <v>4816.0200000000004</v>
      </c>
      <c r="D97" s="68" t="s">
        <v>195</v>
      </c>
      <c r="E97" s="72"/>
      <c r="F97" s="72"/>
      <c r="G97" s="70">
        <v>92178829.299999967</v>
      </c>
      <c r="H97" s="71">
        <v>92178829.299999997</v>
      </c>
      <c r="I97" s="71">
        <f>-VLOOKUP(C97,TBFeb23!$A$8:J218,9,0)</f>
        <v>92178829.299999997</v>
      </c>
      <c r="J97" s="71">
        <f>-VLOOKUP(C97,TBMar23!$A$8:$K$122,9,0)</f>
        <v>92178829.299999997</v>
      </c>
      <c r="K97" s="16"/>
      <c r="L97" s="16"/>
      <c r="M97" s="16"/>
      <c r="N97" s="16"/>
      <c r="O97" s="16"/>
      <c r="P97" s="16"/>
      <c r="Q97" s="16"/>
      <c r="R97" s="16"/>
      <c r="S97" s="16"/>
      <c r="T97" s="38"/>
      <c r="U97" s="38"/>
      <c r="V97" s="38"/>
    </row>
    <row r="98" spans="1:23" s="3" customFormat="1" ht="13.8">
      <c r="A98" s="2"/>
      <c r="B98" s="2"/>
      <c r="C98" s="67">
        <v>4816.03</v>
      </c>
      <c r="D98" s="68" t="s">
        <v>237</v>
      </c>
      <c r="E98" s="72"/>
      <c r="F98" s="72"/>
      <c r="G98" s="70">
        <v>0</v>
      </c>
      <c r="H98" s="71">
        <v>0</v>
      </c>
      <c r="I98" s="71">
        <f>-VLOOKUP(C98,TBFeb23!$A$8:J219,9,0)</f>
        <v>0</v>
      </c>
      <c r="J98" s="71">
        <v>0</v>
      </c>
      <c r="K98" s="16"/>
      <c r="L98" s="16"/>
      <c r="M98" s="16"/>
      <c r="N98" s="16"/>
      <c r="O98" s="16"/>
      <c r="P98" s="16"/>
      <c r="Q98" s="16"/>
      <c r="R98" s="16"/>
      <c r="S98" s="16"/>
      <c r="T98" s="38"/>
      <c r="U98" s="38"/>
      <c r="V98" s="38"/>
    </row>
    <row r="99" spans="1:23" s="3" customFormat="1" ht="13.8">
      <c r="A99" s="2"/>
      <c r="B99" s="2"/>
      <c r="C99" s="68"/>
      <c r="D99" s="80" t="s">
        <v>81</v>
      </c>
      <c r="E99" s="74"/>
      <c r="F99" s="72"/>
      <c r="G99" s="81">
        <f>SUM(G85:G98)</f>
        <v>46829984697.460007</v>
      </c>
      <c r="H99" s="81">
        <f>SUM(H85:H98)</f>
        <v>45401060670.830002</v>
      </c>
      <c r="I99" s="81">
        <f>SUM(I85:I98)</f>
        <v>45297789270.980003</v>
      </c>
      <c r="J99" s="81">
        <f>SUM(J85:J98)</f>
        <v>45349328287.300003</v>
      </c>
      <c r="K99" s="14"/>
      <c r="L99" s="14"/>
      <c r="M99" s="14"/>
      <c r="N99" s="14"/>
      <c r="O99" s="14"/>
      <c r="P99" s="14"/>
      <c r="Q99" s="14"/>
      <c r="R99" s="14"/>
      <c r="S99" s="14"/>
      <c r="T99" s="38"/>
      <c r="U99" s="38" t="e">
        <f>#REF!/$U$7</f>
        <v>#REF!</v>
      </c>
      <c r="V99" s="38"/>
    </row>
    <row r="100" spans="1:23" s="3" customFormat="1" ht="13.8">
      <c r="A100" s="2"/>
      <c r="B100" s="2"/>
      <c r="C100" s="72"/>
      <c r="D100" s="80" t="s">
        <v>82</v>
      </c>
      <c r="E100" s="74"/>
      <c r="F100" s="72"/>
      <c r="G100" s="11">
        <f>G83+G99</f>
        <v>47047011912.460007</v>
      </c>
      <c r="H100" s="11">
        <f>H83+H99</f>
        <v>45605578285.830002</v>
      </c>
      <c r="I100" s="11">
        <f>I83+I99</f>
        <v>45297789270.980003</v>
      </c>
      <c r="J100" s="11">
        <f>J83+J99</f>
        <v>45349328287.300003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38"/>
      <c r="U100" s="53" t="e">
        <f>#REF!/$U$7</f>
        <v>#REF!</v>
      </c>
      <c r="V100" s="38"/>
    </row>
    <row r="101" spans="1:23" s="3" customFormat="1" ht="13.8">
      <c r="A101" s="1" t="s">
        <v>83</v>
      </c>
      <c r="B101" s="1"/>
      <c r="C101" s="73"/>
      <c r="D101" s="72"/>
      <c r="E101" s="74"/>
      <c r="F101" s="72"/>
      <c r="G101" s="70"/>
      <c r="H101" s="71"/>
      <c r="I101" s="71"/>
      <c r="J101" s="71"/>
      <c r="K101" s="4"/>
      <c r="L101" s="4"/>
      <c r="M101" s="4"/>
      <c r="N101" s="4"/>
      <c r="O101" s="4"/>
      <c r="P101" s="4"/>
      <c r="Q101" s="4"/>
      <c r="R101" s="4"/>
      <c r="S101" s="4"/>
      <c r="T101" s="38"/>
      <c r="U101" s="38" t="e">
        <f>#REF!/$U$7</f>
        <v>#REF!</v>
      </c>
      <c r="V101" s="38"/>
    </row>
    <row r="102" spans="1:23" s="3" customFormat="1" ht="13.8">
      <c r="A102" s="1"/>
      <c r="B102" s="1"/>
      <c r="C102" s="73" t="s">
        <v>53</v>
      </c>
      <c r="D102" s="68"/>
      <c r="E102" s="74"/>
      <c r="F102" s="72"/>
      <c r="G102" s="70"/>
      <c r="H102" s="71"/>
      <c r="I102" s="71"/>
      <c r="J102" s="71"/>
      <c r="K102" s="4"/>
      <c r="L102" s="4"/>
      <c r="M102" s="4"/>
      <c r="N102" s="4"/>
      <c r="O102" s="4"/>
      <c r="P102" s="4"/>
      <c r="Q102" s="4"/>
      <c r="R102" s="4"/>
      <c r="S102" s="4"/>
      <c r="T102" s="38"/>
      <c r="U102" s="38" t="e">
        <f>#REF!/$U$7</f>
        <v>#REF!</v>
      </c>
      <c r="V102" s="38"/>
    </row>
    <row r="103" spans="1:23" s="3" customFormat="1" ht="13.8">
      <c r="A103" s="2"/>
      <c r="B103" s="2"/>
      <c r="C103" s="67">
        <v>303</v>
      </c>
      <c r="D103" s="68" t="s">
        <v>17</v>
      </c>
      <c r="E103" s="74"/>
      <c r="F103" s="72"/>
      <c r="G103" s="70">
        <v>2438301000</v>
      </c>
      <c r="H103" s="71">
        <v>2438301000</v>
      </c>
      <c r="I103" s="71">
        <f>-VLOOKUP(C103,TBFeb23!$A$8:J224,9,0)</f>
        <v>2438301000</v>
      </c>
      <c r="J103" s="71">
        <f>-VLOOKUP(C103,TBMar23!$A$8:$K$122,9,0)</f>
        <v>2438301000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38"/>
      <c r="U103" s="38" t="e">
        <f>#REF!/$U$7</f>
        <v>#REF!</v>
      </c>
      <c r="V103" s="38"/>
    </row>
    <row r="104" spans="1:23" s="3" customFormat="1" ht="13.8">
      <c r="A104" s="2"/>
      <c r="B104" s="2"/>
      <c r="C104" s="67">
        <v>304</v>
      </c>
      <c r="D104" s="68" t="s">
        <v>185</v>
      </c>
      <c r="E104" s="76"/>
      <c r="F104" s="72"/>
      <c r="G104" s="70">
        <v>2207179935</v>
      </c>
      <c r="H104" s="71">
        <v>2207179935</v>
      </c>
      <c r="I104" s="71">
        <f>-VLOOKUP(C104,TBFeb23!$A$8:J225,9,0)</f>
        <v>2207179935</v>
      </c>
      <c r="J104" s="71">
        <f>-VLOOKUP(C104,TBMar23!$A$8:$K$122,9,0)</f>
        <v>2207179935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38"/>
      <c r="U104" s="38" t="e">
        <f>#REF!/$U$7</f>
        <v>#REF!</v>
      </c>
      <c r="V104" s="38"/>
    </row>
    <row r="105" spans="1:23" s="3" customFormat="1" ht="13.8">
      <c r="A105" s="2"/>
      <c r="B105" s="2"/>
      <c r="C105" s="72"/>
      <c r="D105" s="73" t="s">
        <v>84</v>
      </c>
      <c r="E105" s="76"/>
      <c r="F105" s="72"/>
      <c r="G105" s="82">
        <f>SUM(G103:G104)</f>
        <v>4645480935</v>
      </c>
      <c r="H105" s="82">
        <f>SUM(H103:H104)</f>
        <v>4645480935</v>
      </c>
      <c r="I105" s="82">
        <f>SUM(I103:I104)</f>
        <v>4645480935</v>
      </c>
      <c r="J105" s="82">
        <f>SUM(J103:J104)</f>
        <v>4645480935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8" t="e">
        <f>#REF!/$U$7</f>
        <v>#REF!</v>
      </c>
      <c r="V105" s="38"/>
    </row>
    <row r="106" spans="1:23" s="3" customFormat="1" ht="13.8">
      <c r="A106" s="238"/>
      <c r="B106" s="239"/>
      <c r="C106" s="83">
        <v>329</v>
      </c>
      <c r="D106" s="72" t="s">
        <v>18</v>
      </c>
      <c r="E106" s="74"/>
      <c r="F106" s="72"/>
      <c r="G106" s="84">
        <v>-19743419058.400002</v>
      </c>
      <c r="H106" s="141">
        <v>-24492453237.240002</v>
      </c>
      <c r="I106" s="71">
        <f>H106</f>
        <v>-24492453237.240002</v>
      </c>
      <c r="J106" s="71">
        <f>I106</f>
        <v>-24492453237.240002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54"/>
      <c r="U106" s="54"/>
      <c r="V106" s="54"/>
      <c r="W106" s="55"/>
    </row>
    <row r="107" spans="1:23" s="3" customFormat="1" ht="13.8">
      <c r="A107" s="128"/>
      <c r="B107" s="15"/>
      <c r="C107" s="67">
        <v>339</v>
      </c>
      <c r="D107" s="72" t="s">
        <v>251</v>
      </c>
      <c r="E107" s="74"/>
      <c r="F107" s="72"/>
      <c r="G107" s="84">
        <v>-4749034178.8400002</v>
      </c>
      <c r="H107" s="141"/>
      <c r="I107" s="78"/>
      <c r="J107" s="78"/>
      <c r="K107" s="16"/>
      <c r="L107" s="16"/>
      <c r="M107" s="16"/>
      <c r="N107" s="16"/>
      <c r="O107" s="16"/>
      <c r="P107" s="16"/>
      <c r="Q107" s="16"/>
      <c r="R107" s="16"/>
      <c r="S107" s="16"/>
      <c r="T107" s="54"/>
      <c r="U107" s="54"/>
      <c r="V107" s="54"/>
      <c r="W107" s="55"/>
    </row>
    <row r="108" spans="1:23" s="3" customFormat="1" ht="13.8">
      <c r="A108" s="2"/>
      <c r="B108" s="2"/>
      <c r="C108" s="67"/>
      <c r="D108" s="72" t="s">
        <v>252</v>
      </c>
      <c r="E108" s="74"/>
      <c r="F108" s="72"/>
      <c r="G108" s="140"/>
      <c r="H108" s="143">
        <v>544373557.72000003</v>
      </c>
      <c r="I108" s="144">
        <f>PL!I136</f>
        <v>187421794.97000003</v>
      </c>
      <c r="J108" s="144">
        <f>PL!J136</f>
        <v>462027867.05000007</v>
      </c>
      <c r="K108" s="145"/>
      <c r="L108" s="145"/>
      <c r="M108" s="145"/>
      <c r="N108" s="145"/>
      <c r="O108" s="145"/>
      <c r="P108" s="145"/>
      <c r="Q108" s="145"/>
      <c r="R108" s="145"/>
      <c r="S108" s="145"/>
      <c r="T108" s="54"/>
      <c r="U108" s="54"/>
      <c r="V108" s="54"/>
      <c r="W108" s="55"/>
    </row>
    <row r="109" spans="1:23" s="3" customFormat="1" ht="14.4" thickBot="1">
      <c r="A109" s="2"/>
      <c r="B109" s="2"/>
      <c r="C109" s="72"/>
      <c r="D109" s="72"/>
      <c r="E109" s="74"/>
      <c r="F109" s="72"/>
      <c r="G109" s="89">
        <f>G100+G105+G106+G107</f>
        <v>27200039610.220005</v>
      </c>
      <c r="H109" s="89">
        <f>H100+H105+H106+H107+H108</f>
        <v>26302979541.310001</v>
      </c>
      <c r="I109" s="89">
        <f>I100+I105+I106+I107+I108</f>
        <v>25638238763.710003</v>
      </c>
      <c r="J109" s="89">
        <f>J100+J105+J106+J107+J108</f>
        <v>25964383852.110001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54"/>
      <c r="U109" s="56"/>
      <c r="V109" s="54"/>
      <c r="W109" s="55"/>
    </row>
    <row r="110" spans="1:23" s="3" customFormat="1" ht="13.8">
      <c r="A110" s="2"/>
      <c r="B110" s="2"/>
      <c r="C110" s="72"/>
      <c r="D110" s="72"/>
      <c r="E110" s="85"/>
      <c r="F110" s="72"/>
      <c r="G110" s="72"/>
      <c r="H110" s="71"/>
      <c r="I110" s="71"/>
      <c r="J110" s="71"/>
      <c r="K110" s="4"/>
      <c r="L110" s="4"/>
      <c r="M110" s="4"/>
      <c r="N110" s="4"/>
      <c r="O110" s="4"/>
      <c r="P110" s="4"/>
      <c r="Q110" s="4"/>
      <c r="R110" s="4"/>
      <c r="S110" s="4"/>
      <c r="T110" s="54"/>
      <c r="U110" s="55"/>
      <c r="V110" s="55"/>
      <c r="W110" s="55"/>
    </row>
    <row r="111" spans="1:23" ht="13.8">
      <c r="C111" s="72"/>
      <c r="D111" s="72"/>
      <c r="E111" s="85"/>
      <c r="F111" s="72"/>
      <c r="G111" s="72"/>
      <c r="H111" s="71"/>
      <c r="I111" s="71"/>
      <c r="J111" s="71"/>
      <c r="K111" s="4"/>
      <c r="T111" s="38"/>
    </row>
    <row r="112" spans="1:23" s="3" customFormat="1" ht="13.8">
      <c r="A112" s="2"/>
      <c r="B112" s="2"/>
      <c r="C112" s="72"/>
      <c r="D112" s="72"/>
      <c r="E112" s="85"/>
      <c r="F112" s="72"/>
      <c r="G112" s="86">
        <f>G109-G69</f>
        <v>0</v>
      </c>
      <c r="H112" s="86">
        <f>H109-H69</f>
        <v>0</v>
      </c>
      <c r="I112" s="86">
        <f>I109-I69</f>
        <v>0</v>
      </c>
      <c r="J112" s="86">
        <f>J109-J69</f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46">
        <f>Q69-Q109</f>
        <v>0</v>
      </c>
      <c r="R112" s="46">
        <f>R69-R109</f>
        <v>0</v>
      </c>
      <c r="S112" s="46">
        <f>S69-S109</f>
        <v>0</v>
      </c>
      <c r="T112" s="38"/>
      <c r="U112" s="46" t="e">
        <f>U69-U109</f>
        <v>#REF!</v>
      </c>
    </row>
    <row r="113" spans="1:19" ht="13.8">
      <c r="C113" s="72"/>
      <c r="D113" s="72"/>
      <c r="E113" s="85"/>
      <c r="F113" s="72"/>
      <c r="G113" s="72"/>
      <c r="H113" s="71"/>
      <c r="I113" s="85"/>
      <c r="J113" s="85"/>
    </row>
    <row r="114" spans="1:19" s="3" customFormat="1" ht="13.8">
      <c r="A114" s="2"/>
      <c r="B114" s="2"/>
      <c r="C114" s="72"/>
      <c r="D114" s="72"/>
      <c r="E114" s="85"/>
      <c r="F114" s="72"/>
      <c r="G114" s="146">
        <f>G106/17220</f>
        <v>-1146540.0150058074</v>
      </c>
      <c r="H114" s="147">
        <f>G106/16762</f>
        <v>-1177867.7400310226</v>
      </c>
      <c r="I114" s="147">
        <f>G106/16786</f>
        <v>-1176183.6684379841</v>
      </c>
      <c r="J114" s="147">
        <f>G106/16851</f>
        <v>-1171646.7306628688</v>
      </c>
      <c r="L114" s="4"/>
      <c r="M114" s="4"/>
      <c r="N114" s="4"/>
      <c r="O114" s="4"/>
      <c r="P114" s="4"/>
      <c r="Q114" s="4"/>
      <c r="R114" s="4"/>
      <c r="S114" s="4"/>
    </row>
    <row r="115" spans="1:19" s="3" customFormat="1" ht="13.8">
      <c r="A115" s="2"/>
      <c r="B115" s="2"/>
      <c r="C115" s="2"/>
      <c r="D115" s="2"/>
      <c r="F115" s="2"/>
      <c r="G115" s="146">
        <f>G107/17220</f>
        <v>-275785.95695934963</v>
      </c>
      <c r="H115" s="147">
        <f>G107/16762</f>
        <v>-283321.45202481805</v>
      </c>
      <c r="I115" s="147">
        <f>G107/16786</f>
        <v>-282916.36952460383</v>
      </c>
      <c r="J115" s="147">
        <f>G107/16851</f>
        <v>-281825.06550590473</v>
      </c>
      <c r="L115" s="4"/>
      <c r="M115" s="4"/>
      <c r="N115" s="4"/>
      <c r="O115" s="4"/>
      <c r="P115" s="4"/>
      <c r="Q115" s="4"/>
      <c r="R115" s="4"/>
      <c r="S115" s="4"/>
    </row>
    <row r="116" spans="1:19" s="3" customFormat="1">
      <c r="A116" s="2"/>
      <c r="B116" s="2"/>
      <c r="C116" s="2"/>
      <c r="D116" s="2"/>
      <c r="F116" s="2"/>
      <c r="G116" s="148">
        <f>SUM(G114:G115)</f>
        <v>-1422325.971965157</v>
      </c>
      <c r="H116" s="149">
        <f>SUM(H114:H115)</f>
        <v>-1461189.1920558405</v>
      </c>
      <c r="I116" s="149">
        <f>SUM(I114:I115)</f>
        <v>-1459100.037962588</v>
      </c>
      <c r="J116" s="149">
        <f>SUM(J114:J115)</f>
        <v>-1453471.7961687734</v>
      </c>
      <c r="L116" s="4"/>
      <c r="M116" s="4"/>
      <c r="N116" s="4"/>
      <c r="O116" s="4"/>
      <c r="P116" s="4"/>
      <c r="Q116" s="4"/>
      <c r="R116" s="4"/>
      <c r="S116" s="4"/>
    </row>
    <row r="117" spans="1:19" s="3" customFormat="1">
      <c r="A117" s="2"/>
      <c r="B117" s="2"/>
      <c r="C117" s="2"/>
      <c r="D117" s="2"/>
      <c r="F117" s="2"/>
      <c r="G117" s="176"/>
      <c r="H117" s="55"/>
      <c r="L117" s="4"/>
      <c r="M117" s="4"/>
      <c r="N117" s="4"/>
      <c r="O117" s="4"/>
      <c r="P117" s="4"/>
      <c r="Q117" s="4"/>
      <c r="R117" s="4"/>
      <c r="S117" s="4"/>
    </row>
    <row r="118" spans="1:19" s="3" customFormat="1">
      <c r="A118" s="2"/>
      <c r="B118" s="2"/>
      <c r="C118" s="2"/>
      <c r="D118" s="2"/>
      <c r="F118" s="2"/>
      <c r="G118" s="177"/>
      <c r="H118" s="55"/>
      <c r="L118" s="4"/>
      <c r="M118" s="4"/>
      <c r="N118" s="4"/>
      <c r="O118" s="4"/>
      <c r="P118" s="4"/>
      <c r="Q118" s="4"/>
      <c r="R118" s="4"/>
      <c r="S118" s="4"/>
    </row>
  </sheetData>
  <mergeCells count="7">
    <mergeCell ref="A106:B106"/>
    <mergeCell ref="E84:F84"/>
    <mergeCell ref="E74:F74"/>
    <mergeCell ref="E76:F76"/>
    <mergeCell ref="E78:F78"/>
    <mergeCell ref="E80:F80"/>
    <mergeCell ref="E82:F82"/>
  </mergeCells>
  <pageMargins left="1.1811023622047244E-2" right="1.1811023622047244E-2" top="0.11811023622047245" bottom="0.11811023622047245" header="0.11811023622047245" footer="0.11811023622047245"/>
  <pageSetup paperSize="9" scale="6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B291-7ED9-4B50-BFAA-74142B20B4D1}">
  <dimension ref="A1:IQ119"/>
  <sheetViews>
    <sheetView topLeftCell="B1" zoomScaleNormal="100" workbookViewId="0">
      <pane xSplit="6" ySplit="7" topLeftCell="H88" activePane="bottomRight" state="frozen"/>
      <selection activeCell="B1" sqref="B1"/>
      <selection pane="topRight" activeCell="H1" sqref="H1"/>
      <selection pane="bottomLeft" activeCell="B8" sqref="B8"/>
      <selection pane="bottomRight" activeCell="H113" sqref="H113"/>
    </sheetView>
  </sheetViews>
  <sheetFormatPr defaultColWidth="8.6640625" defaultRowHeight="13.2"/>
  <cols>
    <col min="1" max="1" width="3.6640625" style="2" customWidth="1"/>
    <col min="2" max="2" width="5.109375" style="2" customWidth="1"/>
    <col min="3" max="3" width="8.109375" style="2" customWidth="1"/>
    <col min="4" max="4" width="40.109375" style="2" customWidth="1"/>
    <col min="5" max="5" width="1.6640625" style="3" customWidth="1"/>
    <col min="6" max="6" width="1.88671875" style="2" customWidth="1"/>
    <col min="7" max="7" width="19.33203125" style="2" customWidth="1"/>
    <col min="8" max="8" width="20.6640625" style="4" customWidth="1"/>
    <col min="9" max="10" width="17.44140625" style="3" customWidth="1"/>
    <col min="11" max="11" width="17.44140625" style="3" hidden="1" customWidth="1"/>
    <col min="12" max="13" width="17.44140625" style="4" hidden="1" customWidth="1"/>
    <col min="14" max="18" width="18.33203125" style="4" hidden="1" customWidth="1"/>
    <col min="19" max="19" width="18.33203125" style="4" customWidth="1"/>
    <col min="20" max="20" width="17.6640625" style="2" bestFit="1" customWidth="1"/>
    <col min="21" max="21" width="23.6640625" style="2" hidden="1" customWidth="1"/>
    <col min="22" max="16384" width="8.6640625" style="2"/>
  </cols>
  <sheetData>
    <row r="1" spans="1:22">
      <c r="A1" s="1" t="s">
        <v>239</v>
      </c>
      <c r="B1" s="1"/>
    </row>
    <row r="2" spans="1:22" ht="15">
      <c r="A2" s="5" t="s">
        <v>54</v>
      </c>
      <c r="B2" s="6"/>
      <c r="C2" s="5"/>
      <c r="D2" s="5"/>
      <c r="E2" s="7"/>
      <c r="F2" s="8"/>
    </row>
    <row r="3" spans="1:22" ht="15">
      <c r="A3" s="5" t="s">
        <v>303</v>
      </c>
      <c r="B3" s="6"/>
      <c r="C3" s="5"/>
      <c r="D3" s="5"/>
      <c r="E3" s="7"/>
      <c r="F3" s="8"/>
    </row>
    <row r="4" spans="1:22" ht="15">
      <c r="A4" s="5" t="s">
        <v>304</v>
      </c>
      <c r="B4" s="6"/>
      <c r="C4" s="5"/>
      <c r="D4" s="5"/>
      <c r="E4" s="7"/>
      <c r="F4" s="8"/>
    </row>
    <row r="5" spans="1:22">
      <c r="G5" s="173">
        <v>17220</v>
      </c>
      <c r="H5" s="172">
        <v>16762</v>
      </c>
      <c r="I5" s="218">
        <v>16786</v>
      </c>
      <c r="J5" s="218">
        <v>16851</v>
      </c>
    </row>
    <row r="6" spans="1:22" ht="17.7" customHeight="1">
      <c r="A6" s="1" t="s">
        <v>55</v>
      </c>
      <c r="B6" s="1"/>
      <c r="C6" s="1"/>
    </row>
    <row r="7" spans="1:22" ht="17.7" customHeight="1">
      <c r="A7" s="1"/>
      <c r="B7" s="1" t="s">
        <v>56</v>
      </c>
      <c r="C7" s="1"/>
      <c r="E7" s="9"/>
      <c r="G7" s="10">
        <v>44896</v>
      </c>
      <c r="H7" s="10">
        <v>44927</v>
      </c>
      <c r="I7" s="10">
        <v>44958</v>
      </c>
      <c r="J7" s="10">
        <v>44986</v>
      </c>
      <c r="K7" s="10">
        <v>45017</v>
      </c>
      <c r="L7" s="10">
        <v>45047</v>
      </c>
      <c r="M7" s="10">
        <v>45078</v>
      </c>
      <c r="N7" s="10">
        <v>45108</v>
      </c>
      <c r="O7" s="10">
        <v>45139</v>
      </c>
      <c r="P7" s="10">
        <v>45170</v>
      </c>
      <c r="Q7" s="10">
        <v>45200</v>
      </c>
      <c r="R7" s="10">
        <v>45231</v>
      </c>
      <c r="S7" s="10">
        <v>45261</v>
      </c>
      <c r="U7" s="2">
        <v>17220</v>
      </c>
    </row>
    <row r="8" spans="1:22" ht="17.7" customHeight="1">
      <c r="A8" s="1"/>
      <c r="B8" s="1"/>
      <c r="C8" s="1" t="s">
        <v>57</v>
      </c>
      <c r="E8" s="9"/>
    </row>
    <row r="9" spans="1:22" ht="15.45" customHeight="1">
      <c r="C9" s="150" t="s">
        <v>138</v>
      </c>
      <c r="D9" s="151" t="s">
        <v>139</v>
      </c>
      <c r="E9" s="69"/>
      <c r="F9" s="68"/>
      <c r="G9" s="70">
        <f>BS!G9/'BS USD'!$G$5</f>
        <v>137.56881533101046</v>
      </c>
      <c r="H9" s="71">
        <v>759.6770671757547</v>
      </c>
      <c r="I9" s="71">
        <f>BS!I9/'BS USD'!$I$5</f>
        <v>24.705528416537589</v>
      </c>
      <c r="J9" s="71">
        <f>BS!J9/'BS USD'!$J$5</f>
        <v>699.89953118509288</v>
      </c>
      <c r="K9" s="4"/>
      <c r="T9" s="38"/>
      <c r="U9" s="38" t="e">
        <f>#REF!/$U$7</f>
        <v>#REF!</v>
      </c>
      <c r="V9" s="38"/>
    </row>
    <row r="10" spans="1:22" ht="15.45" customHeight="1">
      <c r="C10" s="150">
        <v>1012.01</v>
      </c>
      <c r="D10" s="151" t="s">
        <v>220</v>
      </c>
      <c r="E10" s="69"/>
      <c r="F10" s="68"/>
      <c r="G10" s="70">
        <f>BS!G10/'BS USD'!$G$5</f>
        <v>-1.730680742607161E-12</v>
      </c>
      <c r="H10" s="71">
        <v>0</v>
      </c>
      <c r="I10" s="71">
        <f>BS!I10/'BS USD'!$I$5</f>
        <v>0</v>
      </c>
      <c r="J10" s="71">
        <f>BS!J10/'BS USD'!$J$5</f>
        <v>0</v>
      </c>
      <c r="K10" s="4"/>
      <c r="T10" s="38"/>
      <c r="U10" s="38" t="e">
        <f>#REF!/$U$7</f>
        <v>#REF!</v>
      </c>
      <c r="V10" s="38"/>
    </row>
    <row r="11" spans="1:22" ht="15.45" customHeight="1">
      <c r="C11" s="150" t="s">
        <v>140</v>
      </c>
      <c r="D11" s="151" t="s">
        <v>118</v>
      </c>
      <c r="E11" s="69"/>
      <c r="F11" s="68"/>
      <c r="G11" s="70">
        <f>BS!G11/'BS USD'!$G$5</f>
        <v>100.69686411149826</v>
      </c>
      <c r="H11" s="71">
        <v>103.44827586206897</v>
      </c>
      <c r="I11" s="71">
        <f>BS!I11/'BS USD'!$I$5</f>
        <v>102.95400929345884</v>
      </c>
      <c r="J11" s="71">
        <f>BS!J11/'BS USD'!$J$5</f>
        <v>102.55688089727613</v>
      </c>
      <c r="K11" s="4"/>
      <c r="T11" s="38"/>
      <c r="U11" s="38" t="e">
        <f>#REF!/$U$7</f>
        <v>#REF!</v>
      </c>
      <c r="V11" s="38"/>
    </row>
    <row r="12" spans="1:22" ht="15.45" customHeight="1">
      <c r="C12" s="150" t="s">
        <v>1</v>
      </c>
      <c r="D12" s="151" t="s">
        <v>141</v>
      </c>
      <c r="E12" s="69"/>
      <c r="F12" s="68"/>
      <c r="G12" s="70">
        <f>BS!G12/'BS USD'!$G$5</f>
        <v>4867.6106852497096</v>
      </c>
      <c r="H12" s="71">
        <v>782.29435628206659</v>
      </c>
      <c r="I12" s="71">
        <f>BS!I12/'BS USD'!$I$5</f>
        <v>1355.2820207315619</v>
      </c>
      <c r="J12" s="71">
        <f>BS!J12/'BS USD'!$J$5</f>
        <v>1080.9694380155481</v>
      </c>
      <c r="K12" s="4"/>
      <c r="T12" s="38"/>
      <c r="U12" s="38" t="e">
        <f>#REF!/$U$7</f>
        <v>#REF!</v>
      </c>
      <c r="V12" s="38"/>
    </row>
    <row r="13" spans="1:22" ht="15.45" customHeight="1">
      <c r="C13" s="150" t="s">
        <v>142</v>
      </c>
      <c r="D13" s="151" t="s">
        <v>143</v>
      </c>
      <c r="E13" s="69"/>
      <c r="F13" s="68"/>
      <c r="G13" s="70">
        <f>BS!G13/'BS USD'!$G$5</f>
        <v>51.136353077816494</v>
      </c>
      <c r="H13" s="71">
        <v>52.354611621524874</v>
      </c>
      <c r="I13" s="71">
        <f>BS!I13/'BS USD'!$I$5</f>
        <v>52.279756940307401</v>
      </c>
      <c r="J13" s="71">
        <f>BS!J13/'BS USD'!$J$5</f>
        <v>51.722034300634974</v>
      </c>
      <c r="K13" s="4"/>
      <c r="T13" s="38"/>
      <c r="U13" s="38"/>
      <c r="V13" s="38"/>
    </row>
    <row r="14" spans="1:22" ht="15.45" customHeight="1">
      <c r="C14" s="150" t="s">
        <v>144</v>
      </c>
      <c r="D14" s="151" t="s">
        <v>145</v>
      </c>
      <c r="E14" s="69"/>
      <c r="F14" s="68"/>
      <c r="G14" s="70">
        <f>BS!G14/'BS USD'!$G$5</f>
        <v>16.782810685249711</v>
      </c>
      <c r="H14" s="71">
        <v>17.241379310344829</v>
      </c>
      <c r="I14" s="71">
        <f>BS!I14/'BS USD'!$I$5</f>
        <v>17.216728225902539</v>
      </c>
      <c r="J14" s="71">
        <f>BS!J14/'BS USD'!$J$5</f>
        <v>17.150317488576345</v>
      </c>
      <c r="K14" s="4"/>
      <c r="T14" s="38"/>
      <c r="U14" s="38"/>
      <c r="V14" s="38"/>
    </row>
    <row r="15" spans="1:22" ht="15.45" customHeight="1">
      <c r="C15" s="150" t="s">
        <v>146</v>
      </c>
      <c r="D15" s="151" t="s">
        <v>147</v>
      </c>
      <c r="E15" s="69"/>
      <c r="F15" s="68"/>
      <c r="G15" s="70">
        <f>BS!G15/'BS USD'!$G$5</f>
        <v>34.843205574912893</v>
      </c>
      <c r="H15" s="71">
        <v>29.82937596945472</v>
      </c>
      <c r="I15" s="71">
        <f>BS!I15/'BS USD'!$I$5</f>
        <v>29.786727034433458</v>
      </c>
      <c r="J15" s="71">
        <f>BS!J15/'BS USD'!$J$5</f>
        <v>27.298083199810101</v>
      </c>
      <c r="K15" s="4"/>
      <c r="T15" s="38"/>
      <c r="U15" s="38"/>
      <c r="V15" s="38"/>
    </row>
    <row r="16" spans="1:22" ht="15.45" customHeight="1">
      <c r="C16" s="150" t="s">
        <v>148</v>
      </c>
      <c r="D16" s="151" t="s">
        <v>149</v>
      </c>
      <c r="E16" s="69"/>
      <c r="F16" s="68"/>
      <c r="G16" s="70">
        <f>BS!G16/'BS USD'!$G$5</f>
        <v>5046.4578606271907</v>
      </c>
      <c r="H16" s="71">
        <v>3648.6526369168323</v>
      </c>
      <c r="I16" s="71">
        <f>BS!I16/'BS USD'!$I$5</f>
        <v>3571.5194209460228</v>
      </c>
      <c r="J16" s="71">
        <f>BS!J16/'BS USD'!$J$5</f>
        <v>5544.7752074060882</v>
      </c>
      <c r="K16" s="4"/>
      <c r="T16" s="38"/>
      <c r="U16" s="38"/>
      <c r="V16" s="38"/>
    </row>
    <row r="17" spans="3:22" ht="15.45" customHeight="1">
      <c r="C17" s="150" t="s">
        <v>150</v>
      </c>
      <c r="D17" s="151" t="s">
        <v>151</v>
      </c>
      <c r="E17" s="69"/>
      <c r="F17" s="68"/>
      <c r="G17" s="70">
        <f>BS!G17/'BS USD'!$G$5</f>
        <v>29490.290940766521</v>
      </c>
      <c r="H17" s="71">
        <v>47029.430676530254</v>
      </c>
      <c r="I17" s="71">
        <f>BS!I17/'BS USD'!$I$5</f>
        <v>29929.90135112594</v>
      </c>
      <c r="J17" s="71">
        <f>BS!J17/'BS USD'!$J$5</f>
        <v>53851.943475164648</v>
      </c>
      <c r="K17" s="4"/>
      <c r="T17" s="38"/>
      <c r="U17" s="38"/>
      <c r="V17" s="38"/>
    </row>
    <row r="18" spans="3:22" ht="15.45" customHeight="1">
      <c r="C18" s="150" t="s">
        <v>152</v>
      </c>
      <c r="D18" s="151" t="s">
        <v>153</v>
      </c>
      <c r="E18" s="69"/>
      <c r="F18" s="68"/>
      <c r="G18" s="70">
        <f>BS!G18/'BS USD'!$G$5</f>
        <v>290.02303948896633</v>
      </c>
      <c r="H18" s="71">
        <v>307.05</v>
      </c>
      <c r="I18" s="71">
        <f>BS!I18/'BS USD'!$I$5</f>
        <v>306.61099130227575</v>
      </c>
      <c r="J18" s="71">
        <f>BS!J18/'BS USD'!$J$5</f>
        <v>298.96805590172693</v>
      </c>
      <c r="K18" s="4"/>
      <c r="T18" s="38"/>
      <c r="U18" s="38" t="e">
        <f>#REF!/$U$7</f>
        <v>#REF!</v>
      </c>
      <c r="V18" s="38"/>
    </row>
    <row r="19" spans="3:22" ht="15.45" customHeight="1">
      <c r="C19" s="150" t="s">
        <v>154</v>
      </c>
      <c r="D19" s="151" t="s">
        <v>155</v>
      </c>
      <c r="E19" s="69"/>
      <c r="F19" s="68"/>
      <c r="G19" s="70">
        <f>BS!G19/'BS USD'!$G$5</f>
        <v>6523.9425087108011</v>
      </c>
      <c r="H19" s="71">
        <v>6672.9158507338025</v>
      </c>
      <c r="I19" s="71">
        <f>BS!I19/'BS USD'!$I$5</f>
        <v>6663.3751632312642</v>
      </c>
      <c r="J19" s="71">
        <f>BS!J19/'BS USD'!$J$5</f>
        <v>6645.6855082784405</v>
      </c>
      <c r="K19" s="4"/>
      <c r="T19" s="38"/>
      <c r="U19" s="38" t="e">
        <f>#REF!/$U$7</f>
        <v>#REF!</v>
      </c>
      <c r="V19" s="38"/>
    </row>
    <row r="20" spans="3:22" ht="15.45" customHeight="1">
      <c r="C20" s="150" t="s">
        <v>156</v>
      </c>
      <c r="D20" s="151" t="s">
        <v>119</v>
      </c>
      <c r="E20" s="69"/>
      <c r="F20" s="68"/>
      <c r="G20" s="70">
        <f>BS!G20/'BS USD'!$G$5</f>
        <v>1516.6231997677119</v>
      </c>
      <c r="H20" s="71">
        <v>1558.0629698126716</v>
      </c>
      <c r="I20" s="71">
        <f>BS!I20/'BS USD'!$I$5</f>
        <v>1555.8353091862266</v>
      </c>
      <c r="J20" s="71">
        <f>BS!J20/'BS USD'!$J$5</f>
        <v>1549.8339267699246</v>
      </c>
      <c r="K20" s="4"/>
      <c r="T20" s="38"/>
      <c r="U20" s="38" t="e">
        <f>#REF!/$U$7</f>
        <v>#REF!</v>
      </c>
      <c r="V20" s="38"/>
    </row>
    <row r="21" spans="3:22" ht="15.45" customHeight="1">
      <c r="C21" s="150" t="s">
        <v>157</v>
      </c>
      <c r="D21" s="151" t="s">
        <v>120</v>
      </c>
      <c r="E21" s="69"/>
      <c r="F21" s="68"/>
      <c r="G21" s="70">
        <f>BS!G21/'BS USD'!$G$5</f>
        <v>372.938443670151</v>
      </c>
      <c r="H21" s="71">
        <v>383.36713995943205</v>
      </c>
      <c r="I21" s="71">
        <f>BS!I21/'BS USD'!$I$5</f>
        <v>382.81901584653878</v>
      </c>
      <c r="J21" s="71">
        <f>BS!J21/'BS USD'!$J$5</f>
        <v>374.61278262417659</v>
      </c>
      <c r="K21" s="4"/>
      <c r="T21" s="38"/>
      <c r="U21" s="38" t="e">
        <f>#REF!/$U$7</f>
        <v>#REF!</v>
      </c>
      <c r="V21" s="38"/>
    </row>
    <row r="22" spans="3:22" ht="15.45" customHeight="1">
      <c r="C22" s="150" t="s">
        <v>158</v>
      </c>
      <c r="D22" s="151" t="s">
        <v>159</v>
      </c>
      <c r="E22" s="69"/>
      <c r="F22" s="68"/>
      <c r="G22" s="70">
        <f>BS!G22/'BS USD'!$G$5</f>
        <v>77.30952380952381</v>
      </c>
      <c r="H22" s="71">
        <v>79.08085968261544</v>
      </c>
      <c r="I22" s="71">
        <f>BS!I22/'BS USD'!$I$5</f>
        <v>78.967792803526748</v>
      </c>
      <c r="J22" s="71">
        <f>BS!J22/'BS USD'!$J$5</f>
        <v>78.770072992700733</v>
      </c>
      <c r="K22" s="4"/>
      <c r="T22" s="38"/>
      <c r="U22" s="38" t="e">
        <f>#REF!/$U$7</f>
        <v>#REF!</v>
      </c>
      <c r="V22" s="38"/>
    </row>
    <row r="23" spans="3:22" ht="15.45" customHeight="1">
      <c r="C23" s="150" t="s">
        <v>160</v>
      </c>
      <c r="D23" s="151" t="s">
        <v>161</v>
      </c>
      <c r="E23" s="69"/>
      <c r="F23" s="68"/>
      <c r="G23" s="70">
        <f>BS!G23/'BS USD'!$G$5</f>
        <v>31.719512195121951</v>
      </c>
      <c r="H23" s="71">
        <v>32.446277890466533</v>
      </c>
      <c r="I23" s="71">
        <f>BS!I23/'BS USD'!$I$5</f>
        <v>32.399887406171807</v>
      </c>
      <c r="J23" s="71">
        <f>BS!J23/'BS USD'!$J$5</f>
        <v>32.274910094356422</v>
      </c>
      <c r="K23" s="4"/>
      <c r="T23" s="38"/>
      <c r="U23" s="38" t="e">
        <f>#REF!/$U$7</f>
        <v>#REF!</v>
      </c>
      <c r="V23" s="38"/>
    </row>
    <row r="24" spans="3:22" ht="15.45" customHeight="1">
      <c r="C24" s="150" t="s">
        <v>162</v>
      </c>
      <c r="D24" s="151" t="s">
        <v>163</v>
      </c>
      <c r="E24" s="69"/>
      <c r="F24" s="68"/>
      <c r="G24" s="70">
        <f>BS!G24/'BS USD'!$G$5</f>
        <v>1329.8205574912893</v>
      </c>
      <c r="H24" s="71">
        <v>1410.4041600047728</v>
      </c>
      <c r="I24" s="71">
        <f>BS!I24/'BS USD'!$I$5</f>
        <v>1408.3876164661028</v>
      </c>
      <c r="J24" s="71">
        <f>BS!J24/'BS USD'!$J$5</f>
        <v>1402.9549896148596</v>
      </c>
      <c r="K24" s="4"/>
      <c r="T24" s="38"/>
      <c r="U24" s="38" t="e">
        <f>#REF!/$U$7</f>
        <v>#REF!</v>
      </c>
      <c r="V24" s="38"/>
    </row>
    <row r="25" spans="3:22" ht="13.8">
      <c r="C25" s="72"/>
      <c r="D25" s="73" t="s">
        <v>58</v>
      </c>
      <c r="E25" s="74"/>
      <c r="F25" s="72"/>
      <c r="G25" s="75">
        <f>SUM(G9:G24)</f>
        <v>49887.764320557471</v>
      </c>
      <c r="H25" s="75">
        <f>SUM(H9:H24)</f>
        <v>62866.25563775206</v>
      </c>
      <c r="I25" s="75">
        <f>SUM(I9:I24)</f>
        <v>45512.041318956268</v>
      </c>
      <c r="J25" s="75">
        <f>SUM(J9:J24)</f>
        <v>71759.415213933855</v>
      </c>
      <c r="K25" s="11"/>
      <c r="L25" s="11"/>
      <c r="M25" s="11"/>
      <c r="N25" s="11"/>
      <c r="O25" s="11"/>
      <c r="P25" s="11"/>
      <c r="Q25" s="11"/>
      <c r="R25" s="11"/>
      <c r="S25" s="11"/>
      <c r="T25" s="38"/>
      <c r="U25" s="53" t="e">
        <f>#REF!/$U$7</f>
        <v>#REF!</v>
      </c>
      <c r="V25" s="38"/>
    </row>
    <row r="26" spans="3:22" ht="13.8">
      <c r="C26" s="73" t="s">
        <v>59</v>
      </c>
      <c r="D26" s="72"/>
      <c r="E26" s="74"/>
      <c r="F26" s="72"/>
      <c r="G26" s="70"/>
      <c r="H26" s="71"/>
      <c r="I26" s="71"/>
      <c r="J26" s="71"/>
      <c r="K26" s="4"/>
      <c r="T26" s="38"/>
      <c r="V26" s="38"/>
    </row>
    <row r="27" spans="3:22" ht="13.8">
      <c r="C27" s="67">
        <v>1211</v>
      </c>
      <c r="D27" s="68" t="s">
        <v>221</v>
      </c>
      <c r="E27" s="74"/>
      <c r="F27" s="72"/>
      <c r="G27" s="70">
        <f>BS!G27/'BS USD'!$G$5</f>
        <v>6497.1330685250086</v>
      </c>
      <c r="H27" s="71">
        <v>6675.4654241737298</v>
      </c>
      <c r="I27" s="71">
        <f>BS!I27/'BS USD'!$I$5</f>
        <v>9235.9198999166001</v>
      </c>
      <c r="J27" s="71">
        <f>BS!J27/'BS USD'!$J$5</f>
        <v>12281.562714378973</v>
      </c>
      <c r="K27" s="4"/>
      <c r="T27" s="38"/>
      <c r="U27" s="38" t="e">
        <f>#REF!/$U$7</f>
        <v>#REF!</v>
      </c>
      <c r="V27" s="38"/>
    </row>
    <row r="28" spans="3:22" ht="13.8">
      <c r="C28" s="67" t="s">
        <v>285</v>
      </c>
      <c r="D28" s="68" t="s">
        <v>286</v>
      </c>
      <c r="E28" s="74"/>
      <c r="F28" s="72"/>
      <c r="G28" s="70"/>
      <c r="H28" s="71"/>
      <c r="I28" s="71">
        <f>BS!I28/'BS USD'!$I$5</f>
        <v>2682.1437191707373</v>
      </c>
      <c r="J28" s="71">
        <f>BS!J28/'BS USD'!$J$5</f>
        <v>2671.7977847012048</v>
      </c>
      <c r="K28" s="4"/>
      <c r="T28" s="38"/>
      <c r="U28" s="38"/>
      <c r="V28" s="38"/>
    </row>
    <row r="29" spans="3:22" ht="27.6">
      <c r="C29" s="67">
        <v>126</v>
      </c>
      <c r="D29" s="68" t="s">
        <v>222</v>
      </c>
      <c r="E29" s="74"/>
      <c r="F29" s="72"/>
      <c r="G29" s="187">
        <v>0</v>
      </c>
      <c r="H29" s="71">
        <v>0</v>
      </c>
      <c r="I29" s="71">
        <f>BS!I29/'BS USD'!$I$5</f>
        <v>0</v>
      </c>
      <c r="J29" s="71">
        <f>BS!J29/'BS USD'!$J$5</f>
        <v>0</v>
      </c>
      <c r="K29" s="4"/>
      <c r="T29" s="38"/>
      <c r="U29" s="38" t="e">
        <f>#REF!/$U$7</f>
        <v>#REF!</v>
      </c>
      <c r="V29" s="38"/>
    </row>
    <row r="30" spans="3:22" ht="13.8">
      <c r="C30" s="72"/>
      <c r="D30" s="73" t="s">
        <v>60</v>
      </c>
      <c r="E30" s="74"/>
      <c r="F30" s="72"/>
      <c r="G30" s="75">
        <f>SUM(G27:G29)</f>
        <v>6497.1330685250086</v>
      </c>
      <c r="H30" s="75">
        <f>SUM(H27:H29)</f>
        <v>6675.4654241737298</v>
      </c>
      <c r="I30" s="75">
        <f>SUM(I27:I29)</f>
        <v>11918.063619087337</v>
      </c>
      <c r="J30" s="75">
        <f>SUM(J27:J29)</f>
        <v>14953.360499080178</v>
      </c>
      <c r="K30" s="11"/>
      <c r="L30" s="11"/>
      <c r="M30" s="11"/>
      <c r="N30" s="11"/>
      <c r="O30" s="11"/>
      <c r="P30" s="11"/>
      <c r="Q30" s="11"/>
      <c r="R30" s="11"/>
      <c r="S30" s="11"/>
      <c r="T30" s="38"/>
      <c r="U30" s="53" t="e">
        <f>#REF!/$U$7</f>
        <v>#REF!</v>
      </c>
      <c r="V30" s="38"/>
    </row>
    <row r="31" spans="3:22" ht="13.8">
      <c r="C31" s="73" t="s">
        <v>61</v>
      </c>
      <c r="D31" s="72"/>
      <c r="E31" s="74"/>
      <c r="F31" s="72"/>
      <c r="G31" s="70"/>
      <c r="H31" s="71"/>
      <c r="I31" s="71"/>
      <c r="J31" s="71"/>
      <c r="K31" s="4"/>
      <c r="T31" s="38"/>
      <c r="U31" s="38" t="e">
        <f>#REF!/$U$7</f>
        <v>#REF!</v>
      </c>
      <c r="V31" s="38"/>
    </row>
    <row r="32" spans="3:22" ht="13.8">
      <c r="C32" s="67">
        <v>1311</v>
      </c>
      <c r="D32" s="68" t="s">
        <v>223</v>
      </c>
      <c r="E32" s="74"/>
      <c r="F32" s="72"/>
      <c r="G32" s="70">
        <f>BS!G32/'BS USD'!$G$5</f>
        <v>0</v>
      </c>
      <c r="H32" s="71">
        <v>0</v>
      </c>
      <c r="I32" s="71"/>
      <c r="J32" s="71"/>
      <c r="K32" s="4"/>
      <c r="T32" s="38"/>
      <c r="U32" s="38" t="e">
        <f>#REF!/$U$7</f>
        <v>#REF!</v>
      </c>
      <c r="V32" s="38"/>
    </row>
    <row r="33" spans="3:22" ht="13.8">
      <c r="C33" s="67">
        <v>1311.02</v>
      </c>
      <c r="D33" s="68" t="s">
        <v>3</v>
      </c>
      <c r="E33" s="74"/>
      <c r="F33" s="72"/>
      <c r="G33" s="70">
        <f>BS!G33/'BS USD'!$G$5</f>
        <v>988.76631823461094</v>
      </c>
      <c r="H33" s="71">
        <v>1084.3678654098555</v>
      </c>
      <c r="I33" s="71">
        <f>BS!I33/'BS USD'!$I$5</f>
        <v>1050.7414386989158</v>
      </c>
      <c r="J33" s="71">
        <f>BS!J33/'BS USD'!$J$5</f>
        <v>1160.1720538840425</v>
      </c>
      <c r="K33" s="4"/>
      <c r="T33" s="38"/>
      <c r="U33" s="38" t="e">
        <f>#REF!/$U$7</f>
        <v>#REF!</v>
      </c>
      <c r="V33" s="38"/>
    </row>
    <row r="34" spans="3:22" ht="13.8">
      <c r="C34" s="67">
        <v>1311.03</v>
      </c>
      <c r="D34" s="68" t="s">
        <v>4</v>
      </c>
      <c r="E34" s="74"/>
      <c r="F34" s="72"/>
      <c r="G34" s="70">
        <f>BS!G34/'BS USD'!$G$5</f>
        <v>2136.4595818815333</v>
      </c>
      <c r="H34" s="71">
        <v>489.37454897983542</v>
      </c>
      <c r="I34" s="71">
        <f>BS!I34/'BS USD'!$I$5</f>
        <v>174.3261324913619</v>
      </c>
      <c r="J34" s="71">
        <f>BS!J34/'BS USD'!$J$5</f>
        <v>1383.0838454691122</v>
      </c>
      <c r="K34" s="4"/>
      <c r="T34" s="38"/>
      <c r="U34" s="38" t="e">
        <f>#REF!/$U$7</f>
        <v>#REF!</v>
      </c>
      <c r="V34" s="38"/>
    </row>
    <row r="35" spans="3:22" ht="13.8">
      <c r="C35" s="67">
        <v>1311.04</v>
      </c>
      <c r="D35" s="68" t="s">
        <v>5</v>
      </c>
      <c r="E35" s="74"/>
      <c r="F35" s="72"/>
      <c r="G35" s="70">
        <f>BS!G35/'BS USD'!$G$5</f>
        <v>1481.5243321718931</v>
      </c>
      <c r="H35" s="71">
        <v>1482.255080539315</v>
      </c>
      <c r="I35" s="71">
        <f>BS!I35/'BS USD'!$I$5</f>
        <v>1375.3534034314309</v>
      </c>
      <c r="J35" s="71">
        <f>BS!J35/'BS USD'!$J$5</f>
        <v>1049.3577965699367</v>
      </c>
      <c r="K35" s="4"/>
      <c r="T35" s="38"/>
      <c r="U35" s="38"/>
      <c r="V35" s="38"/>
    </row>
    <row r="36" spans="3:22" ht="13.8">
      <c r="C36" s="67">
        <v>1311.05</v>
      </c>
      <c r="D36" s="68" t="s">
        <v>6</v>
      </c>
      <c r="E36" s="74"/>
      <c r="F36" s="72"/>
      <c r="G36" s="70">
        <f>BS!G36/'BS USD'!$G$5</f>
        <v>601.24099883855979</v>
      </c>
      <c r="H36" s="71">
        <v>489.76745674740488</v>
      </c>
      <c r="I36" s="71">
        <f>BS!I36/'BS USD'!$I$5</f>
        <v>489.06720540926966</v>
      </c>
      <c r="J36" s="71">
        <f>BS!J36/'BS USD'!$J$5</f>
        <v>487.18070796985342</v>
      </c>
      <c r="K36" s="4"/>
      <c r="T36" s="38"/>
      <c r="U36" s="38"/>
      <c r="V36" s="38"/>
    </row>
    <row r="37" spans="3:22" ht="13.8">
      <c r="C37" s="67">
        <v>1311.06</v>
      </c>
      <c r="D37" s="68" t="s">
        <v>7</v>
      </c>
      <c r="E37" s="74"/>
      <c r="F37" s="72"/>
      <c r="G37" s="70">
        <f>BS!G37/'BS USD'!$G$5</f>
        <v>393.93118466898954</v>
      </c>
      <c r="H37" s="71">
        <v>390.96885097243762</v>
      </c>
      <c r="I37" s="71">
        <f>BS!I37/'BS USD'!$I$5</f>
        <v>390.40985821517933</v>
      </c>
      <c r="J37" s="71">
        <f>BS!J37/'BS USD'!$J$5</f>
        <v>500.95546436413264</v>
      </c>
      <c r="K37" s="4"/>
      <c r="T37" s="38"/>
      <c r="U37" s="38"/>
      <c r="V37" s="38"/>
    </row>
    <row r="38" spans="3:22" ht="13.8">
      <c r="C38" s="67">
        <v>1311.07</v>
      </c>
      <c r="D38" s="68" t="s">
        <v>62</v>
      </c>
      <c r="E38" s="74"/>
      <c r="F38" s="72"/>
      <c r="G38" s="70">
        <f>BS!G38/'BS USD'!$G$5</f>
        <v>1387.766144018583</v>
      </c>
      <c r="H38" s="71">
        <v>1419.3625945591218</v>
      </c>
      <c r="I38" s="71">
        <f>BS!I38/'BS USD'!$I$5</f>
        <v>1401.7648194924341</v>
      </c>
      <c r="J38" s="71">
        <f>BS!J38/'BS USD'!$J$5</f>
        <v>1392.9106652424189</v>
      </c>
      <c r="K38" s="4"/>
      <c r="T38" s="38"/>
      <c r="U38" s="38" t="e">
        <f>#REF!/$U$7</f>
        <v>#REF!</v>
      </c>
      <c r="V38" s="38"/>
    </row>
    <row r="39" spans="3:22" ht="13.8">
      <c r="C39" s="67">
        <v>1311.08</v>
      </c>
      <c r="D39" s="68" t="s">
        <v>8</v>
      </c>
      <c r="E39" s="76"/>
      <c r="F39" s="72"/>
      <c r="G39" s="70">
        <f>BS!G39/'BS USD'!$G$5</f>
        <v>330.45406504065039</v>
      </c>
      <c r="H39" s="71">
        <v>339.48329554945713</v>
      </c>
      <c r="I39" s="71">
        <f>BS!I39/'BS USD'!$I$5</f>
        <v>338.99791492910759</v>
      </c>
      <c r="J39" s="71">
        <f>BS!J39/'BS USD'!$J$5</f>
        <v>337.69028544300039</v>
      </c>
      <c r="K39" s="4"/>
      <c r="T39" s="38"/>
      <c r="U39" s="38" t="e">
        <f>#REF!/$U$7</f>
        <v>#REF!</v>
      </c>
      <c r="V39" s="38"/>
    </row>
    <row r="40" spans="3:22" ht="13.8">
      <c r="C40" s="67">
        <v>1331.001</v>
      </c>
      <c r="D40" s="68" t="s">
        <v>10</v>
      </c>
      <c r="E40" s="74"/>
      <c r="F40" s="72"/>
      <c r="G40" s="187">
        <f>BS!G40/'BS USD'!$G$5</f>
        <v>0</v>
      </c>
      <c r="H40" s="71">
        <v>0</v>
      </c>
      <c r="I40" s="71">
        <f>BS!I40/'BS USD'!$I$5</f>
        <v>0</v>
      </c>
      <c r="J40" s="71">
        <f>BS!J40/'BS USD'!$J$5</f>
        <v>0</v>
      </c>
      <c r="K40" s="4"/>
      <c r="T40" s="38"/>
      <c r="U40" s="38" t="e">
        <f>#REF!/$U$7</f>
        <v>#REF!</v>
      </c>
      <c r="V40" s="38"/>
    </row>
    <row r="41" spans="3:22" ht="13.8">
      <c r="C41" s="67">
        <v>1365.02</v>
      </c>
      <c r="D41" s="68" t="s">
        <v>11</v>
      </c>
      <c r="E41" s="74"/>
      <c r="F41" s="72"/>
      <c r="G41" s="70">
        <f>BS!G41/'BS USD'!$G$5</f>
        <v>86495.462724738667</v>
      </c>
      <c r="H41" s="71">
        <v>39278.762677484774</v>
      </c>
      <c r="I41" s="71">
        <f>BS!I41/'BS USD'!$I$5</f>
        <v>38038.2461575122</v>
      </c>
      <c r="J41" s="71">
        <f>BS!J41/'BS USD'!$J$5</f>
        <v>38104.839238027416</v>
      </c>
      <c r="K41" s="4"/>
      <c r="T41" s="38"/>
      <c r="U41" s="38" t="e">
        <f>#REF!/$U$7</f>
        <v>#REF!</v>
      </c>
      <c r="V41" s="38"/>
    </row>
    <row r="42" spans="3:22" ht="13.8">
      <c r="C42" s="72"/>
      <c r="D42" s="73" t="s">
        <v>63</v>
      </c>
      <c r="E42" s="74"/>
      <c r="F42" s="72"/>
      <c r="G42" s="75">
        <f>SUM(G32:G41)</f>
        <v>93815.60534959349</v>
      </c>
      <c r="H42" s="75">
        <f>SUM(H32:H41)</f>
        <v>44974.342370242201</v>
      </c>
      <c r="I42" s="75">
        <f>SUM(I32:I41)</f>
        <v>43258.906930179895</v>
      </c>
      <c r="J42" s="75">
        <f>SUM(J32:J41)</f>
        <v>44416.190056969914</v>
      </c>
      <c r="K42" s="11"/>
      <c r="L42" s="11"/>
      <c r="M42" s="11"/>
      <c r="N42" s="11"/>
      <c r="O42" s="11"/>
      <c r="P42" s="11"/>
      <c r="Q42" s="11"/>
      <c r="R42" s="11"/>
      <c r="S42" s="11"/>
      <c r="T42" s="38"/>
      <c r="U42" s="53" t="e">
        <f>#REF!/$U$7</f>
        <v>#REF!</v>
      </c>
      <c r="V42" s="38"/>
    </row>
    <row r="43" spans="3:22" ht="13.8">
      <c r="C43" s="73" t="s">
        <v>64</v>
      </c>
      <c r="D43" s="73"/>
      <c r="E43" s="74"/>
      <c r="F43" s="72"/>
      <c r="G43" s="77"/>
      <c r="H43" s="71"/>
      <c r="I43" s="71"/>
      <c r="J43" s="71"/>
      <c r="K43" s="4"/>
      <c r="T43" s="38"/>
      <c r="U43" s="38" t="e">
        <f>#REF!/$U$7</f>
        <v>#REF!</v>
      </c>
      <c r="V43" s="38"/>
    </row>
    <row r="44" spans="3:22" ht="13.8">
      <c r="C44" s="67">
        <v>146</v>
      </c>
      <c r="D44" s="68" t="s">
        <v>225</v>
      </c>
      <c r="E44" s="74"/>
      <c r="F44" s="72"/>
      <c r="G44" s="70">
        <f>BS!G44/'BS USD'!$G$5</f>
        <v>0</v>
      </c>
      <c r="H44" s="71">
        <v>0</v>
      </c>
      <c r="I44" s="71">
        <f>BS!I44/'BS USD'!$I$5</f>
        <v>0</v>
      </c>
      <c r="J44" s="71"/>
      <c r="K44" s="4"/>
      <c r="T44" s="38"/>
      <c r="U44" s="38" t="e">
        <f>#REF!/$U$7</f>
        <v>#REF!</v>
      </c>
      <c r="V44" s="38"/>
    </row>
    <row r="45" spans="3:22" ht="13.8">
      <c r="C45" s="67">
        <v>148</v>
      </c>
      <c r="D45" s="68" t="s">
        <v>175</v>
      </c>
      <c r="E45" s="74"/>
      <c r="F45" s="72"/>
      <c r="G45" s="70">
        <f>BS!G45/'BS USD'!$G$5</f>
        <v>115655.99825609756</v>
      </c>
      <c r="H45" s="71">
        <v>118816.14902577258</v>
      </c>
      <c r="I45" s="71">
        <f>BS!I45/'BS USD'!$I$5</f>
        <v>106462.44936077684</v>
      </c>
      <c r="J45" s="71">
        <f>BS!J45/'BS USD'!$J$5</f>
        <v>106051.78772595098</v>
      </c>
      <c r="K45" s="4"/>
      <c r="T45" s="38"/>
      <c r="U45" s="38" t="e">
        <f>#REF!/$U$7</f>
        <v>#REF!</v>
      </c>
      <c r="V45" s="38"/>
    </row>
    <row r="46" spans="3:22" ht="13.8">
      <c r="C46" s="67">
        <v>166</v>
      </c>
      <c r="D46" s="68" t="s">
        <v>13</v>
      </c>
      <c r="E46" s="74"/>
      <c r="F46" s="72"/>
      <c r="G46" s="187">
        <f>BS!G46/'BS USD'!$G$5</f>
        <v>0</v>
      </c>
      <c r="H46" s="71">
        <v>0</v>
      </c>
      <c r="I46" s="71">
        <f>BS!I46/'BS USD'!$I$5</f>
        <v>0</v>
      </c>
      <c r="J46" s="71">
        <f>BS!J46/'BS USD'!$J$5</f>
        <v>0</v>
      </c>
      <c r="K46" s="4"/>
      <c r="T46" s="38"/>
      <c r="U46" s="38" t="e">
        <f>#REF!/$U$7</f>
        <v>#REF!</v>
      </c>
      <c r="V46" s="38"/>
    </row>
    <row r="47" spans="3:22" ht="13.8">
      <c r="C47" s="67">
        <v>167</v>
      </c>
      <c r="D47" s="68" t="s">
        <v>226</v>
      </c>
      <c r="E47" s="74"/>
      <c r="F47" s="72"/>
      <c r="G47" s="187">
        <f>BS!G47/'BS USD'!$G$5</f>
        <v>0</v>
      </c>
      <c r="H47" s="71">
        <v>0</v>
      </c>
      <c r="I47" s="71">
        <f>BS!I47/'BS USD'!$I$5</f>
        <v>0</v>
      </c>
      <c r="J47" s="71">
        <f>BS!J47/'BS USD'!$J$5</f>
        <v>0</v>
      </c>
      <c r="K47" s="4"/>
      <c r="T47" s="38"/>
      <c r="U47" s="38" t="e">
        <f>#REF!/$U$7</f>
        <v>#REF!</v>
      </c>
      <c r="V47" s="38"/>
    </row>
    <row r="48" spans="3:22" ht="13.8">
      <c r="C48" s="72"/>
      <c r="D48" s="73" t="s">
        <v>65</v>
      </c>
      <c r="E48" s="76"/>
      <c r="F48" s="72"/>
      <c r="G48" s="75">
        <f>SUM(G44:G47)</f>
        <v>115655.99825609756</v>
      </c>
      <c r="H48" s="75">
        <f>SUM(H44:H47)</f>
        <v>118816.14902577258</v>
      </c>
      <c r="I48" s="75">
        <f>SUM(I44:I47)</f>
        <v>106462.44936077684</v>
      </c>
      <c r="J48" s="75">
        <f>SUM(J44:J47)</f>
        <v>106051.78772595098</v>
      </c>
      <c r="K48" s="11"/>
      <c r="L48" s="11"/>
      <c r="M48" s="11"/>
      <c r="N48" s="11"/>
      <c r="O48" s="11"/>
      <c r="P48" s="11"/>
      <c r="Q48" s="11"/>
      <c r="R48" s="11"/>
      <c r="S48" s="11"/>
      <c r="T48" s="38"/>
      <c r="U48" s="53" t="e">
        <f>#REF!/$U$7</f>
        <v>#REF!</v>
      </c>
      <c r="V48" s="38"/>
    </row>
    <row r="49" spans="2:251" ht="13.8">
      <c r="C49" s="73" t="s">
        <v>52</v>
      </c>
      <c r="D49" s="72"/>
      <c r="E49" s="76"/>
      <c r="F49" s="72"/>
      <c r="G49" s="70"/>
      <c r="H49" s="71"/>
      <c r="I49" s="71"/>
      <c r="J49" s="71"/>
      <c r="K49" s="4"/>
      <c r="T49" s="38"/>
      <c r="U49" s="38" t="e">
        <f>#REF!/$U$7</f>
        <v>#REF!</v>
      </c>
      <c r="V49" s="38"/>
    </row>
    <row r="50" spans="2:251" ht="13.8">
      <c r="C50" s="67">
        <v>1611</v>
      </c>
      <c r="D50" s="72" t="s">
        <v>12</v>
      </c>
      <c r="E50" s="76"/>
      <c r="F50" s="72"/>
      <c r="G50" s="187">
        <f>BS!G50/'BS USD'!$G$5</f>
        <v>0</v>
      </c>
      <c r="H50" s="71">
        <v>0</v>
      </c>
      <c r="I50" s="71">
        <f>BS!I50/'BS USD'!$I$5</f>
        <v>0</v>
      </c>
      <c r="J50" s="71"/>
      <c r="K50" s="4"/>
      <c r="T50" s="38"/>
      <c r="U50" s="38" t="e">
        <f>#REF!/$U$7</f>
        <v>#REF!</v>
      </c>
      <c r="V50" s="38"/>
    </row>
    <row r="51" spans="2:251" ht="13.8">
      <c r="C51" s="67">
        <v>1611.01</v>
      </c>
      <c r="D51" s="72" t="s">
        <v>227</v>
      </c>
      <c r="E51" s="76"/>
      <c r="F51" s="72"/>
      <c r="G51" s="70">
        <f>BS!G51/'BS USD'!$G$5</f>
        <v>568.43298490127756</v>
      </c>
      <c r="H51" s="71">
        <v>583.96468201885216</v>
      </c>
      <c r="I51" s="71">
        <f>BS!I51/'BS USD'!$I$5</f>
        <v>583.12975098296204</v>
      </c>
      <c r="J51" s="71">
        <f>BS!J51/'BS USD'!$J$5</f>
        <v>580.88042252685295</v>
      </c>
      <c r="K51" s="4"/>
      <c r="T51" s="38"/>
      <c r="U51" s="38"/>
      <c r="V51" s="38"/>
    </row>
    <row r="52" spans="2:251" ht="13.8">
      <c r="C52" s="67">
        <v>1611.02</v>
      </c>
      <c r="D52" s="72" t="s">
        <v>228</v>
      </c>
      <c r="E52" s="76"/>
      <c r="F52" s="72"/>
      <c r="G52" s="70">
        <f>BS!G52/'BS USD'!$G$5</f>
        <v>43537.484042973287</v>
      </c>
      <c r="H52" s="71">
        <v>44727.089560911591</v>
      </c>
      <c r="I52" s="71">
        <f>BS!I52/'BS USD'!$I$5</f>
        <v>44663.140427737402</v>
      </c>
      <c r="J52" s="71">
        <f>BS!J52/'BS USD'!$J$5</f>
        <v>44490.859605958103</v>
      </c>
      <c r="K52" s="4"/>
      <c r="T52" s="38"/>
      <c r="U52" s="38"/>
      <c r="V52" s="38"/>
    </row>
    <row r="53" spans="2:251" ht="13.8">
      <c r="C53" s="67">
        <v>1611.03</v>
      </c>
      <c r="D53" s="72" t="s">
        <v>229</v>
      </c>
      <c r="E53" s="76"/>
      <c r="F53" s="72"/>
      <c r="G53" s="70">
        <f>BS!G53/'BS USD'!$G$5</f>
        <v>2919.1023809523808</v>
      </c>
      <c r="H53" s="71">
        <v>2998.8630831643004</v>
      </c>
      <c r="I53" s="71">
        <f>BS!I53/'BS USD'!$I$5</f>
        <v>2994.575419992851</v>
      </c>
      <c r="J53" s="71">
        <f>BS!J53/'BS USD'!$J$5</f>
        <v>2983.0243309002435</v>
      </c>
      <c r="K53" s="4"/>
      <c r="T53" s="38"/>
      <c r="U53" s="38"/>
      <c r="V53" s="38"/>
    </row>
    <row r="54" spans="2:251" ht="13.8">
      <c r="C54" s="67">
        <v>1611.04</v>
      </c>
      <c r="D54" s="72" t="s">
        <v>230</v>
      </c>
      <c r="E54" s="76"/>
      <c r="F54" s="72"/>
      <c r="G54" s="187">
        <f>BS!G54/'BS USD'!$G$5</f>
        <v>0</v>
      </c>
      <c r="H54" s="71">
        <v>0</v>
      </c>
      <c r="I54" s="71">
        <f>BS!I54/'BS USD'!$I$5</f>
        <v>0</v>
      </c>
      <c r="J54" s="71">
        <f>BS!J54/'BS USD'!$J$5</f>
        <v>0</v>
      </c>
      <c r="K54" s="4"/>
      <c r="T54" s="38"/>
      <c r="U54" s="38"/>
      <c r="V54" s="38"/>
    </row>
    <row r="55" spans="2:251" ht="13.8">
      <c r="C55" s="67">
        <v>1611.05</v>
      </c>
      <c r="D55" s="72" t="s">
        <v>179</v>
      </c>
      <c r="E55" s="76"/>
      <c r="F55" s="72"/>
      <c r="G55" s="70">
        <f>BS!G55/'BS USD'!$G$5</f>
        <v>227.64227642276424</v>
      </c>
      <c r="H55" s="71">
        <v>204.62951915045937</v>
      </c>
      <c r="I55" s="71">
        <f>BS!I55/'BS USD'!$I$5</f>
        <v>175.14595496246872</v>
      </c>
      <c r="J55" s="71">
        <f>BS!J55/'BS USD'!$J$5</f>
        <v>145.3919648685538</v>
      </c>
      <c r="K55" s="4"/>
      <c r="T55" s="38"/>
      <c r="U55" s="38"/>
      <c r="V55" s="38"/>
    </row>
    <row r="56" spans="2:251" ht="13.8">
      <c r="C56" s="67">
        <v>1611.06</v>
      </c>
      <c r="D56" s="72" t="s">
        <v>295</v>
      </c>
      <c r="E56" s="76"/>
      <c r="F56" s="72"/>
      <c r="G56" s="70"/>
      <c r="H56" s="71"/>
      <c r="I56" s="71"/>
      <c r="J56" s="71">
        <f>BS!J56/'BS USD'!$J$5</f>
        <v>2227.007299270073</v>
      </c>
      <c r="K56" s="4"/>
      <c r="T56" s="38"/>
      <c r="U56" s="38"/>
      <c r="V56" s="38"/>
    </row>
    <row r="57" spans="2:251" ht="13.8">
      <c r="C57" s="67">
        <v>1618.01</v>
      </c>
      <c r="D57" s="72" t="s">
        <v>180</v>
      </c>
      <c r="E57" s="76"/>
      <c r="F57" s="72"/>
      <c r="G57" s="70">
        <f>BS!G57/'BS USD'!$G$5</f>
        <v>321285.35882113822</v>
      </c>
      <c r="H57" s="71">
        <v>330064.0662749075</v>
      </c>
      <c r="I57" s="71">
        <f>BS!I57/'BS USD'!$I$5</f>
        <v>329592.1529190992</v>
      </c>
      <c r="J57" s="71">
        <f>BS!J57/'BS USD'!$J$5</f>
        <v>328320.80463473976</v>
      </c>
      <c r="K57" s="4"/>
      <c r="T57" s="38"/>
      <c r="U57" s="38"/>
      <c r="V57" s="38"/>
    </row>
    <row r="58" spans="2:251" ht="13.8">
      <c r="C58" s="67">
        <v>1618.02</v>
      </c>
      <c r="D58" s="72" t="s">
        <v>181</v>
      </c>
      <c r="E58" s="76"/>
      <c r="F58" s="72"/>
      <c r="G58" s="70">
        <f>BS!G58/'BS USD'!$G$5</f>
        <v>93672.653018002311</v>
      </c>
      <c r="H58" s="71">
        <v>96232.137272998458</v>
      </c>
      <c r="I58" s="71">
        <f>BS!I58/'BS USD'!$I$5</f>
        <v>96094.548133563687</v>
      </c>
      <c r="J58" s="71">
        <f>BS!J58/'BS USD'!$J$5</f>
        <v>95723.878996498723</v>
      </c>
      <c r="K58" s="4"/>
      <c r="T58" s="38"/>
      <c r="U58" s="38"/>
      <c r="V58" s="38"/>
    </row>
    <row r="59" spans="2:251" ht="13.8">
      <c r="C59" s="72"/>
      <c r="D59" s="73" t="s">
        <v>66</v>
      </c>
      <c r="E59" s="76"/>
      <c r="F59" s="72"/>
      <c r="G59" s="75">
        <f>SUM(G50:G58)</f>
        <v>462210.67352439021</v>
      </c>
      <c r="H59" s="75">
        <f>SUM(H50:H58)</f>
        <v>474810.75039315119</v>
      </c>
      <c r="I59" s="75">
        <f>SUM(I50:I58)</f>
        <v>474102.69260633853</v>
      </c>
      <c r="J59" s="75">
        <f>SUM(J50:J58)</f>
        <v>474471.84725476231</v>
      </c>
      <c r="K59" s="11"/>
      <c r="L59" s="11"/>
      <c r="M59" s="11"/>
      <c r="N59" s="11"/>
      <c r="O59" s="11"/>
      <c r="P59" s="11"/>
      <c r="Q59" s="11"/>
      <c r="R59" s="11"/>
      <c r="S59" s="11"/>
      <c r="T59" s="38"/>
      <c r="U59" s="53" t="e">
        <f>#REF!/$U$7</f>
        <v>#REF!</v>
      </c>
      <c r="V59" s="38"/>
      <c r="IQ59" s="11"/>
    </row>
    <row r="60" spans="2:251" ht="13.8">
      <c r="B60" s="1" t="s">
        <v>67</v>
      </c>
      <c r="C60" s="72"/>
      <c r="D60" s="72"/>
      <c r="E60" s="76"/>
      <c r="F60" s="72"/>
      <c r="G60" s="70"/>
      <c r="H60" s="71"/>
      <c r="I60" s="71"/>
      <c r="J60" s="71"/>
      <c r="K60" s="4"/>
      <c r="T60" s="38"/>
      <c r="U60" s="38" t="e">
        <f>#REF!/$U$7</f>
        <v>#REF!</v>
      </c>
      <c r="V60" s="38"/>
    </row>
    <row r="61" spans="2:251" ht="13.8">
      <c r="C61" s="67">
        <v>2412</v>
      </c>
      <c r="D61" s="68" t="s">
        <v>14</v>
      </c>
      <c r="E61" s="76"/>
      <c r="F61" s="72"/>
      <c r="G61" s="70">
        <f>BS!G61/'BS USD'!$G$5</f>
        <v>1001489.0731707317</v>
      </c>
      <c r="H61" s="71">
        <v>1028853.4685598378</v>
      </c>
      <c r="I61" s="71">
        <f>BS!I61/'BS USD'!$I$5</f>
        <v>1027382.4520433695</v>
      </c>
      <c r="J61" s="71">
        <f>BS!J61/'BS USD'!$J$5</f>
        <v>1023419.4908314047</v>
      </c>
      <c r="K61" s="16"/>
      <c r="L61" s="16"/>
      <c r="M61" s="16"/>
      <c r="N61" s="16"/>
      <c r="O61" s="16"/>
      <c r="P61" s="16"/>
      <c r="Q61" s="16"/>
      <c r="R61" s="16"/>
      <c r="S61" s="16"/>
      <c r="T61" s="38"/>
      <c r="U61" s="38" t="e">
        <f>#REF!/$U$7</f>
        <v>#REF!</v>
      </c>
      <c r="V61" s="38"/>
    </row>
    <row r="62" spans="2:251" ht="13.8">
      <c r="C62" s="67">
        <v>2413</v>
      </c>
      <c r="D62" s="68" t="s">
        <v>15</v>
      </c>
      <c r="E62" s="76"/>
      <c r="F62" s="72"/>
      <c r="G62" s="70">
        <f>BS!G62/'BS USD'!$G$5</f>
        <v>376491.7031358885</v>
      </c>
      <c r="H62" s="71">
        <v>386778.85264288273</v>
      </c>
      <c r="I62" s="71">
        <f>BS!I62/'BS USD'!$I$5</f>
        <v>386225.85058977717</v>
      </c>
      <c r="J62" s="71">
        <f>BS!J62/'BS USD'!$J$5</f>
        <v>384736.04700017802</v>
      </c>
      <c r="K62" s="16"/>
      <c r="L62" s="16"/>
      <c r="M62" s="16"/>
      <c r="N62" s="16"/>
      <c r="O62" s="16"/>
      <c r="P62" s="16"/>
      <c r="Q62" s="16"/>
      <c r="R62" s="16"/>
      <c r="S62" s="16"/>
      <c r="T62" s="38"/>
      <c r="U62" s="38" t="e">
        <f>#REF!/$U$7</f>
        <v>#REF!</v>
      </c>
      <c r="V62" s="38"/>
    </row>
    <row r="63" spans="2:251" ht="13.8">
      <c r="C63" s="67">
        <v>2414</v>
      </c>
      <c r="D63" s="68" t="s">
        <v>16</v>
      </c>
      <c r="E63" s="76"/>
      <c r="F63" s="72"/>
      <c r="G63" s="70">
        <f>BS!G63/'BS USD'!$G$5</f>
        <v>158679.70905923346</v>
      </c>
      <c r="H63" s="71">
        <v>163015.42715666388</v>
      </c>
      <c r="I63" s="71">
        <f>BS!I63/'BS USD'!$I$5</f>
        <v>162782.35374717027</v>
      </c>
      <c r="J63" s="71">
        <f>BS!J63/'BS USD'!$J$5</f>
        <v>162154.44721381521</v>
      </c>
      <c r="K63" s="16"/>
      <c r="L63" s="16"/>
      <c r="M63" s="16"/>
      <c r="N63" s="16"/>
      <c r="O63" s="16"/>
      <c r="P63" s="16"/>
      <c r="Q63" s="16"/>
      <c r="R63" s="16"/>
      <c r="S63" s="16"/>
      <c r="T63" s="38"/>
      <c r="U63" s="38" t="e">
        <f>#REF!/$U$7</f>
        <v>#REF!</v>
      </c>
      <c r="V63" s="38"/>
    </row>
    <row r="64" spans="2:251" ht="13.8">
      <c r="C64" s="67">
        <v>2418</v>
      </c>
      <c r="D64" s="68" t="s">
        <v>182</v>
      </c>
      <c r="E64" s="76"/>
      <c r="F64" s="72"/>
      <c r="G64" s="70">
        <f>BS!G64/'BS USD'!$G$5</f>
        <v>17176.391173054588</v>
      </c>
      <c r="H64" s="71">
        <v>17645.713876625701</v>
      </c>
      <c r="I64" s="71">
        <f>BS!I64/'BS USD'!$I$5</f>
        <v>17620.484689622303</v>
      </c>
      <c r="J64" s="71">
        <f>BS!J64/'BS USD'!$J$5</f>
        <v>17552.516527209067</v>
      </c>
      <c r="K64" s="16"/>
      <c r="L64" s="16"/>
      <c r="M64" s="16"/>
      <c r="N64" s="16"/>
      <c r="O64" s="16"/>
      <c r="P64" s="16"/>
      <c r="Q64" s="16"/>
      <c r="R64" s="16"/>
      <c r="S64" s="16"/>
      <c r="T64" s="38"/>
      <c r="U64" s="38" t="e">
        <f>#REF!/$U$7</f>
        <v>#REF!</v>
      </c>
      <c r="V64" s="38"/>
    </row>
    <row r="65" spans="1:22" ht="13.8">
      <c r="C65" s="67">
        <v>2421.0100000000002</v>
      </c>
      <c r="D65" s="68" t="s">
        <v>183</v>
      </c>
      <c r="E65" s="76"/>
      <c r="F65" s="72"/>
      <c r="G65" s="70">
        <f>BS!G65/'BS USD'!$G$5</f>
        <v>140225.5555749129</v>
      </c>
      <c r="H65" s="71">
        <v>144057.03776398997</v>
      </c>
      <c r="I65" s="71">
        <f>BS!I65/'BS USD'!$I$5</f>
        <v>143851.07035624926</v>
      </c>
      <c r="J65" s="71">
        <f>BS!J65/'BS USD'!$J$5</f>
        <v>143296.18817874309</v>
      </c>
      <c r="K65" s="16"/>
      <c r="L65" s="16"/>
      <c r="M65" s="16"/>
      <c r="N65" s="16"/>
      <c r="O65" s="16"/>
      <c r="P65" s="16"/>
      <c r="Q65" s="16"/>
      <c r="R65" s="16"/>
      <c r="S65" s="16"/>
      <c r="T65" s="38"/>
      <c r="U65" s="38" t="e">
        <f>#REF!/$U$7</f>
        <v>#REF!</v>
      </c>
      <c r="V65" s="38"/>
    </row>
    <row r="66" spans="1:22" ht="13.8">
      <c r="C66" s="67">
        <v>2428</v>
      </c>
      <c r="D66" s="68" t="s">
        <v>184</v>
      </c>
      <c r="E66" s="76"/>
      <c r="F66" s="72"/>
      <c r="G66" s="70">
        <f>BS!G66/'BS USD'!$G$5</f>
        <v>-93483.703484320562</v>
      </c>
      <c r="H66" s="71">
        <v>-96038.024937358306</v>
      </c>
      <c r="I66" s="71">
        <f>BS!I66/'BS USD'!$I$5</f>
        <v>-95900.713332539017</v>
      </c>
      <c r="J66" s="71">
        <f>BS!J66/'BS USD'!$J$5</f>
        <v>-95530.791881787431</v>
      </c>
      <c r="K66" s="16"/>
      <c r="L66" s="16"/>
      <c r="M66" s="16"/>
      <c r="N66" s="16"/>
      <c r="O66" s="16"/>
      <c r="P66" s="16"/>
      <c r="Q66" s="16"/>
      <c r="R66" s="16"/>
      <c r="S66" s="16"/>
      <c r="T66" s="38"/>
      <c r="U66" s="38" t="e">
        <f>#REF!/$U$7</f>
        <v>#REF!</v>
      </c>
      <c r="V66" s="38"/>
    </row>
    <row r="67" spans="1:22" ht="13.8">
      <c r="C67" s="67">
        <v>2841</v>
      </c>
      <c r="D67" s="68" t="s">
        <v>68</v>
      </c>
      <c r="E67" s="76"/>
      <c r="F67" s="72"/>
      <c r="G67" s="70">
        <f>BS!G67/'BS USD'!$G$5</f>
        <v>-749084.95017421606</v>
      </c>
      <c r="H67" s="71">
        <v>-783252.50620451022</v>
      </c>
      <c r="I67" s="71">
        <f>BS!I67/'BS USD'!$I$5</f>
        <v>-795857.21253246756</v>
      </c>
      <c r="J67" s="71">
        <f>BS!J67/'BS USD'!$J$5</f>
        <v>-806458.95377959765</v>
      </c>
      <c r="K67" s="16"/>
      <c r="L67" s="16"/>
      <c r="M67" s="16"/>
      <c r="N67" s="16"/>
      <c r="O67" s="16"/>
      <c r="P67" s="16"/>
      <c r="Q67" s="16"/>
      <c r="R67" s="16"/>
      <c r="S67" s="16"/>
      <c r="T67" s="38"/>
      <c r="U67" s="38" t="e">
        <f>#REF!/$U$7</f>
        <v>#REF!</v>
      </c>
      <c r="V67" s="38"/>
    </row>
    <row r="68" spans="1:22" ht="13.8">
      <c r="C68" s="72"/>
      <c r="D68" s="73" t="s">
        <v>69</v>
      </c>
      <c r="E68" s="76"/>
      <c r="F68" s="72"/>
      <c r="G68" s="75">
        <f>SUM(G61:G67)</f>
        <v>851493.77845528454</v>
      </c>
      <c r="H68" s="75">
        <f>SUM(H61:H67)</f>
        <v>861059.96885813179</v>
      </c>
      <c r="I68" s="75">
        <f>SUM(I61:I67)</f>
        <v>846104.28556118219</v>
      </c>
      <c r="J68" s="75">
        <f>SUM(J61:J67)</f>
        <v>829168.94408996485</v>
      </c>
      <c r="K68" s="11"/>
      <c r="L68" s="11"/>
      <c r="M68" s="11"/>
      <c r="N68" s="11"/>
      <c r="O68" s="11"/>
      <c r="P68" s="11"/>
      <c r="Q68" s="11"/>
      <c r="R68" s="11"/>
      <c r="S68" s="11"/>
      <c r="T68" s="38"/>
      <c r="U68" s="38" t="e">
        <f>#REF!/$U$7</f>
        <v>#REF!</v>
      </c>
      <c r="V68" s="38"/>
    </row>
    <row r="69" spans="1:22" ht="14.4" thickBot="1">
      <c r="C69" s="72"/>
      <c r="D69" s="79" t="s">
        <v>70</v>
      </c>
      <c r="E69" s="74"/>
      <c r="F69" s="72"/>
      <c r="G69" s="88">
        <f>G25+G30+G42+G48+G59+G68</f>
        <v>1579560.9529744484</v>
      </c>
      <c r="H69" s="88">
        <f>H25+H30+H42+H48+H59+H68</f>
        <v>1569202.9317092234</v>
      </c>
      <c r="I69" s="88">
        <f>I25+I30+I42+I48+I59+I68</f>
        <v>1527358.4393965211</v>
      </c>
      <c r="J69" s="88">
        <f>J25+J30+J42+J48+J59+J68</f>
        <v>1540821.5448406623</v>
      </c>
      <c r="K69" s="13"/>
      <c r="L69" s="13"/>
      <c r="M69" s="13"/>
      <c r="N69" s="13"/>
      <c r="O69" s="13"/>
      <c r="P69" s="13"/>
      <c r="Q69" s="13"/>
      <c r="R69" s="13"/>
      <c r="S69" s="51"/>
      <c r="T69" s="38"/>
      <c r="U69" s="53" t="e">
        <f>#REF!/$U$7</f>
        <v>#REF!</v>
      </c>
      <c r="V69" s="38"/>
    </row>
    <row r="70" spans="1:22" ht="14.4" thickTop="1">
      <c r="A70" s="1" t="s">
        <v>71</v>
      </c>
      <c r="B70" s="1"/>
      <c r="C70" s="73"/>
      <c r="D70" s="72"/>
      <c r="E70" s="74"/>
      <c r="F70" s="72"/>
      <c r="G70" s="70"/>
      <c r="H70" s="71"/>
      <c r="I70" s="71"/>
      <c r="J70" s="71"/>
      <c r="K70" s="4"/>
      <c r="T70" s="38"/>
      <c r="U70" s="38" t="e">
        <f>#REF!/$U$7</f>
        <v>#REF!</v>
      </c>
      <c r="V70" s="38"/>
    </row>
    <row r="71" spans="1:22" ht="13.8">
      <c r="A71" s="1"/>
      <c r="B71" s="1"/>
      <c r="C71" s="73" t="s">
        <v>72</v>
      </c>
      <c r="D71" s="72"/>
      <c r="E71" s="74"/>
      <c r="F71" s="72"/>
      <c r="G71" s="70"/>
      <c r="H71" s="71"/>
      <c r="I71" s="71"/>
      <c r="J71" s="71"/>
      <c r="K71" s="4"/>
      <c r="T71" s="38"/>
      <c r="U71" s="38" t="e">
        <f>#REF!/$U$7</f>
        <v>#REF!</v>
      </c>
      <c r="V71" s="38"/>
    </row>
    <row r="72" spans="1:22" s="3" customFormat="1" ht="13.8">
      <c r="A72" s="1"/>
      <c r="B72" s="1"/>
      <c r="C72" s="73" t="s">
        <v>73</v>
      </c>
      <c r="D72" s="72"/>
      <c r="E72" s="74"/>
      <c r="F72" s="72"/>
      <c r="G72" s="70"/>
      <c r="H72" s="71"/>
      <c r="I72" s="71"/>
      <c r="J72" s="71"/>
      <c r="K72" s="4"/>
      <c r="L72" s="4"/>
      <c r="M72" s="4"/>
      <c r="N72" s="4"/>
      <c r="O72" s="4"/>
      <c r="P72" s="4"/>
      <c r="Q72" s="4"/>
      <c r="R72" s="4"/>
      <c r="S72" s="4"/>
      <c r="T72" s="38"/>
      <c r="U72" s="38" t="e">
        <f>#REF!/$U$7</f>
        <v>#REF!</v>
      </c>
      <c r="V72" s="38"/>
    </row>
    <row r="73" spans="1:22" s="3" customFormat="1" ht="13.8">
      <c r="A73" s="2"/>
      <c r="B73" s="2"/>
      <c r="C73" s="73" t="s">
        <v>74</v>
      </c>
      <c r="D73" s="72"/>
      <c r="E73" s="74"/>
      <c r="F73" s="72"/>
      <c r="G73" s="70"/>
      <c r="H73" s="71"/>
      <c r="I73" s="71"/>
      <c r="J73" s="71"/>
      <c r="K73" s="4"/>
      <c r="L73" s="4"/>
      <c r="M73" s="4"/>
      <c r="N73" s="4"/>
      <c r="O73" s="4"/>
      <c r="P73" s="4"/>
      <c r="Q73" s="4"/>
      <c r="R73" s="4"/>
      <c r="S73" s="4"/>
      <c r="T73" s="38"/>
      <c r="U73" s="38" t="e">
        <f>#REF!/$U$7</f>
        <v>#REF!</v>
      </c>
      <c r="V73" s="38"/>
    </row>
    <row r="74" spans="1:22" s="3" customFormat="1" ht="13.8">
      <c r="A74" s="2"/>
      <c r="B74" s="2"/>
      <c r="C74" s="67">
        <v>401.02</v>
      </c>
      <c r="D74" s="67" t="s">
        <v>231</v>
      </c>
      <c r="E74" s="240"/>
      <c r="F74" s="240"/>
      <c r="G74" s="70">
        <f>BS!G74/'BS USD'!$G$5</f>
        <v>34.308943089430898</v>
      </c>
      <c r="H74" s="71">
        <v>0</v>
      </c>
      <c r="I74" s="71">
        <f>BS!I74/'BS USD'!$I$5</f>
        <v>0</v>
      </c>
      <c r="J74" s="71">
        <f>BS!J74/'BS USD'!$J$5</f>
        <v>0</v>
      </c>
      <c r="K74" s="16"/>
      <c r="L74" s="16"/>
      <c r="M74" s="16"/>
      <c r="N74" s="16"/>
      <c r="O74" s="16"/>
      <c r="P74" s="16"/>
      <c r="Q74" s="16"/>
      <c r="R74" s="16"/>
      <c r="S74" s="16"/>
      <c r="T74" s="38"/>
      <c r="U74" s="38" t="e">
        <f>#REF!/$U$7</f>
        <v>#REF!</v>
      </c>
      <c r="V74" s="38"/>
    </row>
    <row r="75" spans="1:22" s="3" customFormat="1" ht="13.8">
      <c r="A75" s="2"/>
      <c r="B75" s="2"/>
      <c r="C75" s="67">
        <v>401.03</v>
      </c>
      <c r="D75" s="67" t="s">
        <v>75</v>
      </c>
      <c r="E75" s="72"/>
      <c r="F75" s="72"/>
      <c r="G75" s="70">
        <f>BS!G75/'BS USD'!$G$5</f>
        <v>368.75725900116146</v>
      </c>
      <c r="H75" s="71">
        <v>0</v>
      </c>
      <c r="I75" s="71">
        <f>BS!I75/'BS USD'!$I$5</f>
        <v>0</v>
      </c>
      <c r="J75" s="71">
        <f>BS!J75/'BS USD'!$J$5</f>
        <v>0</v>
      </c>
      <c r="K75" s="16"/>
      <c r="L75" s="16"/>
      <c r="M75" s="16"/>
      <c r="N75" s="16"/>
      <c r="O75" s="16"/>
      <c r="P75" s="16"/>
      <c r="Q75" s="16"/>
      <c r="R75" s="16"/>
      <c r="S75" s="16"/>
      <c r="T75" s="38"/>
      <c r="U75" s="38" t="e">
        <f>#REF!/$U$7</f>
        <v>#REF!</v>
      </c>
      <c r="V75" s="38"/>
    </row>
    <row r="76" spans="1:22" s="3" customFormat="1" ht="13.8">
      <c r="A76" s="2"/>
      <c r="B76" s="2"/>
      <c r="C76" s="67">
        <v>401.05</v>
      </c>
      <c r="D76" s="67" t="s">
        <v>76</v>
      </c>
      <c r="E76" s="240"/>
      <c r="F76" s="240"/>
      <c r="G76" s="70">
        <f>BS!G76/'BS USD'!$G$5</f>
        <v>178.86178861788619</v>
      </c>
      <c r="H76" s="71">
        <v>0</v>
      </c>
      <c r="I76" s="71">
        <f>BS!I76/'BS USD'!$I$5</f>
        <v>0</v>
      </c>
      <c r="J76" s="71">
        <f>BS!J76/'BS USD'!$J$5</f>
        <v>0</v>
      </c>
      <c r="K76" s="16"/>
      <c r="L76" s="16"/>
      <c r="M76" s="16"/>
      <c r="N76" s="16"/>
      <c r="O76" s="16"/>
      <c r="P76" s="16"/>
      <c r="Q76" s="16"/>
      <c r="R76" s="16"/>
      <c r="S76" s="16"/>
      <c r="T76" s="38"/>
      <c r="U76" s="38" t="e">
        <f>#REF!/$U$7</f>
        <v>#REF!</v>
      </c>
      <c r="V76" s="38"/>
    </row>
    <row r="77" spans="1:22" s="3" customFormat="1" ht="13.8">
      <c r="A77" s="2"/>
      <c r="B77" s="2"/>
      <c r="C77" s="67">
        <v>402.01</v>
      </c>
      <c r="D77" s="67" t="s">
        <v>77</v>
      </c>
      <c r="E77" s="72"/>
      <c r="F77" s="72"/>
      <c r="G77" s="70">
        <f>BS!G77/'BS USD'!$G$5</f>
        <v>0</v>
      </c>
      <c r="H77" s="71">
        <v>0</v>
      </c>
      <c r="I77" s="71">
        <f>BS!I77/'BS USD'!$I$5</f>
        <v>0</v>
      </c>
      <c r="J77" s="71">
        <f>BS!J77/'BS USD'!$J$5</f>
        <v>0</v>
      </c>
      <c r="K77" s="16"/>
      <c r="L77" s="16"/>
      <c r="M77" s="16"/>
      <c r="N77" s="16"/>
      <c r="O77" s="16"/>
      <c r="P77" s="16"/>
      <c r="Q77" s="16"/>
      <c r="R77" s="16"/>
      <c r="S77" s="16"/>
      <c r="T77" s="38"/>
      <c r="U77" s="38" t="e">
        <f>#REF!/$U$7</f>
        <v>#REF!</v>
      </c>
      <c r="V77" s="38"/>
    </row>
    <row r="78" spans="1:22" s="3" customFormat="1" ht="13.8">
      <c r="A78" s="2"/>
      <c r="B78" s="2"/>
      <c r="C78" s="67">
        <v>402.02</v>
      </c>
      <c r="D78" s="67" t="s">
        <v>78</v>
      </c>
      <c r="E78" s="240"/>
      <c r="F78" s="240"/>
      <c r="G78" s="70">
        <f>BS!G78/'BS USD'!$G$5</f>
        <v>144.52961672473867</v>
      </c>
      <c r="H78" s="71">
        <v>0</v>
      </c>
      <c r="I78" s="71">
        <f>BS!I78/'BS USD'!$I$5</f>
        <v>0</v>
      </c>
      <c r="J78" s="71">
        <f>BS!J78/'BS USD'!$J$5</f>
        <v>0</v>
      </c>
      <c r="K78" s="16"/>
      <c r="L78" s="16"/>
      <c r="M78" s="16"/>
      <c r="N78" s="16"/>
      <c r="O78" s="16"/>
      <c r="P78" s="16"/>
      <c r="Q78" s="16"/>
      <c r="R78" s="16"/>
      <c r="S78" s="16"/>
      <c r="T78" s="38"/>
      <c r="U78" s="38" t="e">
        <f>#REF!/$U$7</f>
        <v>#REF!</v>
      </c>
      <c r="V78" s="38"/>
    </row>
    <row r="79" spans="1:22" s="3" customFormat="1" ht="13.8">
      <c r="A79" s="2"/>
      <c r="B79" s="2"/>
      <c r="C79" s="67">
        <v>402.03</v>
      </c>
      <c r="D79" s="67" t="s">
        <v>188</v>
      </c>
      <c r="E79" s="72"/>
      <c r="F79" s="72"/>
      <c r="G79" s="70">
        <f>BS!G79/'BS USD'!$G$5</f>
        <v>3132.9849012775844</v>
      </c>
      <c r="H79" s="71">
        <v>3218.5896671041642</v>
      </c>
      <c r="I79" s="71">
        <f>BS!I79/'BS USD'!$I$5</f>
        <v>0</v>
      </c>
      <c r="J79" s="71">
        <f>BS!J79/'BS USD'!$J$5</f>
        <v>0</v>
      </c>
      <c r="K79" s="16"/>
      <c r="L79" s="16"/>
      <c r="M79" s="16"/>
      <c r="N79" s="16"/>
      <c r="O79" s="16"/>
      <c r="P79" s="16"/>
      <c r="Q79" s="16"/>
      <c r="R79" s="16"/>
      <c r="S79" s="16"/>
      <c r="T79" s="38"/>
      <c r="U79" s="38" t="e">
        <f>#REF!/$U$7</f>
        <v>#REF!</v>
      </c>
      <c r="V79" s="38"/>
    </row>
    <row r="80" spans="1:22" s="3" customFormat="1" ht="13.8">
      <c r="A80" s="2"/>
      <c r="B80" s="2"/>
      <c r="C80" s="67">
        <v>402.06</v>
      </c>
      <c r="D80" s="67" t="s">
        <v>232</v>
      </c>
      <c r="E80" s="240"/>
      <c r="F80" s="240"/>
      <c r="G80" s="70">
        <f>BS!G80/'BS USD'!$G$5</f>
        <v>0</v>
      </c>
      <c r="H80" s="71">
        <v>0</v>
      </c>
      <c r="I80" s="71">
        <f>BS!I80/'BS USD'!$I$5</f>
        <v>0</v>
      </c>
      <c r="J80" s="71">
        <f>BS!J80/'BS USD'!$J$5</f>
        <v>0</v>
      </c>
      <c r="K80" s="16"/>
      <c r="L80" s="16"/>
      <c r="M80" s="16"/>
      <c r="N80" s="16"/>
      <c r="O80" s="16"/>
      <c r="P80" s="16"/>
      <c r="Q80" s="16"/>
      <c r="R80" s="16"/>
      <c r="S80" s="16"/>
      <c r="T80" s="38"/>
      <c r="U80" s="38" t="e">
        <f>#REF!/$U$7</f>
        <v>#REF!</v>
      </c>
      <c r="V80" s="38"/>
    </row>
    <row r="81" spans="1:22" s="3" customFormat="1" ht="13.8">
      <c r="A81" s="2"/>
      <c r="B81" s="2"/>
      <c r="C81" s="67">
        <v>402.07</v>
      </c>
      <c r="D81" s="67" t="s">
        <v>233</v>
      </c>
      <c r="E81" s="72"/>
      <c r="F81" s="72"/>
      <c r="G81" s="70">
        <f>BS!G81/'BS USD'!$G$5</f>
        <v>8743.7639372822305</v>
      </c>
      <c r="H81" s="71">
        <v>8982.6759933182202</v>
      </c>
      <c r="I81" s="71">
        <f>BS!I81/'BS USD'!$I$5</f>
        <v>0</v>
      </c>
      <c r="J81" s="71">
        <f>BS!J81/'BS USD'!$J$5</f>
        <v>0</v>
      </c>
      <c r="K81" s="16"/>
      <c r="L81" s="16"/>
      <c r="M81" s="16"/>
      <c r="N81" s="16"/>
      <c r="O81" s="16"/>
      <c r="P81" s="16"/>
      <c r="Q81" s="16"/>
      <c r="R81" s="16"/>
      <c r="S81" s="16"/>
      <c r="T81" s="38"/>
      <c r="U81" s="38" t="e">
        <f>#REF!/$U$7</f>
        <v>#REF!</v>
      </c>
      <c r="V81" s="38"/>
    </row>
    <row r="82" spans="1:22" s="3" customFormat="1" ht="13.8">
      <c r="A82" s="2"/>
      <c r="B82" s="2"/>
      <c r="C82" s="67">
        <v>4042</v>
      </c>
      <c r="D82" s="67" t="s">
        <v>112</v>
      </c>
      <c r="E82" s="240"/>
      <c r="F82" s="240"/>
      <c r="G82" s="70">
        <f>BS!G82/'BS USD'!$G$5</f>
        <v>0</v>
      </c>
      <c r="H82" s="71">
        <v>0</v>
      </c>
      <c r="I82" s="71">
        <f>BS!I82/'BS USD'!$I$5</f>
        <v>0</v>
      </c>
      <c r="J82" s="71">
        <f>BS!J82/'BS USD'!$J$5</f>
        <v>0</v>
      </c>
      <c r="K82" s="16"/>
      <c r="L82" s="16"/>
      <c r="M82" s="16"/>
      <c r="N82" s="16"/>
      <c r="O82" s="16"/>
      <c r="P82" s="16"/>
      <c r="Q82" s="16"/>
      <c r="R82" s="16"/>
      <c r="S82" s="16"/>
      <c r="T82" s="38"/>
      <c r="U82" s="38" t="e">
        <f>#REF!/$U$7</f>
        <v>#REF!</v>
      </c>
      <c r="V82" s="38"/>
    </row>
    <row r="83" spans="1:22" s="3" customFormat="1" ht="13.8">
      <c r="A83" s="2"/>
      <c r="B83" s="2"/>
      <c r="C83" s="72"/>
      <c r="D83" s="73" t="s">
        <v>79</v>
      </c>
      <c r="E83" s="72"/>
      <c r="F83" s="72"/>
      <c r="G83" s="75">
        <f>SUM(G74:G82)</f>
        <v>12603.206445993032</v>
      </c>
      <c r="H83" s="75">
        <f>SUM(H74:H82)</f>
        <v>12201.265660422385</v>
      </c>
      <c r="I83" s="75">
        <f>SUM(I74:I82)</f>
        <v>0</v>
      </c>
      <c r="J83" s="75">
        <f>SUM(J74:J82)</f>
        <v>0</v>
      </c>
      <c r="K83" s="11"/>
      <c r="L83" s="11"/>
      <c r="M83" s="11"/>
      <c r="N83" s="11"/>
      <c r="O83" s="11"/>
      <c r="P83" s="11"/>
      <c r="Q83" s="11"/>
      <c r="R83" s="11"/>
      <c r="S83" s="11"/>
      <c r="T83" s="38"/>
      <c r="U83" s="53" t="e">
        <f>#REF!/$U$7</f>
        <v>#REF!</v>
      </c>
      <c r="V83" s="38"/>
    </row>
    <row r="84" spans="1:22" s="3" customFormat="1" ht="13.8">
      <c r="A84" s="2"/>
      <c r="B84" s="2"/>
      <c r="C84" s="73" t="s">
        <v>80</v>
      </c>
      <c r="D84" s="72"/>
      <c r="E84" s="240"/>
      <c r="F84" s="240"/>
      <c r="G84" s="70"/>
      <c r="H84" s="71"/>
      <c r="I84" s="71"/>
      <c r="J84" s="71"/>
      <c r="K84" s="4"/>
      <c r="L84" s="4"/>
      <c r="M84" s="4"/>
      <c r="N84" s="4"/>
      <c r="O84" s="4"/>
      <c r="P84" s="4"/>
      <c r="Q84" s="4"/>
      <c r="R84" s="4"/>
      <c r="S84" s="4"/>
      <c r="T84" s="38"/>
      <c r="U84" s="38" t="e">
        <f>#REF!/$U$7</f>
        <v>#REF!</v>
      </c>
      <c r="V84" s="38"/>
    </row>
    <row r="85" spans="1:22" s="3" customFormat="1" ht="13.8">
      <c r="A85" s="2"/>
      <c r="B85" s="2"/>
      <c r="C85" s="67">
        <v>4201</v>
      </c>
      <c r="D85" s="68" t="s">
        <v>19</v>
      </c>
      <c r="E85" s="72"/>
      <c r="F85" s="72"/>
      <c r="G85" s="70">
        <f>BS!G85/'BS USD'!$G$5</f>
        <v>2.7690891881714576E-11</v>
      </c>
      <c r="H85" s="71">
        <v>0</v>
      </c>
      <c r="I85" s="71">
        <f>BS!I85/'BS USD'!$I$5</f>
        <v>4899.5671988561899</v>
      </c>
      <c r="J85" s="71">
        <f>BS!J85/'BS USD'!$J$5</f>
        <v>4814.568868316419</v>
      </c>
      <c r="K85" s="16"/>
      <c r="L85" s="16"/>
      <c r="M85" s="16"/>
      <c r="N85" s="16"/>
      <c r="O85" s="16"/>
      <c r="P85" s="16"/>
      <c r="Q85" s="16"/>
      <c r="R85" s="16"/>
      <c r="S85" s="16"/>
      <c r="T85" s="38"/>
      <c r="U85" s="38" t="e">
        <f>#REF!/$U$7</f>
        <v>#REF!</v>
      </c>
      <c r="V85" s="38"/>
    </row>
    <row r="86" spans="1:22" s="3" customFormat="1" ht="13.8">
      <c r="A86" s="2"/>
      <c r="B86" s="2"/>
      <c r="C86" s="67">
        <v>4202</v>
      </c>
      <c r="D86" s="68" t="s">
        <v>189</v>
      </c>
      <c r="E86" s="72"/>
      <c r="F86" s="72"/>
      <c r="G86" s="70">
        <f>BS!G86/'BS USD'!$G$5</f>
        <v>98.825783972125436</v>
      </c>
      <c r="H86" s="71">
        <v>0</v>
      </c>
      <c r="I86" s="71">
        <f>BS!I86/'BS USD'!$I$5</f>
        <v>0</v>
      </c>
      <c r="J86" s="71">
        <f>BS!J86/'BS USD'!$J$5</f>
        <v>0</v>
      </c>
      <c r="K86" s="16"/>
      <c r="L86" s="16"/>
      <c r="M86" s="16"/>
      <c r="N86" s="16"/>
      <c r="O86" s="16"/>
      <c r="P86" s="16"/>
      <c r="Q86" s="16"/>
      <c r="R86" s="16"/>
      <c r="S86" s="16"/>
      <c r="T86" s="38"/>
      <c r="U86" s="38"/>
      <c r="V86" s="38"/>
    </row>
    <row r="87" spans="1:22" s="3" customFormat="1" ht="13.8">
      <c r="A87" s="2"/>
      <c r="B87" s="2"/>
      <c r="C87" s="67">
        <v>4211</v>
      </c>
      <c r="D87" s="68" t="s">
        <v>190</v>
      </c>
      <c r="E87" s="72"/>
      <c r="F87" s="72"/>
      <c r="G87" s="70">
        <f>BS!G87/'BS USD'!$G$5</f>
        <v>92377.00348432055</v>
      </c>
      <c r="H87" s="71">
        <v>0</v>
      </c>
      <c r="I87" s="71">
        <f>BS!I87/'BS USD'!$I$5</f>
        <v>0</v>
      </c>
      <c r="J87" s="71">
        <f>BS!J87/'BS USD'!$J$5</f>
        <v>0</v>
      </c>
      <c r="K87" s="16"/>
      <c r="L87" s="16"/>
      <c r="M87" s="16"/>
      <c r="N87" s="16"/>
      <c r="O87" s="16"/>
      <c r="P87" s="16"/>
      <c r="Q87" s="16"/>
      <c r="R87" s="16"/>
      <c r="S87" s="16"/>
      <c r="T87" s="38"/>
      <c r="U87" s="38"/>
      <c r="V87" s="38"/>
    </row>
    <row r="88" spans="1:22" s="3" customFormat="1" ht="13.8">
      <c r="A88" s="2"/>
      <c r="B88" s="2"/>
      <c r="C88" s="67">
        <v>4221</v>
      </c>
      <c r="D88" s="68" t="s">
        <v>20</v>
      </c>
      <c r="E88" s="72"/>
      <c r="F88" s="72"/>
      <c r="G88" s="70">
        <f>BS!G88/'BS USD'!$G$5</f>
        <v>77.63722415795587</v>
      </c>
      <c r="H88" s="71">
        <v>193.98872449588356</v>
      </c>
      <c r="I88" s="71">
        <f>BS!I88/'BS USD'!$I$5</f>
        <v>191.72316215894199</v>
      </c>
      <c r="J88" s="71">
        <f>BS!J88/'BS USD'!$J$5</f>
        <v>370.20740608865941</v>
      </c>
      <c r="K88" s="16"/>
      <c r="L88" s="16"/>
      <c r="M88" s="16"/>
      <c r="N88" s="16"/>
      <c r="O88" s="16"/>
      <c r="P88" s="16"/>
      <c r="Q88" s="16"/>
      <c r="R88" s="16"/>
      <c r="S88" s="16"/>
      <c r="T88" s="38"/>
      <c r="U88" s="38"/>
      <c r="V88" s="38"/>
    </row>
    <row r="89" spans="1:22" s="3" customFormat="1" ht="13.8">
      <c r="A89" s="2"/>
      <c r="B89" s="2"/>
      <c r="C89" s="67">
        <v>4222</v>
      </c>
      <c r="D89" s="68" t="s">
        <v>234</v>
      </c>
      <c r="E89" s="72"/>
      <c r="F89" s="72"/>
      <c r="G89" s="70">
        <f>BS!G89/'BS USD'!$G$5</f>
        <v>0</v>
      </c>
      <c r="H89" s="71">
        <v>0</v>
      </c>
      <c r="I89" s="71">
        <f>BS!I89/'BS USD'!$I$5</f>
        <v>0</v>
      </c>
      <c r="J89" s="71">
        <f>BS!J89/'BS USD'!$J$5</f>
        <v>0</v>
      </c>
      <c r="K89" s="16"/>
      <c r="L89" s="16"/>
      <c r="M89" s="16"/>
      <c r="N89" s="16"/>
      <c r="O89" s="16"/>
      <c r="P89" s="16"/>
      <c r="Q89" s="16"/>
      <c r="R89" s="16"/>
      <c r="S89" s="16"/>
      <c r="T89" s="38"/>
      <c r="U89" s="38"/>
      <c r="V89" s="38"/>
    </row>
    <row r="90" spans="1:22" s="3" customFormat="1" ht="13.8">
      <c r="A90" s="2"/>
      <c r="B90" s="2"/>
      <c r="C90" s="67">
        <v>430</v>
      </c>
      <c r="D90" s="68" t="s">
        <v>21</v>
      </c>
      <c r="E90" s="72"/>
      <c r="F90" s="72"/>
      <c r="G90" s="70">
        <f>BS!G90/'BS USD'!$G$5</f>
        <v>239.65902903600363</v>
      </c>
      <c r="H90" s="71">
        <v>635.06968142226469</v>
      </c>
      <c r="I90" s="71">
        <f>BS!I90/'BS USD'!$I$5</f>
        <v>237.53049803407598</v>
      </c>
      <c r="J90" s="71">
        <f>BS!J90/'BS USD'!$J$5</f>
        <v>234.07833363005153</v>
      </c>
      <c r="K90" s="16"/>
      <c r="L90" s="16"/>
      <c r="M90" s="16"/>
      <c r="N90" s="16"/>
      <c r="O90" s="16"/>
      <c r="P90" s="16"/>
      <c r="Q90" s="16"/>
      <c r="R90" s="16"/>
      <c r="S90" s="16"/>
      <c r="T90" s="38"/>
      <c r="U90" s="38"/>
      <c r="V90" s="38"/>
    </row>
    <row r="91" spans="1:22" s="3" customFormat="1" ht="13.8">
      <c r="A91" s="2"/>
      <c r="B91" s="2"/>
      <c r="C91" s="67">
        <v>432</v>
      </c>
      <c r="D91" s="68" t="s">
        <v>191</v>
      </c>
      <c r="E91" s="72"/>
      <c r="F91" s="72"/>
      <c r="G91" s="70">
        <f>BS!G91/'BS USD'!$G$5</f>
        <v>-1.2980105569553708E-12</v>
      </c>
      <c r="H91" s="71">
        <v>0</v>
      </c>
      <c r="I91" s="71">
        <f>BS!I91/'BS USD'!$I$5</f>
        <v>0</v>
      </c>
      <c r="J91" s="71">
        <f>BS!J91/'BS USD'!$J$5</f>
        <v>0</v>
      </c>
      <c r="K91" s="16"/>
      <c r="L91" s="16"/>
      <c r="M91" s="16"/>
      <c r="N91" s="16"/>
      <c r="O91" s="16"/>
      <c r="P91" s="16"/>
      <c r="Q91" s="16"/>
      <c r="R91" s="16"/>
      <c r="S91" s="16"/>
      <c r="T91" s="38"/>
      <c r="U91" s="38"/>
      <c r="V91" s="38"/>
    </row>
    <row r="92" spans="1:22" s="3" customFormat="1" ht="13.8">
      <c r="A92" s="2"/>
      <c r="B92" s="2"/>
      <c r="C92" s="67">
        <v>433</v>
      </c>
      <c r="D92" s="68" t="s">
        <v>22</v>
      </c>
      <c r="E92" s="72"/>
      <c r="F92" s="72"/>
      <c r="G92" s="70">
        <f>BS!G92/'BS USD'!$G$5</f>
        <v>1520.3968025551681</v>
      </c>
      <c r="H92" s="71">
        <v>10813.635054886052</v>
      </c>
      <c r="I92" s="71">
        <f>BS!I92/'BS USD'!$I$5</f>
        <v>144.99231502442512</v>
      </c>
      <c r="J92" s="71">
        <f>BS!J92/'BS USD'!$J$5</f>
        <v>3092.3580357248825</v>
      </c>
      <c r="K92" s="16"/>
      <c r="L92" s="16"/>
      <c r="M92" s="16"/>
      <c r="N92" s="16"/>
      <c r="O92" s="16"/>
      <c r="P92" s="16"/>
      <c r="Q92" s="16"/>
      <c r="R92" s="16"/>
      <c r="S92" s="16"/>
      <c r="T92" s="38"/>
      <c r="U92" s="38"/>
      <c r="V92" s="38"/>
    </row>
    <row r="93" spans="1:22" s="3" customFormat="1" ht="13.8">
      <c r="A93" s="2"/>
      <c r="B93" s="2"/>
      <c r="C93" s="67">
        <v>473.01</v>
      </c>
      <c r="D93" s="68" t="s">
        <v>235</v>
      </c>
      <c r="E93" s="72"/>
      <c r="F93" s="72"/>
      <c r="G93" s="70">
        <f>BS!G93/'BS USD'!$G$5</f>
        <v>836088.39060046477</v>
      </c>
      <c r="H93" s="71">
        <v>858933.42597184109</v>
      </c>
      <c r="I93" s="71">
        <f>BS!I93/'BS USD'!$I$5</f>
        <v>857705.35482783266</v>
      </c>
      <c r="J93" s="71">
        <f>BS!J93/'BS USD'!$J$5</f>
        <v>854396.89550412435</v>
      </c>
      <c r="K93" s="16"/>
      <c r="L93" s="16"/>
      <c r="M93" s="16"/>
      <c r="N93" s="16"/>
      <c r="O93" s="16"/>
      <c r="P93" s="16"/>
      <c r="Q93" s="16"/>
      <c r="R93" s="16"/>
      <c r="S93" s="16"/>
      <c r="T93" s="38"/>
      <c r="U93" s="38"/>
      <c r="V93" s="38"/>
    </row>
    <row r="94" spans="1:22" s="3" customFormat="1" ht="13.8">
      <c r="A94" s="2"/>
      <c r="B94" s="2"/>
      <c r="C94" s="67">
        <v>473.02</v>
      </c>
      <c r="D94" s="68" t="s">
        <v>235</v>
      </c>
      <c r="E94" s="72"/>
      <c r="F94" s="72"/>
      <c r="G94" s="70">
        <f>BS!G94/'BS USD'!$G$5</f>
        <v>438179.26829268294</v>
      </c>
      <c r="H94" s="71">
        <v>450151.95084118843</v>
      </c>
      <c r="I94" s="71">
        <f>BS!I94/'BS USD'!$I$5</f>
        <v>449508.34028356965</v>
      </c>
      <c r="J94" s="71">
        <f>BS!J94/'BS USD'!$J$5</f>
        <v>447774.43475164677</v>
      </c>
      <c r="K94" s="16"/>
      <c r="L94" s="16"/>
      <c r="M94" s="16"/>
      <c r="N94" s="16"/>
      <c r="O94" s="16"/>
      <c r="P94" s="16"/>
      <c r="Q94" s="16"/>
      <c r="R94" s="16"/>
      <c r="S94" s="16"/>
      <c r="T94" s="38"/>
      <c r="U94" s="38"/>
      <c r="V94" s="38"/>
    </row>
    <row r="95" spans="1:22" s="3" customFormat="1" ht="13.8">
      <c r="A95" s="2"/>
      <c r="B95" s="2"/>
      <c r="C95" s="67">
        <v>473.03</v>
      </c>
      <c r="D95" s="68" t="s">
        <v>193</v>
      </c>
      <c r="E95" s="72"/>
      <c r="F95" s="72"/>
      <c r="G95" s="70">
        <f>BS!G95/'BS USD'!$G$5</f>
        <v>1251742.9941724739</v>
      </c>
      <c r="H95" s="71">
        <v>1285945.2547219903</v>
      </c>
      <c r="I95" s="71">
        <f>BS!I95/'BS USD'!$I$5</f>
        <v>1284106.6579083761</v>
      </c>
      <c r="J95" s="71">
        <f>BS!J95/'BS USD'!$J$5</f>
        <v>1279153.4247017982</v>
      </c>
      <c r="K95" s="16"/>
      <c r="L95" s="16"/>
      <c r="M95" s="16"/>
      <c r="N95" s="16"/>
      <c r="O95" s="16"/>
      <c r="P95" s="16"/>
      <c r="Q95" s="16"/>
      <c r="R95" s="16"/>
      <c r="S95" s="16"/>
      <c r="T95" s="38"/>
      <c r="U95" s="38"/>
      <c r="V95" s="38"/>
    </row>
    <row r="96" spans="1:22" s="3" customFormat="1" ht="13.8">
      <c r="A96" s="2"/>
      <c r="B96" s="2"/>
      <c r="C96" s="67">
        <v>4816.01</v>
      </c>
      <c r="D96" s="68" t="s">
        <v>236</v>
      </c>
      <c r="E96" s="72"/>
      <c r="F96" s="72"/>
      <c r="G96" s="70">
        <f>BS!G96/'BS USD'!$G$5</f>
        <v>93834.121251451783</v>
      </c>
      <c r="H96" s="71">
        <v>96398.017417372626</v>
      </c>
      <c r="I96" s="71">
        <f>BS!I96/'BS USD'!$I$5</f>
        <v>96260.19110866198</v>
      </c>
      <c r="J96" s="71">
        <f>BS!J96/'BS USD'!$J$5</f>
        <v>95888.883030680678</v>
      </c>
      <c r="K96" s="16"/>
      <c r="L96" s="16"/>
      <c r="M96" s="16"/>
      <c r="N96" s="16"/>
      <c r="O96" s="16"/>
      <c r="P96" s="16"/>
      <c r="Q96" s="16"/>
      <c r="R96" s="16"/>
      <c r="S96" s="16"/>
      <c r="T96" s="38"/>
      <c r="U96" s="38"/>
      <c r="V96" s="38"/>
    </row>
    <row r="97" spans="1:23" s="3" customFormat="1" ht="13.8">
      <c r="A97" s="2"/>
      <c r="B97" s="2"/>
      <c r="C97" s="67">
        <v>4816.0200000000004</v>
      </c>
      <c r="D97" s="68" t="s">
        <v>195</v>
      </c>
      <c r="E97" s="72"/>
      <c r="F97" s="72"/>
      <c r="G97" s="70">
        <f>BS!G97/'BS USD'!$G$5</f>
        <v>5353.009831591171</v>
      </c>
      <c r="H97" s="71">
        <v>5499.2739112277768</v>
      </c>
      <c r="I97" s="71">
        <f>BS!I97/'BS USD'!$I$5</f>
        <v>5491.4112534254737</v>
      </c>
      <c r="J97" s="71">
        <f>BS!J97/'BS USD'!$J$5</f>
        <v>5470.2290249836806</v>
      </c>
      <c r="K97" s="16"/>
      <c r="L97" s="16"/>
      <c r="M97" s="16"/>
      <c r="N97" s="16"/>
      <c r="O97" s="16"/>
      <c r="P97" s="16"/>
      <c r="Q97" s="16"/>
      <c r="R97" s="16"/>
      <c r="S97" s="16"/>
      <c r="T97" s="38"/>
      <c r="U97" s="38"/>
      <c r="V97" s="38"/>
    </row>
    <row r="98" spans="1:23" s="3" customFormat="1" ht="13.8">
      <c r="A98" s="2"/>
      <c r="B98" s="2"/>
      <c r="C98" s="67">
        <v>4816.03</v>
      </c>
      <c r="D98" s="68" t="s">
        <v>237</v>
      </c>
      <c r="E98" s="72"/>
      <c r="F98" s="72"/>
      <c r="G98" s="70">
        <f>BS!G98/'BS USD'!$G$5</f>
        <v>0</v>
      </c>
      <c r="H98" s="71">
        <v>0</v>
      </c>
      <c r="I98" s="71">
        <f>BS!I98/'BS USD'!$I$5</f>
        <v>0</v>
      </c>
      <c r="J98" s="71">
        <f>BS!J98/'BS USD'!$J$5</f>
        <v>0</v>
      </c>
      <c r="K98" s="16"/>
      <c r="L98" s="16"/>
      <c r="M98" s="16"/>
      <c r="N98" s="16"/>
      <c r="O98" s="16"/>
      <c r="P98" s="16"/>
      <c r="Q98" s="16"/>
      <c r="R98" s="16"/>
      <c r="S98" s="16"/>
      <c r="T98" s="38"/>
      <c r="U98" s="38"/>
      <c r="V98" s="38"/>
    </row>
    <row r="99" spans="1:23" s="3" customFormat="1" ht="13.8">
      <c r="A99" s="2"/>
      <c r="B99" s="2"/>
      <c r="C99" s="68"/>
      <c r="D99" s="80" t="s">
        <v>81</v>
      </c>
      <c r="E99" s="74"/>
      <c r="F99" s="72"/>
      <c r="G99" s="81">
        <f>SUM(G85:G98)</f>
        <v>2719511.3064727061</v>
      </c>
      <c r="H99" s="81">
        <f>SUM(H85:H98)</f>
        <v>2708570.6163244247</v>
      </c>
      <c r="I99" s="81">
        <f>SUM(I85:I98)</f>
        <v>2698545.7685559397</v>
      </c>
      <c r="J99" s="81">
        <f>SUM(J85:J98)</f>
        <v>2691195.079656993</v>
      </c>
      <c r="K99" s="14"/>
      <c r="L99" s="14"/>
      <c r="M99" s="14"/>
      <c r="N99" s="14"/>
      <c r="O99" s="14"/>
      <c r="P99" s="14"/>
      <c r="Q99" s="14"/>
      <c r="R99" s="14"/>
      <c r="S99" s="14"/>
      <c r="T99" s="38"/>
      <c r="U99" s="38" t="e">
        <f>#REF!/$U$7</f>
        <v>#REF!</v>
      </c>
      <c r="V99" s="38"/>
    </row>
    <row r="100" spans="1:23" s="3" customFormat="1" ht="13.8">
      <c r="A100" s="2"/>
      <c r="B100" s="2"/>
      <c r="C100" s="72"/>
      <c r="D100" s="80" t="s">
        <v>82</v>
      </c>
      <c r="E100" s="74"/>
      <c r="F100" s="72"/>
      <c r="G100" s="11">
        <f>G83+G99</f>
        <v>2732114.5129186991</v>
      </c>
      <c r="H100" s="11">
        <f>H83+H99</f>
        <v>2720771.8819848471</v>
      </c>
      <c r="I100" s="11">
        <f>I83+I99</f>
        <v>2698545.7685559397</v>
      </c>
      <c r="J100" s="11">
        <f>J83+J99</f>
        <v>2691195.079656993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38"/>
      <c r="U100" s="53" t="e">
        <f>#REF!/$U$7</f>
        <v>#REF!</v>
      </c>
      <c r="V100" s="38"/>
    </row>
    <row r="101" spans="1:23" s="3" customFormat="1" ht="13.8">
      <c r="A101" s="1" t="s">
        <v>83</v>
      </c>
      <c r="B101" s="1"/>
      <c r="C101" s="73"/>
      <c r="D101" s="72"/>
      <c r="E101" s="74"/>
      <c r="F101" s="72"/>
      <c r="G101" s="70"/>
      <c r="H101" s="71"/>
      <c r="I101" s="71"/>
      <c r="J101" s="71"/>
      <c r="K101" s="4"/>
      <c r="L101" s="4"/>
      <c r="M101" s="4"/>
      <c r="N101" s="4"/>
      <c r="O101" s="4"/>
      <c r="P101" s="4"/>
      <c r="Q101" s="4"/>
      <c r="R101" s="4"/>
      <c r="S101" s="4"/>
      <c r="T101" s="38"/>
      <c r="U101" s="38" t="e">
        <f>#REF!/$U$7</f>
        <v>#REF!</v>
      </c>
      <c r="V101" s="38"/>
    </row>
    <row r="102" spans="1:23" s="3" customFormat="1" ht="13.8">
      <c r="A102" s="1"/>
      <c r="B102" s="1"/>
      <c r="C102" s="73" t="s">
        <v>53</v>
      </c>
      <c r="D102" s="68"/>
      <c r="E102" s="74"/>
      <c r="F102" s="72"/>
      <c r="G102" s="70"/>
      <c r="H102" s="71"/>
      <c r="I102" s="71"/>
      <c r="J102" s="71"/>
      <c r="K102" s="4"/>
      <c r="L102" s="4"/>
      <c r="M102" s="4"/>
      <c r="N102" s="4"/>
      <c r="O102" s="4"/>
      <c r="P102" s="4"/>
      <c r="Q102" s="4"/>
      <c r="R102" s="4"/>
      <c r="S102" s="4"/>
      <c r="T102" s="38"/>
      <c r="U102" s="38" t="e">
        <f>#REF!/$U$7</f>
        <v>#REF!</v>
      </c>
      <c r="V102" s="38"/>
    </row>
    <row r="103" spans="1:23" s="3" customFormat="1" ht="13.8">
      <c r="A103" s="2"/>
      <c r="B103" s="2"/>
      <c r="C103" s="67">
        <v>303</v>
      </c>
      <c r="D103" s="68" t="s">
        <v>17</v>
      </c>
      <c r="E103" s="74"/>
      <c r="F103" s="72"/>
      <c r="G103" s="70">
        <f>BS!G103/'BS USD'!$G$5</f>
        <v>141597.03832752613</v>
      </c>
      <c r="H103" s="71">
        <v>145465.99451139482</v>
      </c>
      <c r="I103" s="71">
        <f>BS!I103/'BS USD'!$I$5</f>
        <v>145258.01262957227</v>
      </c>
      <c r="J103" s="71">
        <f>BS!J103/'BS USD'!$J$5</f>
        <v>144697.70340039168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38"/>
      <c r="U103" s="38" t="e">
        <f>#REF!/$U$7</f>
        <v>#REF!</v>
      </c>
      <c r="V103" s="38"/>
    </row>
    <row r="104" spans="1:23" s="3" customFormat="1" ht="13.8">
      <c r="A104" s="2"/>
      <c r="B104" s="2"/>
      <c r="C104" s="67">
        <v>304</v>
      </c>
      <c r="D104" s="68" t="s">
        <v>185</v>
      </c>
      <c r="E104" s="76"/>
      <c r="F104" s="72"/>
      <c r="G104" s="70">
        <f>BS!G104/'BS USD'!$G$5</f>
        <v>128175.37369337979</v>
      </c>
      <c r="H104" s="71">
        <v>131677.60022670325</v>
      </c>
      <c r="I104" s="71">
        <f>BS!I104/'BS USD'!$I$5</f>
        <v>131489.33247944716</v>
      </c>
      <c r="J104" s="71">
        <f>BS!J104/'BS USD'!$J$5</f>
        <v>130982.13370126401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38"/>
      <c r="U104" s="38" t="e">
        <f>#REF!/$U$7</f>
        <v>#REF!</v>
      </c>
      <c r="V104" s="38"/>
    </row>
    <row r="105" spans="1:23" s="3" customFormat="1" ht="13.8">
      <c r="A105" s="2"/>
      <c r="B105" s="2"/>
      <c r="C105" s="72"/>
      <c r="D105" s="73" t="s">
        <v>84</v>
      </c>
      <c r="E105" s="76"/>
      <c r="F105" s="72"/>
      <c r="G105" s="82">
        <f>SUM(G103:G104)</f>
        <v>269772.41202090593</v>
      </c>
      <c r="H105" s="82">
        <f>SUM(H103:H104)</f>
        <v>277143.59473809809</v>
      </c>
      <c r="I105" s="82">
        <f>SUM(I103:I104)</f>
        <v>276747.34510901943</v>
      </c>
      <c r="J105" s="82">
        <f>SUM(J103:J104)</f>
        <v>275679.83710165566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8" t="e">
        <f>#REF!/$U$7</f>
        <v>#REF!</v>
      </c>
      <c r="V105" s="38"/>
    </row>
    <row r="106" spans="1:23" s="3" customFormat="1" ht="13.8">
      <c r="A106" s="238"/>
      <c r="B106" s="239"/>
      <c r="C106" s="83">
        <v>329</v>
      </c>
      <c r="D106" s="72" t="s">
        <v>18</v>
      </c>
      <c r="E106" s="74"/>
      <c r="F106" s="72"/>
      <c r="G106" s="187">
        <f>BS!G106/'BS USD'!$G$5</f>
        <v>-1146540.0150058074</v>
      </c>
      <c r="H106" s="71">
        <v>-1177867.7400310226</v>
      </c>
      <c r="I106" s="219">
        <v>-1176183.6684379841</v>
      </c>
      <c r="J106" s="219">
        <v>-1171646.7306628688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54"/>
      <c r="U106" s="54"/>
      <c r="V106" s="54"/>
      <c r="W106" s="55"/>
    </row>
    <row r="107" spans="1:23" s="3" customFormat="1" ht="13.8">
      <c r="A107" s="128"/>
      <c r="B107" s="15"/>
      <c r="C107" s="67"/>
      <c r="D107" s="72" t="s">
        <v>251</v>
      </c>
      <c r="E107" s="74"/>
      <c r="F107" s="72"/>
      <c r="G107" s="187">
        <f>BS!G107/'BS USD'!$G$5</f>
        <v>-275785.95695934963</v>
      </c>
      <c r="H107" s="141">
        <v>-283321.45202481805</v>
      </c>
      <c r="I107" s="219">
        <v>-282916.36952460383</v>
      </c>
      <c r="J107" s="219">
        <v>-281825.06550590473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54"/>
      <c r="U107" s="54"/>
      <c r="V107" s="54"/>
      <c r="W107" s="55"/>
    </row>
    <row r="108" spans="1:23" s="3" customFormat="1" ht="13.8">
      <c r="A108" s="2"/>
      <c r="B108" s="2"/>
      <c r="C108" s="67"/>
      <c r="D108" s="72" t="s">
        <v>252</v>
      </c>
      <c r="E108" s="74"/>
      <c r="F108" s="72"/>
      <c r="G108" s="140"/>
      <c r="H108" s="185">
        <v>32476.647042119075</v>
      </c>
      <c r="I108" s="224">
        <f>'PL USD'!I137</f>
        <v>11165.36759913087</v>
      </c>
      <c r="J108" s="224">
        <f>'PL USD'!J137</f>
        <v>27418.426735680634</v>
      </c>
      <c r="K108" s="145"/>
      <c r="L108" s="145"/>
      <c r="M108" s="145"/>
      <c r="N108" s="145"/>
      <c r="O108" s="145"/>
      <c r="P108" s="145"/>
      <c r="Q108" s="145"/>
      <c r="R108" s="145"/>
      <c r="S108" s="145"/>
      <c r="T108" s="54"/>
      <c r="U108" s="54"/>
      <c r="V108" s="54"/>
      <c r="W108" s="55"/>
    </row>
    <row r="109" spans="1:23" s="3" customFormat="1" ht="14.4" thickBot="1">
      <c r="A109" s="2"/>
      <c r="B109" s="2"/>
      <c r="C109" s="72"/>
      <c r="D109" s="72"/>
      <c r="E109" s="74"/>
      <c r="F109" s="72"/>
      <c r="G109" s="89">
        <f>G100+G105+G106+G107</f>
        <v>1579560.952974448</v>
      </c>
      <c r="H109" s="89">
        <f>H100+H105+H106+H107+H108</f>
        <v>1569202.9317092241</v>
      </c>
      <c r="I109" s="89">
        <f>I100+I105+I106+I107+I108</f>
        <v>1527358.4433015019</v>
      </c>
      <c r="J109" s="89">
        <f>J100+J105+J106+J107+J108</f>
        <v>1540821.5473255557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54"/>
      <c r="U109" s="56"/>
      <c r="V109" s="54"/>
      <c r="W109" s="55"/>
    </row>
    <row r="110" spans="1:23" s="3" customFormat="1" ht="14.4" thickTop="1">
      <c r="A110" s="2"/>
      <c r="B110" s="2"/>
      <c r="C110" s="72"/>
      <c r="D110" s="72"/>
      <c r="E110" s="85"/>
      <c r="F110" s="72"/>
      <c r="G110" s="72"/>
      <c r="H110" s="71"/>
      <c r="I110" s="71"/>
      <c r="J110" s="71"/>
      <c r="K110" s="4"/>
      <c r="L110" s="4"/>
      <c r="M110" s="4"/>
      <c r="N110" s="4"/>
      <c r="O110" s="4"/>
      <c r="P110" s="4"/>
      <c r="Q110" s="4"/>
      <c r="R110" s="4"/>
      <c r="S110" s="4"/>
      <c r="T110" s="54"/>
      <c r="U110" s="55"/>
      <c r="V110" s="55"/>
      <c r="W110" s="55"/>
    </row>
    <row r="111" spans="1:23" ht="13.8">
      <c r="C111" s="72"/>
      <c r="D111" s="72"/>
      <c r="E111" s="85"/>
      <c r="F111" s="72"/>
      <c r="G111" s="72"/>
      <c r="H111" s="71"/>
      <c r="I111" s="71"/>
      <c r="J111" s="71"/>
      <c r="K111" s="4"/>
      <c r="T111" s="38"/>
    </row>
    <row r="112" spans="1:23" s="3" customFormat="1" ht="13.8">
      <c r="A112" s="2"/>
      <c r="B112" s="2"/>
      <c r="C112" s="72"/>
      <c r="D112" s="72"/>
      <c r="E112" s="85"/>
      <c r="F112" s="72"/>
      <c r="G112" s="86">
        <f>G109-G69</f>
        <v>0</v>
      </c>
      <c r="H112" s="86">
        <f>H109-H69</f>
        <v>0</v>
      </c>
      <c r="I112" s="86">
        <f>I109-I69</f>
        <v>3.9049808401614428E-3</v>
      </c>
      <c r="J112" s="86">
        <f>J109-J69</f>
        <v>2.4848934262990952E-3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46">
        <f>Q69-Q109</f>
        <v>0</v>
      </c>
      <c r="R112" s="46">
        <f>R69-R109</f>
        <v>0</v>
      </c>
      <c r="S112" s="46">
        <f>S69-S109</f>
        <v>0</v>
      </c>
      <c r="T112" s="38"/>
      <c r="U112" s="46" t="e">
        <f>U69-U109</f>
        <v>#REF!</v>
      </c>
    </row>
    <row r="113" spans="1:19" ht="13.8">
      <c r="C113" s="72"/>
      <c r="D113" s="72"/>
      <c r="E113" s="85"/>
      <c r="F113" s="72"/>
      <c r="G113" s="72"/>
      <c r="H113" s="71"/>
      <c r="I113" s="85"/>
      <c r="J113" s="85"/>
    </row>
    <row r="114" spans="1:19" s="3" customFormat="1" ht="13.8">
      <c r="A114" s="2"/>
      <c r="B114" s="2"/>
      <c r="C114" s="72"/>
      <c r="D114" s="72"/>
      <c r="E114" s="85"/>
      <c r="F114" s="72"/>
      <c r="G114" s="174"/>
      <c r="H114" s="141"/>
      <c r="I114" s="85"/>
      <c r="J114" s="85"/>
      <c r="L114" s="4"/>
      <c r="M114" s="4"/>
      <c r="N114" s="4"/>
      <c r="O114" s="4"/>
      <c r="P114" s="4"/>
      <c r="Q114" s="4"/>
      <c r="R114" s="4"/>
      <c r="S114" s="4"/>
    </row>
    <row r="115" spans="1:19" s="3" customFormat="1" ht="13.8">
      <c r="A115" s="2"/>
      <c r="B115" s="2"/>
      <c r="C115" s="2"/>
      <c r="D115" s="2"/>
      <c r="F115" s="2"/>
      <c r="G115" s="174"/>
      <c r="H115" s="141"/>
      <c r="L115" s="4"/>
      <c r="M115" s="4"/>
      <c r="N115" s="4"/>
      <c r="O115" s="4"/>
      <c r="P115" s="4"/>
      <c r="Q115" s="4"/>
      <c r="R115" s="4"/>
      <c r="S115" s="4"/>
    </row>
    <row r="116" spans="1:19" s="3" customFormat="1">
      <c r="A116" s="2"/>
      <c r="B116" s="2"/>
      <c r="C116" s="2"/>
      <c r="D116" s="2"/>
      <c r="F116" s="2"/>
      <c r="G116" s="175"/>
      <c r="H116" s="55"/>
      <c r="L116" s="4"/>
      <c r="M116" s="4"/>
      <c r="N116" s="4"/>
      <c r="O116" s="4"/>
      <c r="P116" s="4"/>
      <c r="Q116" s="4"/>
      <c r="R116" s="4"/>
      <c r="S116" s="4"/>
    </row>
    <row r="117" spans="1:19" s="3" customFormat="1">
      <c r="A117" s="2"/>
      <c r="B117" s="2"/>
      <c r="C117" s="2"/>
      <c r="D117" s="2"/>
      <c r="F117" s="2"/>
      <c r="G117" s="176"/>
      <c r="H117" s="55"/>
      <c r="L117" s="4"/>
      <c r="M117" s="4"/>
      <c r="N117" s="4"/>
      <c r="O117" s="4"/>
      <c r="P117" s="4"/>
      <c r="Q117" s="4"/>
      <c r="R117" s="4"/>
      <c r="S117" s="4"/>
    </row>
    <row r="118" spans="1:19" s="3" customFormat="1">
      <c r="A118" s="2"/>
      <c r="B118" s="2"/>
      <c r="C118" s="2"/>
      <c r="D118" s="2"/>
      <c r="F118" s="2"/>
      <c r="G118" s="177"/>
      <c r="H118" s="55"/>
      <c r="L118" s="4"/>
      <c r="M118" s="4"/>
      <c r="N118" s="4"/>
      <c r="O118" s="4"/>
      <c r="P118" s="4"/>
      <c r="Q118" s="4"/>
      <c r="R118" s="4"/>
      <c r="S118" s="4"/>
    </row>
    <row r="119" spans="1:19">
      <c r="G119" s="176"/>
      <c r="H119" s="55"/>
    </row>
  </sheetData>
  <mergeCells count="7">
    <mergeCell ref="A106:B106"/>
    <mergeCell ref="E74:F74"/>
    <mergeCell ref="E76:F76"/>
    <mergeCell ref="E78:F78"/>
    <mergeCell ref="E80:F80"/>
    <mergeCell ref="E82:F82"/>
    <mergeCell ref="E84:F84"/>
  </mergeCells>
  <pageMargins left="1.1811023622047244E-2" right="1.1811023622047244E-2" top="0.11811023622047245" bottom="0.11811023622047245" header="0.11811023622047245" footer="0.11811023622047245"/>
  <pageSetup paperSize="9" scale="65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8"/>
  <sheetViews>
    <sheetView zoomScale="73" zoomScaleNormal="73" zoomScaleSheetLayoutView="90" workbookViewId="0">
      <pane xSplit="7" ySplit="4" topLeftCell="H131" activePane="bottomRight" state="frozen"/>
      <selection pane="topRight" activeCell="H1" sqref="H1"/>
      <selection pane="bottomLeft" activeCell="A5" sqref="A5"/>
      <selection pane="bottomRight" activeCell="J138" sqref="J138"/>
    </sheetView>
  </sheetViews>
  <sheetFormatPr defaultColWidth="8.6640625" defaultRowHeight="18" customHeight="1"/>
  <cols>
    <col min="1" max="1" width="5.109375" style="18" customWidth="1"/>
    <col min="2" max="2" width="1.6640625" style="18" customWidth="1"/>
    <col min="3" max="3" width="2.5546875" style="18" customWidth="1"/>
    <col min="4" max="4" width="9" style="18" customWidth="1"/>
    <col min="5" max="5" width="12.6640625" style="18" customWidth="1"/>
    <col min="6" max="6" width="50.109375" style="18" customWidth="1"/>
    <col min="7" max="7" width="5.88671875" style="18" customWidth="1"/>
    <col min="8" max="8" width="25.5546875" style="19" customWidth="1"/>
    <col min="9" max="10" width="26" style="20" customWidth="1"/>
    <col min="11" max="19" width="26" style="20" hidden="1" customWidth="1"/>
    <col min="20" max="20" width="26" style="20" customWidth="1"/>
    <col min="21" max="21" width="26" style="18" customWidth="1"/>
    <col min="22" max="16384" width="8.6640625" style="18"/>
  </cols>
  <sheetData>
    <row r="1" spans="1:21" ht="18" customHeight="1">
      <c r="A1" s="17" t="s">
        <v>239</v>
      </c>
    </row>
    <row r="2" spans="1:21" ht="18" customHeight="1">
      <c r="A2" s="17" t="s">
        <v>85</v>
      </c>
    </row>
    <row r="3" spans="1:21" ht="18" customHeight="1">
      <c r="A3" s="17" t="s">
        <v>86</v>
      </c>
      <c r="C3" s="22" t="s">
        <v>305</v>
      </c>
    </row>
    <row r="4" spans="1:21" ht="18" customHeight="1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90">
        <v>44927</v>
      </c>
      <c r="I4" s="90">
        <v>44958</v>
      </c>
      <c r="J4" s="90">
        <v>44986</v>
      </c>
      <c r="K4" s="90">
        <v>45017</v>
      </c>
      <c r="L4" s="90">
        <v>45047</v>
      </c>
      <c r="M4" s="90">
        <v>45078</v>
      </c>
      <c r="N4" s="90">
        <v>45108</v>
      </c>
      <c r="O4" s="90">
        <v>45139</v>
      </c>
      <c r="P4" s="90">
        <v>45170</v>
      </c>
      <c r="Q4" s="90">
        <v>45200</v>
      </c>
      <c r="R4" s="90">
        <v>45231</v>
      </c>
      <c r="S4" s="90">
        <v>45261</v>
      </c>
      <c r="T4" s="23" t="s">
        <v>117</v>
      </c>
      <c r="U4" s="52" t="s">
        <v>44</v>
      </c>
    </row>
    <row r="5" spans="1:21" ht="18" customHeight="1">
      <c r="A5" s="17" t="s">
        <v>87</v>
      </c>
      <c r="B5" s="17"/>
      <c r="C5" s="17"/>
      <c r="D5" s="17"/>
      <c r="U5" s="21"/>
    </row>
    <row r="6" spans="1:21" ht="18" customHeight="1">
      <c r="A6" s="17"/>
      <c r="B6" s="17"/>
      <c r="C6" s="17" t="s">
        <v>88</v>
      </c>
      <c r="D6" s="17"/>
      <c r="U6" s="21"/>
    </row>
    <row r="7" spans="1:21" ht="18" customHeight="1">
      <c r="A7" s="91"/>
      <c r="B7" s="91"/>
      <c r="C7" s="91"/>
      <c r="D7" s="91" t="s">
        <v>89</v>
      </c>
      <c r="E7" s="92"/>
      <c r="F7" s="92"/>
      <c r="G7" s="92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</row>
    <row r="8" spans="1:21" ht="18" customHeight="1">
      <c r="A8" s="92"/>
      <c r="B8" s="92"/>
      <c r="C8" s="92"/>
      <c r="D8" s="91"/>
      <c r="E8" s="96">
        <v>701.01</v>
      </c>
      <c r="F8" s="91" t="s">
        <v>240</v>
      </c>
      <c r="G8" s="92"/>
      <c r="H8" s="93">
        <v>2593490441</v>
      </c>
      <c r="I8" s="93">
        <f>VLOOKUP(E8,TBFeb23!A8:F132,6,0)</f>
        <v>40317760</v>
      </c>
      <c r="J8" s="93">
        <f>VLOOKUP(E8,TBMar23!A8:$G$122,6,0)</f>
        <v>819617888.24000001</v>
      </c>
      <c r="K8" s="93"/>
      <c r="L8" s="93"/>
      <c r="M8" s="93"/>
      <c r="N8" s="93"/>
      <c r="O8" s="93"/>
      <c r="P8" s="93"/>
      <c r="Q8" s="93"/>
      <c r="R8" s="93"/>
      <c r="S8" s="93"/>
      <c r="T8" s="93"/>
      <c r="U8" s="97">
        <f>SUM(H8:Q8)+SUM(S8+T8)</f>
        <v>3453426089.2399998</v>
      </c>
    </row>
    <row r="9" spans="1:21" ht="18" customHeight="1">
      <c r="A9" s="92"/>
      <c r="B9" s="92"/>
      <c r="C9" s="92"/>
      <c r="D9" s="91"/>
      <c r="E9" s="96"/>
      <c r="F9" s="91"/>
      <c r="G9" s="92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7"/>
    </row>
    <row r="10" spans="1:21" ht="18" customHeight="1">
      <c r="A10" s="92"/>
      <c r="B10" s="92"/>
      <c r="C10" s="92"/>
      <c r="D10" s="91" t="s">
        <v>90</v>
      </c>
      <c r="E10" s="92"/>
      <c r="F10" s="92"/>
      <c r="G10" s="92"/>
      <c r="H10" s="98">
        <v>2593490441</v>
      </c>
      <c r="I10" s="98">
        <f>SUM(I8:I9)</f>
        <v>40317760</v>
      </c>
      <c r="J10" s="98">
        <f>SUM(J8:J9)</f>
        <v>819617888.24000001</v>
      </c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184">
        <f>SUM(H10:Q10)+SUM(S10+T10)</f>
        <v>3453426089.2399998</v>
      </c>
    </row>
    <row r="11" spans="1:21" ht="18" customHeight="1">
      <c r="A11" s="92"/>
      <c r="B11" s="92"/>
      <c r="C11" s="92"/>
      <c r="D11" s="92"/>
      <c r="E11" s="92" t="s">
        <v>91</v>
      </c>
      <c r="F11" s="92"/>
      <c r="G11" s="92"/>
      <c r="H11" s="93">
        <v>0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9">
        <f>SUM(H11:L11)</f>
        <v>0</v>
      </c>
    </row>
    <row r="12" spans="1:21" ht="18" customHeight="1" thickBot="1">
      <c r="A12" s="92"/>
      <c r="B12" s="92"/>
      <c r="C12" s="91" t="s">
        <v>92</v>
      </c>
      <c r="D12" s="92"/>
      <c r="E12" s="92"/>
      <c r="F12" s="92"/>
      <c r="G12" s="92"/>
      <c r="H12" s="152">
        <v>2593490441</v>
      </c>
      <c r="I12" s="152">
        <f>I10+I11</f>
        <v>40317760</v>
      </c>
      <c r="J12" s="152">
        <f>J10+J11</f>
        <v>819617888.24000001</v>
      </c>
      <c r="K12" s="100"/>
      <c r="L12" s="100"/>
      <c r="M12" s="100"/>
      <c r="N12" s="100"/>
      <c r="O12" s="100"/>
      <c r="P12" s="100"/>
      <c r="Q12" s="100"/>
      <c r="R12" s="100"/>
      <c r="S12" s="100"/>
      <c r="T12" s="152"/>
      <c r="U12" s="101">
        <f>SUM(H12:Q12)+SUM(S12+T12)</f>
        <v>3453426089.2399998</v>
      </c>
    </row>
    <row r="13" spans="1:21" ht="18" customHeight="1" thickTop="1">
      <c r="A13" s="92"/>
      <c r="B13" s="92"/>
      <c r="C13" s="91" t="s">
        <v>93</v>
      </c>
      <c r="D13" s="92"/>
      <c r="E13" s="92"/>
      <c r="F13" s="92"/>
      <c r="G13" s="92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9">
        <f>SUM(H13:L13)</f>
        <v>0</v>
      </c>
    </row>
    <row r="14" spans="1:21" ht="18" customHeight="1">
      <c r="A14" s="92"/>
      <c r="B14" s="92"/>
      <c r="C14" s="92"/>
      <c r="D14" s="92"/>
      <c r="E14" s="102">
        <v>1311</v>
      </c>
      <c r="F14" s="103" t="s">
        <v>223</v>
      </c>
      <c r="G14" s="104"/>
      <c r="H14" s="93">
        <v>0</v>
      </c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93"/>
      <c r="T14" s="93"/>
      <c r="U14" s="97">
        <f t="shared" ref="U14:U48" si="0">SUM(H14:Q14)+SUM(S14+T14)</f>
        <v>0</v>
      </c>
    </row>
    <row r="15" spans="1:21" ht="18" customHeight="1">
      <c r="A15" s="92"/>
      <c r="B15" s="92"/>
      <c r="C15" s="92"/>
      <c r="D15" s="92"/>
      <c r="E15" s="102">
        <v>1311.02</v>
      </c>
      <c r="F15" s="103" t="s">
        <v>3</v>
      </c>
      <c r="G15" s="104"/>
      <c r="H15" s="93">
        <v>17026556</v>
      </c>
      <c r="I15" s="93">
        <v>18176174.16</v>
      </c>
      <c r="J15" s="93">
        <v>17637745.789999999</v>
      </c>
      <c r="K15" s="105"/>
      <c r="L15" s="105"/>
      <c r="M15" s="105"/>
      <c r="N15" s="105"/>
      <c r="O15" s="105"/>
      <c r="P15" s="105"/>
      <c r="Q15" s="105"/>
      <c r="R15" s="105"/>
      <c r="S15" s="93"/>
      <c r="T15" s="93"/>
      <c r="U15" s="97">
        <f t="shared" si="0"/>
        <v>52840475.949999996</v>
      </c>
    </row>
    <row r="16" spans="1:21" ht="18" customHeight="1">
      <c r="A16" s="92"/>
      <c r="B16" s="92"/>
      <c r="C16" s="92"/>
      <c r="D16" s="92"/>
      <c r="E16" s="102">
        <v>1311.03</v>
      </c>
      <c r="F16" s="103" t="s">
        <v>4</v>
      </c>
      <c r="G16" s="104"/>
      <c r="H16" s="93">
        <v>36789834</v>
      </c>
      <c r="I16" s="93">
        <v>8202896.1900000013</v>
      </c>
      <c r="J16" s="93">
        <v>2926238.4600000009</v>
      </c>
      <c r="K16" s="105"/>
      <c r="L16" s="105"/>
      <c r="M16" s="105"/>
      <c r="N16" s="105"/>
      <c r="O16" s="105"/>
      <c r="P16" s="105"/>
      <c r="Q16" s="105"/>
      <c r="R16" s="105"/>
      <c r="S16" s="93"/>
      <c r="T16" s="93"/>
      <c r="U16" s="97">
        <f t="shared" si="0"/>
        <v>47918968.649999999</v>
      </c>
    </row>
    <row r="17" spans="1:21" ht="18" customHeight="1">
      <c r="A17" s="92"/>
      <c r="B17" s="92"/>
      <c r="C17" s="92"/>
      <c r="D17" s="92"/>
      <c r="E17" s="102">
        <v>1311.04</v>
      </c>
      <c r="F17" s="103" t="s">
        <v>241</v>
      </c>
      <c r="G17" s="104"/>
      <c r="H17" s="93">
        <v>25511849</v>
      </c>
      <c r="I17" s="93">
        <v>24845559.66</v>
      </c>
      <c r="J17" s="93">
        <v>23086682.23</v>
      </c>
      <c r="K17" s="105"/>
      <c r="L17" s="105"/>
      <c r="M17" s="105"/>
      <c r="N17" s="105"/>
      <c r="O17" s="105"/>
      <c r="P17" s="105"/>
      <c r="Q17" s="105"/>
      <c r="R17" s="105"/>
      <c r="S17" s="93"/>
      <c r="T17" s="93"/>
      <c r="U17" s="97">
        <f t="shared" si="0"/>
        <v>73444090.890000001</v>
      </c>
    </row>
    <row r="18" spans="1:21" ht="18" customHeight="1">
      <c r="A18" s="92"/>
      <c r="B18" s="92"/>
      <c r="C18" s="92"/>
      <c r="D18" s="92"/>
      <c r="E18" s="102">
        <v>1311.05</v>
      </c>
      <c r="F18" s="103" t="s">
        <v>6</v>
      </c>
      <c r="G18" s="104"/>
      <c r="H18" s="93">
        <v>10353370</v>
      </c>
      <c r="I18" s="93">
        <v>8209482.1100000003</v>
      </c>
      <c r="J18" s="93">
        <v>8209482.1100000003</v>
      </c>
      <c r="K18" s="105"/>
      <c r="L18" s="105"/>
      <c r="M18" s="105"/>
      <c r="N18" s="105"/>
      <c r="O18" s="105"/>
      <c r="P18" s="105"/>
      <c r="Q18" s="105"/>
      <c r="R18" s="105"/>
      <c r="S18" s="93"/>
      <c r="T18" s="93"/>
      <c r="U18" s="97">
        <f t="shared" si="0"/>
        <v>26772334.219999999</v>
      </c>
    </row>
    <row r="19" spans="1:21" ht="18" customHeight="1">
      <c r="A19" s="92"/>
      <c r="B19" s="92"/>
      <c r="C19" s="92"/>
      <c r="D19" s="92"/>
      <c r="E19" s="102">
        <v>1311.06</v>
      </c>
      <c r="F19" s="103" t="s">
        <v>224</v>
      </c>
      <c r="G19" s="104"/>
      <c r="H19" s="93">
        <v>6783495</v>
      </c>
      <c r="I19" s="93">
        <v>6553419.8799999999</v>
      </c>
      <c r="J19" s="93">
        <v>6553419.8799999999</v>
      </c>
      <c r="K19" s="105"/>
      <c r="L19" s="105"/>
      <c r="M19" s="105"/>
      <c r="N19" s="105"/>
      <c r="O19" s="105"/>
      <c r="P19" s="105"/>
      <c r="Q19" s="105"/>
      <c r="R19" s="105"/>
      <c r="S19" s="93"/>
      <c r="T19" s="93"/>
      <c r="U19" s="97">
        <f t="shared" si="0"/>
        <v>19890334.759999998</v>
      </c>
    </row>
    <row r="20" spans="1:21" ht="18" customHeight="1">
      <c r="A20" s="92"/>
      <c r="B20" s="92"/>
      <c r="C20" s="92"/>
      <c r="D20" s="92"/>
      <c r="E20" s="102">
        <v>1311.07</v>
      </c>
      <c r="F20" s="103" t="s">
        <v>62</v>
      </c>
      <c r="G20" s="92"/>
      <c r="H20" s="93">
        <v>23897333</v>
      </c>
      <c r="I20" s="93">
        <v>23791355.809999999</v>
      </c>
      <c r="J20" s="93">
        <v>23530024.259999998</v>
      </c>
      <c r="K20" s="105"/>
      <c r="L20" s="105"/>
      <c r="M20" s="105"/>
      <c r="N20" s="105"/>
      <c r="O20" s="105"/>
      <c r="P20" s="105"/>
      <c r="Q20" s="105"/>
      <c r="R20" s="105"/>
      <c r="S20" s="93"/>
      <c r="T20" s="93"/>
      <c r="U20" s="97">
        <f t="shared" si="0"/>
        <v>71218713.069999993</v>
      </c>
    </row>
    <row r="21" spans="1:21" ht="18" customHeight="1">
      <c r="A21" s="92"/>
      <c r="B21" s="92"/>
      <c r="C21" s="92"/>
      <c r="D21" s="92"/>
      <c r="E21" s="102">
        <v>1311.08</v>
      </c>
      <c r="F21" s="91" t="s">
        <v>8</v>
      </c>
      <c r="G21" s="92"/>
      <c r="H21" s="93">
        <v>5690419</v>
      </c>
      <c r="I21" s="93">
        <v>5690419</v>
      </c>
      <c r="J21" s="93">
        <v>5690419</v>
      </c>
      <c r="K21" s="105"/>
      <c r="L21" s="105"/>
      <c r="M21" s="105"/>
      <c r="N21" s="105"/>
      <c r="O21" s="105"/>
      <c r="P21" s="105"/>
      <c r="Q21" s="105"/>
      <c r="R21" s="105"/>
      <c r="S21" s="93"/>
      <c r="T21" s="93"/>
      <c r="U21" s="97">
        <f t="shared" si="0"/>
        <v>17071257</v>
      </c>
    </row>
    <row r="22" spans="1:21" ht="18" customHeight="1" thickBot="1">
      <c r="A22" s="92"/>
      <c r="B22" s="92"/>
      <c r="C22" s="92"/>
      <c r="D22" s="92"/>
      <c r="E22" s="102"/>
      <c r="F22" s="103" t="s">
        <v>94</v>
      </c>
      <c r="G22" s="104"/>
      <c r="H22" s="106">
        <v>126052856</v>
      </c>
      <c r="I22" s="106">
        <f>SUM(I15:I21)</f>
        <v>95469306.810000002</v>
      </c>
      <c r="J22" s="106">
        <f>SUM(J15:J21)</f>
        <v>87634011.730000004</v>
      </c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223">
        <f t="shared" si="0"/>
        <v>309156174.54000002</v>
      </c>
    </row>
    <row r="23" spans="1:21" ht="18" customHeight="1" thickTop="1">
      <c r="A23" s="92"/>
      <c r="B23" s="92"/>
      <c r="C23" s="92"/>
      <c r="D23" s="107">
        <v>1</v>
      </c>
      <c r="E23" s="102">
        <v>1311</v>
      </c>
      <c r="F23" s="92" t="s">
        <v>223</v>
      </c>
      <c r="G23" s="92"/>
      <c r="H23" s="93">
        <v>0</v>
      </c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7">
        <f t="shared" si="0"/>
        <v>0</v>
      </c>
    </row>
    <row r="24" spans="1:21" ht="18" customHeight="1">
      <c r="A24" s="92"/>
      <c r="B24" s="92"/>
      <c r="C24" s="92"/>
      <c r="D24" s="107">
        <v>2</v>
      </c>
      <c r="E24" s="102">
        <v>1311.02</v>
      </c>
      <c r="F24" s="92" t="s">
        <v>3</v>
      </c>
      <c r="G24" s="92"/>
      <c r="H24" s="93">
        <v>2310000</v>
      </c>
      <c r="I24" s="93">
        <f>VLOOKUP(E24,TBFeb23!A24:E148,5,0)</f>
        <v>0</v>
      </c>
      <c r="J24" s="93">
        <f>VLOOKUP(E24,TBMar23!A25:$F$122,5,0)</f>
        <v>9240000</v>
      </c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7">
        <f t="shared" si="0"/>
        <v>11550000</v>
      </c>
    </row>
    <row r="25" spans="1:21" ht="18" customHeight="1">
      <c r="A25" s="92"/>
      <c r="B25" s="92"/>
      <c r="C25" s="92"/>
      <c r="D25" s="107">
        <v>3</v>
      </c>
      <c r="E25" s="102">
        <v>1311.03</v>
      </c>
      <c r="F25" s="92" t="s">
        <v>4</v>
      </c>
      <c r="G25" s="92"/>
      <c r="H25" s="93">
        <v>0</v>
      </c>
      <c r="I25" s="93">
        <f>VLOOKUP(E25,TBFeb23!A26:E149,5,0)</f>
        <v>0</v>
      </c>
      <c r="J25" s="93">
        <f>VLOOKUP(E25,TBMar23!A26:$F$122,5,0)</f>
        <v>67875932</v>
      </c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7">
        <f t="shared" si="0"/>
        <v>67875932</v>
      </c>
    </row>
    <row r="26" spans="1:21" ht="18" customHeight="1">
      <c r="A26" s="92"/>
      <c r="B26" s="92"/>
      <c r="C26" s="92"/>
      <c r="D26" s="107">
        <v>4</v>
      </c>
      <c r="E26" s="102">
        <v>1311.04</v>
      </c>
      <c r="F26" s="92" t="s">
        <v>5</v>
      </c>
      <c r="G26" s="92"/>
      <c r="H26" s="93">
        <v>0</v>
      </c>
      <c r="I26" s="93">
        <f>VLOOKUP(E26,TBFeb23!A27:E150,5,0)</f>
        <v>0</v>
      </c>
      <c r="J26" s="93">
        <f>VLOOKUP(E26,TBMar23!A27:$F$122,5,0)</f>
        <v>20583750</v>
      </c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7">
        <f t="shared" si="0"/>
        <v>20583750</v>
      </c>
    </row>
    <row r="27" spans="1:21" ht="18" customHeight="1">
      <c r="A27" s="92"/>
      <c r="B27" s="92"/>
      <c r="C27" s="92"/>
      <c r="D27" s="107">
        <v>5</v>
      </c>
      <c r="E27" s="102">
        <v>1311.05</v>
      </c>
      <c r="F27" s="92" t="s">
        <v>6</v>
      </c>
      <c r="G27" s="92"/>
      <c r="H27" s="93">
        <v>0</v>
      </c>
      <c r="I27" s="93">
        <f>VLOOKUP(E27,TBFeb23!A28:E151,5,0)</f>
        <v>0</v>
      </c>
      <c r="J27" s="93">
        <f>VLOOKUP(E27,TBMar23!A28:$F$122,5,0)</f>
        <v>0</v>
      </c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7">
        <f t="shared" si="0"/>
        <v>0</v>
      </c>
    </row>
    <row r="28" spans="1:21" ht="18" customHeight="1">
      <c r="A28" s="92"/>
      <c r="B28" s="92"/>
      <c r="C28" s="92"/>
      <c r="D28" s="107">
        <v>6</v>
      </c>
      <c r="E28" s="102">
        <v>1311.06</v>
      </c>
      <c r="F28" s="92" t="s">
        <v>7</v>
      </c>
      <c r="G28" s="92"/>
      <c r="H28" s="93">
        <v>0</v>
      </c>
      <c r="I28" s="93">
        <f>VLOOKUP(E28,TBFeb23!A29:E152,5,0)</f>
        <v>0</v>
      </c>
      <c r="J28" s="93">
        <f>VLOOKUP(E28,TBMar23!A29:$F$122,5,0)</f>
        <v>4258500</v>
      </c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7">
        <f t="shared" si="0"/>
        <v>4258500</v>
      </c>
    </row>
    <row r="29" spans="1:21" ht="18" customHeight="1">
      <c r="A29" s="92"/>
      <c r="B29" s="92"/>
      <c r="C29" s="92"/>
      <c r="D29" s="107">
        <v>7</v>
      </c>
      <c r="E29" s="102">
        <v>1311.07</v>
      </c>
      <c r="F29" s="92" t="s">
        <v>62</v>
      </c>
      <c r="G29" s="92"/>
      <c r="H29" s="93">
        <v>0</v>
      </c>
      <c r="I29" s="93">
        <f>VLOOKUP(E29,TBFeb23!A30:E153,5,0)</f>
        <v>0</v>
      </c>
      <c r="J29" s="93">
        <f>VLOOKUP(E29,TBMar23!A30:$F$122,5,0)</f>
        <v>0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7">
        <f t="shared" si="0"/>
        <v>0</v>
      </c>
    </row>
    <row r="30" spans="1:21" ht="18" customHeight="1">
      <c r="A30" s="92"/>
      <c r="B30" s="92"/>
      <c r="C30" s="92"/>
      <c r="D30" s="107">
        <v>8</v>
      </c>
      <c r="E30" s="102">
        <v>1311.08</v>
      </c>
      <c r="F30" s="92" t="s">
        <v>8</v>
      </c>
      <c r="G30" s="92"/>
      <c r="H30" s="93">
        <v>0</v>
      </c>
      <c r="I30" s="93">
        <f>VLOOKUP(E30,TBFeb23!A31:E154,5,0)</f>
        <v>0</v>
      </c>
      <c r="J30" s="93">
        <f>VLOOKUP(E30,TBMar23!A31:$F$122,5,0)</f>
        <v>0</v>
      </c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7">
        <f t="shared" si="0"/>
        <v>0</v>
      </c>
    </row>
    <row r="31" spans="1:21" ht="18" customHeight="1" thickBot="1">
      <c r="A31" s="92"/>
      <c r="B31" s="92"/>
      <c r="C31" s="92"/>
      <c r="D31" s="107"/>
      <c r="E31" s="102"/>
      <c r="F31" s="91" t="s">
        <v>95</v>
      </c>
      <c r="G31" s="104"/>
      <c r="H31" s="106">
        <v>2310000</v>
      </c>
      <c r="I31" s="106">
        <f>SUM(I24:I30)</f>
        <v>0</v>
      </c>
      <c r="J31" s="106">
        <f>SUM(J24:J30)</f>
        <v>101958182</v>
      </c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223">
        <f t="shared" si="0"/>
        <v>104268182</v>
      </c>
    </row>
    <row r="32" spans="1:21" ht="18" customHeight="1" thickTop="1">
      <c r="A32" s="92"/>
      <c r="B32" s="92"/>
      <c r="C32" s="92"/>
      <c r="D32" s="107">
        <v>9</v>
      </c>
      <c r="E32" s="102">
        <v>1311</v>
      </c>
      <c r="F32" s="92" t="s">
        <v>223</v>
      </c>
      <c r="G32" s="92"/>
      <c r="H32" s="93">
        <v>0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7">
        <f t="shared" si="0"/>
        <v>0</v>
      </c>
    </row>
    <row r="33" spans="1:21" ht="18" customHeight="1">
      <c r="A33" s="92"/>
      <c r="B33" s="92"/>
      <c r="C33" s="92"/>
      <c r="D33" s="107">
        <v>10</v>
      </c>
      <c r="E33" s="102">
        <v>1311.02</v>
      </c>
      <c r="F33" s="92" t="s">
        <v>3</v>
      </c>
      <c r="G33" s="92"/>
      <c r="H33" s="93">
        <v>18176174.16</v>
      </c>
      <c r="I33" s="93">
        <f>VLOOKUP(E33,TBFeb23!A8:G132,7,0)</f>
        <v>17637745.789999999</v>
      </c>
      <c r="J33" s="93">
        <f>VLOOKUP(E33,TBMar23!A25:$G$122,7,0)</f>
        <v>19550059.280000001</v>
      </c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7">
        <f t="shared" si="0"/>
        <v>55363979.230000004</v>
      </c>
    </row>
    <row r="34" spans="1:21" ht="18" customHeight="1">
      <c r="A34" s="92"/>
      <c r="B34" s="92"/>
      <c r="C34" s="92"/>
      <c r="D34" s="107">
        <v>11</v>
      </c>
      <c r="E34" s="102">
        <v>1311.03</v>
      </c>
      <c r="F34" s="92" t="s">
        <v>4</v>
      </c>
      <c r="G34" s="92"/>
      <c r="H34" s="93">
        <v>8202896.1900000013</v>
      </c>
      <c r="I34" s="93">
        <f>VLOOKUP(E34,TBFeb23!A9:G133,7,0)</f>
        <v>2926238.4600000009</v>
      </c>
      <c r="J34" s="93">
        <f>VLOOKUP(E34,TBMar23!A26:$G$122,7,0)</f>
        <v>23306345.88000001</v>
      </c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7">
        <f t="shared" si="0"/>
        <v>34435480.530000016</v>
      </c>
    </row>
    <row r="35" spans="1:21" ht="18" customHeight="1">
      <c r="A35" s="92"/>
      <c r="B35" s="92"/>
      <c r="C35" s="92"/>
      <c r="D35" s="107">
        <v>12</v>
      </c>
      <c r="E35" s="102">
        <v>1311.04</v>
      </c>
      <c r="F35" s="92" t="s">
        <v>241</v>
      </c>
      <c r="G35" s="92"/>
      <c r="H35" s="93">
        <v>24845559.66</v>
      </c>
      <c r="I35" s="93">
        <f>VLOOKUP(E35,TBFeb23!A10:G134,7,0)</f>
        <v>23086682.23</v>
      </c>
      <c r="J35" s="93">
        <f>VLOOKUP(E35,TBMar23!A27:$G$122,7,0)</f>
        <v>17682728.230000004</v>
      </c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7">
        <f t="shared" si="0"/>
        <v>65614970.120000005</v>
      </c>
    </row>
    <row r="36" spans="1:21" ht="18" customHeight="1">
      <c r="A36" s="92"/>
      <c r="B36" s="92"/>
      <c r="C36" s="92"/>
      <c r="D36" s="107">
        <v>13</v>
      </c>
      <c r="E36" s="102">
        <v>1311.05</v>
      </c>
      <c r="F36" s="92" t="s">
        <v>6</v>
      </c>
      <c r="G36" s="92"/>
      <c r="H36" s="93">
        <v>8209482.1100000003</v>
      </c>
      <c r="I36" s="93">
        <f>VLOOKUP(E36,TBFeb23!A11:G135,7,0)</f>
        <v>8209482.1100000003</v>
      </c>
      <c r="J36" s="93">
        <f>VLOOKUP(E36,TBMar23!A28:$G$122,7,0)</f>
        <v>8209482.1100000003</v>
      </c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7">
        <f t="shared" si="0"/>
        <v>24628446.330000002</v>
      </c>
    </row>
    <row r="37" spans="1:21" ht="18" customHeight="1">
      <c r="A37" s="92"/>
      <c r="B37" s="92"/>
      <c r="C37" s="92"/>
      <c r="D37" s="107">
        <v>14</v>
      </c>
      <c r="E37" s="102">
        <v>1311.06</v>
      </c>
      <c r="F37" s="92" t="s">
        <v>224</v>
      </c>
      <c r="G37" s="92"/>
      <c r="H37" s="93">
        <v>6553419.8799999999</v>
      </c>
      <c r="I37" s="93">
        <f>VLOOKUP(E37,TBFeb23!A12:G136,7,0)</f>
        <v>6553419.8799999999</v>
      </c>
      <c r="J37" s="93">
        <f>VLOOKUP(E37,TBMar23!A29:$G$122,7,0)</f>
        <v>8441600.5299999993</v>
      </c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7">
        <f t="shared" si="0"/>
        <v>21548440.289999999</v>
      </c>
    </row>
    <row r="38" spans="1:21" ht="18" customHeight="1">
      <c r="A38" s="92"/>
      <c r="B38" s="92"/>
      <c r="C38" s="92"/>
      <c r="D38" s="107">
        <v>15</v>
      </c>
      <c r="E38" s="102">
        <v>1311.07</v>
      </c>
      <c r="F38" s="92" t="s">
        <v>62</v>
      </c>
      <c r="G38" s="92"/>
      <c r="H38" s="93">
        <v>23791355.809999999</v>
      </c>
      <c r="I38" s="93">
        <f>VLOOKUP(E38,TBFeb23!A13:G137,7,0)</f>
        <v>23530024.259999998</v>
      </c>
      <c r="J38" s="93">
        <f>VLOOKUP(E38,TBMar23!A30:$G$122,7,0)</f>
        <v>23471937.620000001</v>
      </c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7">
        <f t="shared" si="0"/>
        <v>70793317.689999998</v>
      </c>
    </row>
    <row r="39" spans="1:21" ht="18" customHeight="1">
      <c r="A39" s="92"/>
      <c r="B39" s="92"/>
      <c r="C39" s="92"/>
      <c r="D39" s="107">
        <v>16</v>
      </c>
      <c r="E39" s="102">
        <v>1311.08</v>
      </c>
      <c r="F39" s="92" t="s">
        <v>8</v>
      </c>
      <c r="G39" s="92"/>
      <c r="H39" s="93">
        <v>5690419</v>
      </c>
      <c r="I39" s="93">
        <f>VLOOKUP(E39,TBFeb23!A14:G138,7,0)</f>
        <v>5690419</v>
      </c>
      <c r="J39" s="93">
        <f>VLOOKUP(E39,TBMar23!A31:$G$122,7,0)</f>
        <v>5690419</v>
      </c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7">
        <f t="shared" si="0"/>
        <v>17071257</v>
      </c>
    </row>
    <row r="40" spans="1:21" ht="18" customHeight="1" thickBot="1">
      <c r="A40" s="92"/>
      <c r="B40" s="92"/>
      <c r="C40" s="92"/>
      <c r="D40" s="92"/>
      <c r="E40" s="102"/>
      <c r="F40" s="158" t="s">
        <v>247</v>
      </c>
      <c r="G40" s="165"/>
      <c r="H40" s="155">
        <v>95469306.810000002</v>
      </c>
      <c r="I40" s="155">
        <f>SUM(I33:I39)</f>
        <v>87634011.730000004</v>
      </c>
      <c r="J40" s="155">
        <f>SUM(J33:J39)</f>
        <v>106352572.65000002</v>
      </c>
      <c r="K40" s="106"/>
      <c r="L40" s="106"/>
      <c r="M40" s="106"/>
      <c r="N40" s="106"/>
      <c r="O40" s="106"/>
      <c r="P40" s="106"/>
      <c r="Q40" s="106"/>
      <c r="R40" s="106"/>
      <c r="S40" s="106"/>
      <c r="T40" s="155"/>
      <c r="U40" s="101">
        <f t="shared" si="0"/>
        <v>289455891.19000006</v>
      </c>
    </row>
    <row r="41" spans="1:21" ht="18" customHeight="1" thickTop="1">
      <c r="A41" s="92"/>
      <c r="B41" s="92"/>
      <c r="C41" s="92"/>
      <c r="D41" s="92"/>
      <c r="E41" s="102">
        <v>1311.02</v>
      </c>
      <c r="F41" s="164" t="s">
        <v>3</v>
      </c>
      <c r="G41" s="166"/>
      <c r="H41" s="93">
        <v>1160381.8400000001</v>
      </c>
      <c r="I41" s="93">
        <f>VLOOKUP(E41,TBFeb23!A16:F140,6,0)</f>
        <v>538428.37</v>
      </c>
      <c r="J41" s="93">
        <f>VLOOKUP(E41,TBMar23!A25:$F$122,6,0)</f>
        <v>7327686.5099999998</v>
      </c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97">
        <f t="shared" si="0"/>
        <v>9026496.7199999988</v>
      </c>
    </row>
    <row r="42" spans="1:21" ht="18" customHeight="1">
      <c r="A42" s="92"/>
      <c r="B42" s="92"/>
      <c r="C42" s="92"/>
      <c r="D42" s="92"/>
      <c r="E42" s="102">
        <v>1311.03</v>
      </c>
      <c r="F42" s="164" t="s">
        <v>4</v>
      </c>
      <c r="G42" s="166"/>
      <c r="H42" s="93">
        <v>28586937.809999999</v>
      </c>
      <c r="I42" s="93">
        <f>VLOOKUP(E42,TBFeb23!A17:F141,6,0)</f>
        <v>5276657.7300000004</v>
      </c>
      <c r="J42" s="93">
        <f>VLOOKUP(E42,TBMar23!A26:$F$122,6,0)</f>
        <v>47495824.579999998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97">
        <f t="shared" si="0"/>
        <v>81359420.120000005</v>
      </c>
    </row>
    <row r="43" spans="1:21" ht="18" customHeight="1">
      <c r="A43" s="92"/>
      <c r="B43" s="92"/>
      <c r="C43" s="92"/>
      <c r="D43" s="92"/>
      <c r="E43" s="102">
        <v>1311.04</v>
      </c>
      <c r="F43" s="164" t="s">
        <v>241</v>
      </c>
      <c r="G43" s="166"/>
      <c r="H43" s="93">
        <v>666289.34</v>
      </c>
      <c r="I43" s="93">
        <f>VLOOKUP(E43,TBFeb23!A18:F142,6,0)</f>
        <v>1758877.43</v>
      </c>
      <c r="J43" s="93">
        <f>VLOOKUP(E43,TBMar23!A27:$F$122,6,0)</f>
        <v>25987704</v>
      </c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97">
        <f t="shared" si="0"/>
        <v>28412870.77</v>
      </c>
    </row>
    <row r="44" spans="1:21" ht="18" customHeight="1">
      <c r="A44" s="92"/>
      <c r="B44" s="92"/>
      <c r="C44" s="92"/>
      <c r="D44" s="92"/>
      <c r="E44" s="102">
        <v>1311.05</v>
      </c>
      <c r="F44" s="164" t="s">
        <v>6</v>
      </c>
      <c r="G44" s="166"/>
      <c r="H44" s="93">
        <v>2143887.89</v>
      </c>
      <c r="I44" s="93">
        <f>VLOOKUP(E44,TBFeb23!A19:F143,6,0)</f>
        <v>0</v>
      </c>
      <c r="J44" s="93">
        <f>VLOOKUP(E44,TBMar23!A28:$F$122,6,0)</f>
        <v>0</v>
      </c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97">
        <f t="shared" si="0"/>
        <v>2143887.89</v>
      </c>
    </row>
    <row r="45" spans="1:21" ht="18" customHeight="1">
      <c r="A45" s="92"/>
      <c r="B45" s="92"/>
      <c r="C45" s="92"/>
      <c r="D45" s="92"/>
      <c r="E45" s="102">
        <v>1311.06</v>
      </c>
      <c r="F45" s="164" t="s">
        <v>224</v>
      </c>
      <c r="G45" s="166"/>
      <c r="H45" s="93">
        <v>230075.12</v>
      </c>
      <c r="I45" s="93">
        <f>VLOOKUP(E45,TBFeb23!A20:F144,6,0)</f>
        <v>0</v>
      </c>
      <c r="J45" s="93">
        <f>VLOOKUP(E45,TBMar23!A29:$F$122,6,0)</f>
        <v>2370319.35</v>
      </c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97">
        <f t="shared" si="0"/>
        <v>2600394.4700000002</v>
      </c>
    </row>
    <row r="46" spans="1:21" ht="18" customHeight="1">
      <c r="A46" s="92"/>
      <c r="B46" s="92"/>
      <c r="C46" s="92"/>
      <c r="D46" s="92"/>
      <c r="E46" s="102">
        <v>1311.07</v>
      </c>
      <c r="F46" s="164" t="s">
        <v>62</v>
      </c>
      <c r="G46" s="166"/>
      <c r="H46" s="93">
        <v>105977.19</v>
      </c>
      <c r="I46" s="93">
        <f>VLOOKUP(E46,TBFeb23!A21:F145,6,0)</f>
        <v>261331.55</v>
      </c>
      <c r="J46" s="93">
        <f>VLOOKUP(E46,TBMar23!A30:$F$122,6,0)</f>
        <v>58086.64</v>
      </c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97">
        <f t="shared" si="0"/>
        <v>425395.38</v>
      </c>
    </row>
    <row r="47" spans="1:21" ht="18" customHeight="1">
      <c r="A47" s="92"/>
      <c r="B47" s="92"/>
      <c r="C47" s="92"/>
      <c r="D47" s="92"/>
      <c r="E47" s="102">
        <v>1311.08</v>
      </c>
      <c r="F47" s="91" t="s">
        <v>8</v>
      </c>
      <c r="G47" s="166"/>
      <c r="H47" s="93">
        <v>0</v>
      </c>
      <c r="I47" s="93">
        <f>VLOOKUP(E47,TBFeb23!A22:F146,6,0)</f>
        <v>0</v>
      </c>
      <c r="J47" s="93">
        <f>VLOOKUP(E47,TBMar23!A31:$F$122,6,0)</f>
        <v>0</v>
      </c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97">
        <f t="shared" si="0"/>
        <v>0</v>
      </c>
    </row>
    <row r="48" spans="1:21" ht="18" customHeight="1" thickBot="1">
      <c r="A48" s="92"/>
      <c r="B48" s="92"/>
      <c r="C48" s="92"/>
      <c r="D48" s="92"/>
      <c r="E48" s="102"/>
      <c r="F48" s="91" t="s">
        <v>96</v>
      </c>
      <c r="G48" s="104"/>
      <c r="H48" s="27">
        <v>32893549.190000001</v>
      </c>
      <c r="I48" s="216">
        <f>SUM(I41:I47)</f>
        <v>7835295.0800000001</v>
      </c>
      <c r="J48" s="216">
        <f>SUM(J41:J47)</f>
        <v>83239621.079999998</v>
      </c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1">
        <f t="shared" si="0"/>
        <v>123968465.34999999</v>
      </c>
    </row>
    <row r="49" spans="1:21" ht="18" customHeight="1" thickTop="1">
      <c r="A49" s="92"/>
      <c r="B49" s="92"/>
      <c r="C49" s="92"/>
      <c r="D49" s="92"/>
      <c r="E49" s="102">
        <v>663.00009999999997</v>
      </c>
      <c r="F49" s="109" t="s">
        <v>113</v>
      </c>
      <c r="G49" s="104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99">
        <f>SUM(H49:T49)</f>
        <v>0</v>
      </c>
    </row>
    <row r="50" spans="1:21" ht="18" customHeight="1" thickBot="1">
      <c r="A50" s="92"/>
      <c r="B50" s="92"/>
      <c r="C50" s="92"/>
      <c r="D50" s="92"/>
      <c r="E50" s="102"/>
      <c r="F50" s="91" t="s">
        <v>97</v>
      </c>
      <c r="G50" s="92"/>
      <c r="H50" s="26">
        <v>32893549.189999998</v>
      </c>
      <c r="I50" s="106">
        <f>I48</f>
        <v>7835295.0800000001</v>
      </c>
      <c r="J50" s="106">
        <f>J48</f>
        <v>83239621.079999998</v>
      </c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223">
        <f t="shared" ref="U50:U72" si="1">SUM(H50:Q50)+SUM(S50+T50)</f>
        <v>123968465.34999999</v>
      </c>
    </row>
    <row r="51" spans="1:21" ht="18" customHeight="1" thickTop="1">
      <c r="A51" s="92"/>
      <c r="B51" s="92"/>
      <c r="C51" s="92"/>
      <c r="D51" s="92">
        <v>17</v>
      </c>
      <c r="E51" s="102" t="s">
        <v>9</v>
      </c>
      <c r="F51" s="111" t="s">
        <v>10</v>
      </c>
      <c r="G51" s="112"/>
      <c r="H51" s="93">
        <v>0</v>
      </c>
      <c r="I51" s="93"/>
      <c r="J51" s="93">
        <v>0</v>
      </c>
      <c r="K51" s="93"/>
      <c r="L51" s="112"/>
      <c r="M51" s="112"/>
      <c r="N51" s="112"/>
      <c r="O51" s="112"/>
      <c r="P51" s="112"/>
      <c r="Q51" s="112"/>
      <c r="R51" s="112"/>
      <c r="S51" s="113"/>
      <c r="T51" s="113"/>
      <c r="U51" s="97">
        <f t="shared" si="1"/>
        <v>0</v>
      </c>
    </row>
    <row r="52" spans="1:21" ht="18" customHeight="1">
      <c r="A52" s="92"/>
      <c r="B52" s="92"/>
      <c r="C52" s="92"/>
      <c r="D52" s="92">
        <v>18</v>
      </c>
      <c r="E52" s="102" t="s">
        <v>164</v>
      </c>
      <c r="F52" s="114" t="s">
        <v>121</v>
      </c>
      <c r="G52" s="112"/>
      <c r="H52" s="93">
        <v>32764000</v>
      </c>
      <c r="I52" s="113">
        <f>VLOOKUP(E52,TBFeb23!A28:E151,5,0)</f>
        <v>0</v>
      </c>
      <c r="J52" s="93">
        <f>VLOOKUP(E52,TBMar23!A33:$E$122,5,0)</f>
        <v>2552000</v>
      </c>
      <c r="K52" s="93"/>
      <c r="L52" s="112"/>
      <c r="M52" s="112"/>
      <c r="N52" s="112"/>
      <c r="O52" s="112"/>
      <c r="P52" s="112"/>
      <c r="Q52" s="112"/>
      <c r="R52" s="112"/>
      <c r="S52" s="129"/>
      <c r="T52" s="129"/>
      <c r="U52" s="97">
        <f t="shared" si="1"/>
        <v>35316000</v>
      </c>
    </row>
    <row r="53" spans="1:21" ht="18" customHeight="1">
      <c r="A53" s="92"/>
      <c r="B53" s="92"/>
      <c r="C53" s="92"/>
      <c r="D53" s="92">
        <v>19</v>
      </c>
      <c r="E53" s="102" t="s">
        <v>165</v>
      </c>
      <c r="F53" s="115" t="s">
        <v>122</v>
      </c>
      <c r="G53" s="112"/>
      <c r="H53" s="93">
        <v>7306800</v>
      </c>
      <c r="I53" s="113">
        <f>VLOOKUP(E53,TBFeb23!A29:E152,5,0)</f>
        <v>1448919</v>
      </c>
      <c r="J53" s="93">
        <f>VLOOKUP(E53,TBMar23!A34:$E$122,5,0)</f>
        <v>3805226</v>
      </c>
      <c r="K53" s="93"/>
      <c r="L53" s="112"/>
      <c r="M53" s="112"/>
      <c r="N53" s="112"/>
      <c r="O53" s="112"/>
      <c r="P53" s="112"/>
      <c r="Q53" s="112"/>
      <c r="R53" s="112"/>
      <c r="S53" s="129"/>
      <c r="T53" s="129"/>
      <c r="U53" s="97">
        <f t="shared" si="1"/>
        <v>12560945</v>
      </c>
    </row>
    <row r="54" spans="1:21" ht="18" customHeight="1">
      <c r="A54" s="92"/>
      <c r="B54" s="92"/>
      <c r="C54" s="92"/>
      <c r="D54" s="92">
        <v>20</v>
      </c>
      <c r="E54" s="102" t="s">
        <v>166</v>
      </c>
      <c r="F54" s="115" t="s">
        <v>123</v>
      </c>
      <c r="G54" s="112"/>
      <c r="H54" s="93">
        <v>2964758</v>
      </c>
      <c r="I54" s="113">
        <f>VLOOKUP(E54,TBFeb23!A30:E153,5,0)</f>
        <v>2964758</v>
      </c>
      <c r="J54" s="93">
        <f>VLOOKUP(E54,TBMar23!A35:$E$122,5,0)</f>
        <v>4326818</v>
      </c>
      <c r="K54" s="93"/>
      <c r="L54" s="112"/>
      <c r="M54" s="112"/>
      <c r="N54" s="112"/>
      <c r="O54" s="112"/>
      <c r="P54" s="112"/>
      <c r="Q54" s="112"/>
      <c r="R54" s="112"/>
      <c r="S54" s="129"/>
      <c r="T54" s="129"/>
      <c r="U54" s="97">
        <f t="shared" si="1"/>
        <v>10256334</v>
      </c>
    </row>
    <row r="55" spans="1:21" ht="18" customHeight="1">
      <c r="A55" s="92"/>
      <c r="B55" s="92"/>
      <c r="C55" s="92"/>
      <c r="D55" s="92">
        <v>21</v>
      </c>
      <c r="E55" s="102" t="s">
        <v>167</v>
      </c>
      <c r="F55" s="111" t="s">
        <v>124</v>
      </c>
      <c r="G55" s="112"/>
      <c r="H55" s="93">
        <v>1624992</v>
      </c>
      <c r="I55" s="113">
        <f>VLOOKUP(E55,TBFeb23!A31:E154,5,0)</f>
        <v>0</v>
      </c>
      <c r="J55" s="93">
        <f>VLOOKUP(E55,TBMar23!A36:$E$122,5,0)</f>
        <v>1322100</v>
      </c>
      <c r="K55" s="93"/>
      <c r="L55" s="112"/>
      <c r="M55" s="112"/>
      <c r="N55" s="112"/>
      <c r="O55" s="112"/>
      <c r="P55" s="112"/>
      <c r="Q55" s="112"/>
      <c r="R55" s="112"/>
      <c r="S55" s="129"/>
      <c r="T55" s="129"/>
      <c r="U55" s="97">
        <f t="shared" si="1"/>
        <v>2947092</v>
      </c>
    </row>
    <row r="56" spans="1:21" ht="18" customHeight="1">
      <c r="A56" s="92"/>
      <c r="B56" s="92"/>
      <c r="C56" s="92"/>
      <c r="D56" s="92">
        <v>22</v>
      </c>
      <c r="E56" s="102" t="s">
        <v>125</v>
      </c>
      <c r="F56" s="111" t="s">
        <v>126</v>
      </c>
      <c r="G56" s="112"/>
      <c r="H56" s="93">
        <v>26019214</v>
      </c>
      <c r="I56" s="113">
        <f>VLOOKUP(E56,TBFeb23!A32:E155,5,0)</f>
        <v>44481700</v>
      </c>
      <c r="J56" s="93">
        <f>VLOOKUP(E56,TBMar23!A37:$E$122,5,0)</f>
        <v>45210545</v>
      </c>
      <c r="K56" s="93"/>
      <c r="L56" s="112"/>
      <c r="M56" s="112"/>
      <c r="N56" s="112"/>
      <c r="O56" s="112"/>
      <c r="P56" s="112"/>
      <c r="Q56" s="112"/>
      <c r="R56" s="112"/>
      <c r="S56" s="129"/>
      <c r="T56" s="129"/>
      <c r="U56" s="97">
        <f t="shared" si="1"/>
        <v>115711459</v>
      </c>
    </row>
    <row r="57" spans="1:21" ht="18" customHeight="1">
      <c r="A57" s="92"/>
      <c r="B57" s="92"/>
      <c r="C57" s="92"/>
      <c r="D57" s="92">
        <v>23</v>
      </c>
      <c r="E57" s="102" t="s">
        <v>127</v>
      </c>
      <c r="F57" s="111" t="s">
        <v>128</v>
      </c>
      <c r="G57" s="112"/>
      <c r="H57" s="93">
        <v>153594179</v>
      </c>
      <c r="I57" s="113">
        <f>VLOOKUP(E57,TBFeb23!A33:E156,5,0)</f>
        <v>153594195.30000001</v>
      </c>
      <c r="J57" s="93">
        <f>VLOOKUP(E57,TBMar23!A38:$E$122,5,0)</f>
        <v>153594195.30000001</v>
      </c>
      <c r="K57" s="93"/>
      <c r="L57" s="112"/>
      <c r="M57" s="112"/>
      <c r="N57" s="112"/>
      <c r="O57" s="112"/>
      <c r="P57" s="112"/>
      <c r="Q57" s="112"/>
      <c r="R57" s="112"/>
      <c r="S57" s="129"/>
      <c r="T57" s="129"/>
      <c r="U57" s="97">
        <f t="shared" si="1"/>
        <v>460782569.60000002</v>
      </c>
    </row>
    <row r="58" spans="1:21" ht="18" customHeight="1">
      <c r="A58" s="92"/>
      <c r="B58" s="92"/>
      <c r="C58" s="92"/>
      <c r="D58" s="92">
        <v>24</v>
      </c>
      <c r="E58" s="102" t="s">
        <v>254</v>
      </c>
      <c r="F58" s="111" t="s">
        <v>255</v>
      </c>
      <c r="G58" s="112"/>
      <c r="H58" s="93"/>
      <c r="I58" s="113">
        <f>VLOOKUP(E58,TBFeb23!A34:E157,5,0)</f>
        <v>2249400</v>
      </c>
      <c r="J58" s="93">
        <f>VLOOKUP(E58,TBMar23!A39:$E$122,5,0)</f>
        <v>2249400</v>
      </c>
      <c r="K58" s="93"/>
      <c r="L58" s="112"/>
      <c r="M58" s="112"/>
      <c r="N58" s="112"/>
      <c r="O58" s="112"/>
      <c r="P58" s="112"/>
      <c r="Q58" s="112"/>
      <c r="R58" s="112"/>
      <c r="S58" s="129"/>
      <c r="T58" s="129"/>
      <c r="U58" s="97">
        <f t="shared" si="1"/>
        <v>4498800</v>
      </c>
    </row>
    <row r="59" spans="1:21" ht="18" customHeight="1">
      <c r="A59" s="92"/>
      <c r="B59" s="92"/>
      <c r="C59" s="92"/>
      <c r="D59" s="92">
        <v>25</v>
      </c>
      <c r="E59" s="102" t="s">
        <v>129</v>
      </c>
      <c r="F59" s="111" t="s">
        <v>130</v>
      </c>
      <c r="G59" s="112"/>
      <c r="H59" s="93">
        <v>5070000</v>
      </c>
      <c r="I59" s="113">
        <f>VLOOKUP(E59,TBFeb23!A34:E157,5,0)</f>
        <v>4235750</v>
      </c>
      <c r="J59" s="93">
        <f>VLOOKUP(E59,TBMar23!A40:$E$122,5,0)</f>
        <v>8859500</v>
      </c>
      <c r="K59" s="93"/>
      <c r="L59" s="112"/>
      <c r="M59" s="112"/>
      <c r="N59" s="112"/>
      <c r="O59" s="112"/>
      <c r="P59" s="112"/>
      <c r="Q59" s="112"/>
      <c r="R59" s="112"/>
      <c r="S59" s="129"/>
      <c r="T59" s="129"/>
      <c r="U59" s="97">
        <f t="shared" si="1"/>
        <v>18165250</v>
      </c>
    </row>
    <row r="60" spans="1:21" ht="18" customHeight="1">
      <c r="A60" s="92"/>
      <c r="B60" s="92"/>
      <c r="C60" s="92"/>
      <c r="D60" s="92">
        <v>26</v>
      </c>
      <c r="E60" s="102" t="s">
        <v>131</v>
      </c>
      <c r="F60" s="111" t="s">
        <v>132</v>
      </c>
      <c r="G60" s="112"/>
      <c r="H60" s="93">
        <v>750000</v>
      </c>
      <c r="I60" s="113">
        <f>VLOOKUP(E60,TBFeb23!A35:E158,5,0)</f>
        <v>577836</v>
      </c>
      <c r="J60" s="93">
        <f>VLOOKUP(E60,TBMar23!A41:$E$122,5,0)</f>
        <v>1664623</v>
      </c>
      <c r="K60" s="93"/>
      <c r="L60" s="112"/>
      <c r="M60" s="112"/>
      <c r="N60" s="112"/>
      <c r="O60" s="112"/>
      <c r="P60" s="112"/>
      <c r="Q60" s="112"/>
      <c r="R60" s="112"/>
      <c r="S60" s="129"/>
      <c r="T60" s="129"/>
      <c r="U60" s="97">
        <f t="shared" si="1"/>
        <v>2992459</v>
      </c>
    </row>
    <row r="61" spans="1:21" ht="18" customHeight="1">
      <c r="A61" s="92"/>
      <c r="B61" s="92"/>
      <c r="C61" s="92"/>
      <c r="D61" s="92">
        <v>27</v>
      </c>
      <c r="E61" s="102" t="s">
        <v>133</v>
      </c>
      <c r="F61" s="111" t="s">
        <v>168</v>
      </c>
      <c r="G61" s="112"/>
      <c r="H61" s="93">
        <v>4148500</v>
      </c>
      <c r="I61" s="113">
        <f>VLOOKUP(E61,TBFeb23!A36:E159,5,0)</f>
        <v>507500</v>
      </c>
      <c r="J61" s="93">
        <f>VLOOKUP(E61,TBMar23!A42:$E$122,5,0)</f>
        <v>8008882</v>
      </c>
      <c r="K61" s="93"/>
      <c r="L61" s="112"/>
      <c r="M61" s="112"/>
      <c r="N61" s="112"/>
      <c r="O61" s="112"/>
      <c r="P61" s="112"/>
      <c r="Q61" s="112"/>
      <c r="R61" s="112"/>
      <c r="S61" s="129"/>
      <c r="T61" s="129"/>
      <c r="U61" s="97">
        <f t="shared" si="1"/>
        <v>12664882</v>
      </c>
    </row>
    <row r="62" spans="1:21" ht="18" customHeight="1">
      <c r="A62" s="92"/>
      <c r="B62" s="92"/>
      <c r="C62" s="92"/>
      <c r="D62" s="92">
        <v>28</v>
      </c>
      <c r="E62" s="102" t="s">
        <v>134</v>
      </c>
      <c r="F62" s="111" t="s">
        <v>169</v>
      </c>
      <c r="G62" s="112"/>
      <c r="H62" s="93">
        <v>96500000</v>
      </c>
      <c r="I62" s="113">
        <f>VLOOKUP(E62,TBFeb23!A38:E160,5,0)</f>
        <v>10500000</v>
      </c>
      <c r="J62" s="93">
        <f>VLOOKUP(E62,TBMar23!A43:$E$122,5,0)</f>
        <v>13560000</v>
      </c>
      <c r="K62" s="93"/>
      <c r="L62" s="112"/>
      <c r="M62" s="112"/>
      <c r="N62" s="112"/>
      <c r="O62" s="112"/>
      <c r="P62" s="112"/>
      <c r="Q62" s="112"/>
      <c r="R62" s="112"/>
      <c r="S62" s="129"/>
      <c r="T62" s="129"/>
      <c r="U62" s="97">
        <f t="shared" si="1"/>
        <v>120560000</v>
      </c>
    </row>
    <row r="63" spans="1:21" ht="18" customHeight="1">
      <c r="A63" s="92"/>
      <c r="B63" s="92"/>
      <c r="C63" s="92"/>
      <c r="D63" s="92">
        <v>29</v>
      </c>
      <c r="E63" s="102" t="s">
        <v>170</v>
      </c>
      <c r="F63" s="111" t="s">
        <v>171</v>
      </c>
      <c r="G63" s="112"/>
      <c r="H63" s="93">
        <v>18920000</v>
      </c>
      <c r="I63" s="113">
        <f>VLOOKUP(E63,TBFeb23!A39:E161,5,0)</f>
        <v>16535098</v>
      </c>
      <c r="J63" s="93">
        <f>VLOOKUP(E63,TBMar23!A44:$E$122,5,0)</f>
        <v>18280000</v>
      </c>
      <c r="K63" s="93"/>
      <c r="L63" s="112"/>
      <c r="M63" s="112"/>
      <c r="N63" s="112"/>
      <c r="O63" s="112"/>
      <c r="P63" s="112"/>
      <c r="Q63" s="112"/>
      <c r="R63" s="112"/>
      <c r="S63" s="129"/>
      <c r="T63" s="129"/>
      <c r="U63" s="97">
        <f t="shared" si="1"/>
        <v>53735098</v>
      </c>
    </row>
    <row r="64" spans="1:21" ht="18" customHeight="1">
      <c r="A64" s="92"/>
      <c r="B64" s="92"/>
      <c r="C64" s="92"/>
      <c r="D64" s="92">
        <v>30</v>
      </c>
      <c r="E64" s="102" t="s">
        <v>172</v>
      </c>
      <c r="F64" s="111" t="s">
        <v>173</v>
      </c>
      <c r="G64" s="112"/>
      <c r="H64" s="93">
        <v>16308000</v>
      </c>
      <c r="I64" s="113">
        <f>VLOOKUP(E64,TBFeb23!A40:E162,5,0)</f>
        <v>11275000</v>
      </c>
      <c r="J64" s="93">
        <v>0</v>
      </c>
      <c r="K64" s="93"/>
      <c r="L64" s="112"/>
      <c r="M64" s="112"/>
      <c r="N64" s="112"/>
      <c r="O64" s="112"/>
      <c r="P64" s="112"/>
      <c r="Q64" s="112"/>
      <c r="R64" s="112"/>
      <c r="S64" s="129"/>
      <c r="T64" s="129"/>
      <c r="U64" s="97">
        <f t="shared" si="1"/>
        <v>27583000</v>
      </c>
    </row>
    <row r="65" spans="1:21" ht="18" customHeight="1">
      <c r="A65" s="92"/>
      <c r="B65" s="92"/>
      <c r="C65" s="92"/>
      <c r="D65" s="92">
        <v>31</v>
      </c>
      <c r="E65" s="168" t="s">
        <v>248</v>
      </c>
      <c r="F65" s="167" t="s">
        <v>249</v>
      </c>
      <c r="G65" s="112"/>
      <c r="H65" s="124">
        <v>473790000</v>
      </c>
      <c r="I65" s="113">
        <v>0</v>
      </c>
      <c r="J65" s="93">
        <v>0</v>
      </c>
      <c r="K65" s="93"/>
      <c r="L65" s="112"/>
      <c r="M65" s="112"/>
      <c r="N65" s="112"/>
      <c r="O65" s="112"/>
      <c r="P65" s="112"/>
      <c r="Q65" s="112"/>
      <c r="R65" s="112"/>
      <c r="S65" s="129"/>
      <c r="T65" s="129"/>
      <c r="U65" s="97">
        <f t="shared" si="1"/>
        <v>473790000</v>
      </c>
    </row>
    <row r="66" spans="1:21" ht="18" customHeight="1">
      <c r="A66" s="92"/>
      <c r="B66" s="92"/>
      <c r="C66" s="92"/>
      <c r="D66" s="92">
        <v>32</v>
      </c>
      <c r="E66" s="102" t="s">
        <v>256</v>
      </c>
      <c r="F66" s="111" t="s">
        <v>257</v>
      </c>
      <c r="G66" s="112"/>
      <c r="H66" s="93"/>
      <c r="I66" s="113">
        <f>VLOOKUP(E66,TBFeb23!A42:E164,5,0)</f>
        <v>1160000</v>
      </c>
      <c r="J66" s="93">
        <v>0</v>
      </c>
      <c r="K66" s="93"/>
      <c r="L66" s="112"/>
      <c r="M66" s="112"/>
      <c r="N66" s="112"/>
      <c r="O66" s="112"/>
      <c r="P66" s="112"/>
      <c r="Q66" s="112"/>
      <c r="R66" s="112"/>
      <c r="S66" s="129"/>
      <c r="T66" s="129"/>
      <c r="U66" s="97">
        <f t="shared" si="1"/>
        <v>1160000</v>
      </c>
    </row>
    <row r="67" spans="1:21" ht="18" customHeight="1">
      <c r="A67" s="92"/>
      <c r="B67" s="92"/>
      <c r="C67" s="92"/>
      <c r="D67" s="92">
        <v>33</v>
      </c>
      <c r="E67" s="102" t="s">
        <v>258</v>
      </c>
      <c r="F67" s="111" t="s">
        <v>259</v>
      </c>
      <c r="G67" s="112"/>
      <c r="H67" s="93"/>
      <c r="I67" s="113">
        <f>VLOOKUP(E67,TBFeb23!A43:E165,5,0)</f>
        <v>2203000</v>
      </c>
      <c r="J67" s="93">
        <v>0</v>
      </c>
      <c r="K67" s="93"/>
      <c r="L67" s="112"/>
      <c r="M67" s="112"/>
      <c r="N67" s="112"/>
      <c r="O67" s="112"/>
      <c r="P67" s="112"/>
      <c r="Q67" s="112"/>
      <c r="R67" s="112"/>
      <c r="S67" s="129"/>
      <c r="T67" s="129"/>
      <c r="U67" s="97">
        <f t="shared" si="1"/>
        <v>2203000</v>
      </c>
    </row>
    <row r="68" spans="1:21" ht="18" customHeight="1">
      <c r="A68" s="92"/>
      <c r="B68" s="92"/>
      <c r="C68" s="92"/>
      <c r="D68" s="92">
        <v>34</v>
      </c>
      <c r="E68" s="102" t="s">
        <v>260</v>
      </c>
      <c r="F68" s="111" t="s">
        <v>261</v>
      </c>
      <c r="G68" s="112"/>
      <c r="H68" s="93"/>
      <c r="I68" s="113">
        <f>VLOOKUP(E68,TBFeb23!A44:E166,5,0)</f>
        <v>2117710</v>
      </c>
      <c r="J68" s="93">
        <f>VLOOKUP(E68,TBMar23!A45:$E$122,5,0)</f>
        <v>2153098</v>
      </c>
      <c r="K68" s="93"/>
      <c r="L68" s="112"/>
      <c r="M68" s="112"/>
      <c r="N68" s="112"/>
      <c r="O68" s="112"/>
      <c r="P68" s="112"/>
      <c r="Q68" s="112"/>
      <c r="R68" s="112"/>
      <c r="S68" s="129"/>
      <c r="T68" s="129"/>
      <c r="U68" s="97">
        <f t="shared" si="1"/>
        <v>4270808</v>
      </c>
    </row>
    <row r="69" spans="1:21" ht="18" customHeight="1">
      <c r="A69" s="92"/>
      <c r="B69" s="92"/>
      <c r="C69" s="92"/>
      <c r="D69" s="92">
        <v>35</v>
      </c>
      <c r="E69" s="102" t="s">
        <v>262</v>
      </c>
      <c r="F69" s="111" t="s">
        <v>263</v>
      </c>
      <c r="G69" s="112"/>
      <c r="H69" s="93"/>
      <c r="I69" s="113">
        <f>VLOOKUP(E69,TBFeb23!A45:E167,5,0)</f>
        <v>1300000</v>
      </c>
      <c r="J69" s="93">
        <f>VLOOKUP(E69,TBMar23!A46:$E$122,5,0)</f>
        <v>7440000</v>
      </c>
      <c r="K69" s="93"/>
      <c r="L69" s="112"/>
      <c r="M69" s="112"/>
      <c r="N69" s="112"/>
      <c r="O69" s="112"/>
      <c r="P69" s="112"/>
      <c r="Q69" s="112"/>
      <c r="R69" s="112"/>
      <c r="S69" s="129"/>
      <c r="T69" s="129"/>
      <c r="U69" s="97">
        <f>SUM(H69:Q69)+SUM(S69+T69)</f>
        <v>8740000</v>
      </c>
    </row>
    <row r="70" spans="1:21" ht="18" customHeight="1">
      <c r="A70" s="92"/>
      <c r="B70" s="92"/>
      <c r="C70" s="92"/>
      <c r="D70" s="92">
        <v>36</v>
      </c>
      <c r="E70" s="102" t="s">
        <v>288</v>
      </c>
      <c r="F70" s="111" t="s">
        <v>289</v>
      </c>
      <c r="G70" s="112"/>
      <c r="H70" s="93"/>
      <c r="I70" s="113">
        <v>0</v>
      </c>
      <c r="J70" s="93">
        <f>VLOOKUP(E70,TBMar23!A47:$E$122,5,0)</f>
        <v>1090000</v>
      </c>
      <c r="K70" s="93"/>
      <c r="L70" s="112"/>
      <c r="M70" s="112"/>
      <c r="N70" s="112"/>
      <c r="O70" s="112"/>
      <c r="P70" s="112"/>
      <c r="Q70" s="112"/>
      <c r="R70" s="112"/>
      <c r="S70" s="221"/>
      <c r="T70" s="129"/>
      <c r="U70" s="97">
        <f t="shared" si="1"/>
        <v>1090000</v>
      </c>
    </row>
    <row r="71" spans="1:21" ht="18" customHeight="1">
      <c r="A71" s="92"/>
      <c r="B71" s="92"/>
      <c r="C71" s="92"/>
      <c r="D71" s="92">
        <v>37</v>
      </c>
      <c r="E71" s="102" t="s">
        <v>290</v>
      </c>
      <c r="F71" s="111" t="s">
        <v>291</v>
      </c>
      <c r="G71" s="112"/>
      <c r="H71" s="93"/>
      <c r="I71" s="113">
        <v>0</v>
      </c>
      <c r="J71" s="93">
        <f>VLOOKUP(E71,TBMar23!A48:$E$122,5,0)</f>
        <v>8551000</v>
      </c>
      <c r="K71" s="93"/>
      <c r="L71" s="112"/>
      <c r="M71" s="112"/>
      <c r="N71" s="112"/>
      <c r="O71" s="112"/>
      <c r="P71" s="112"/>
      <c r="Q71" s="112"/>
      <c r="R71" s="112"/>
      <c r="S71" s="221"/>
      <c r="T71" s="129"/>
      <c r="U71" s="97">
        <f t="shared" si="1"/>
        <v>8551000</v>
      </c>
    </row>
    <row r="72" spans="1:21" ht="18" customHeight="1">
      <c r="A72" s="92"/>
      <c r="B72" s="92"/>
      <c r="C72" s="92"/>
      <c r="D72" s="92">
        <v>38</v>
      </c>
      <c r="E72" s="102" t="s">
        <v>292</v>
      </c>
      <c r="F72" s="111" t="s">
        <v>293</v>
      </c>
      <c r="G72" s="112"/>
      <c r="H72" s="93"/>
      <c r="I72" s="113">
        <v>0</v>
      </c>
      <c r="J72" s="93">
        <f>VLOOKUP(E72,TBMar23!A49:$E$122,5,0)</f>
        <v>3000000</v>
      </c>
      <c r="K72" s="93"/>
      <c r="L72" s="112"/>
      <c r="M72" s="112"/>
      <c r="N72" s="112"/>
      <c r="O72" s="112"/>
      <c r="P72" s="112"/>
      <c r="Q72" s="112"/>
      <c r="R72" s="112"/>
      <c r="S72" s="221"/>
      <c r="T72" s="129"/>
      <c r="U72" s="97">
        <f t="shared" si="1"/>
        <v>3000000</v>
      </c>
    </row>
    <row r="73" spans="1:21" ht="18" customHeight="1" thickBot="1">
      <c r="A73" s="92"/>
      <c r="B73" s="92"/>
      <c r="C73" s="92"/>
      <c r="D73" s="92"/>
      <c r="E73" s="102"/>
      <c r="F73" s="91" t="s">
        <v>98</v>
      </c>
      <c r="G73" s="92"/>
      <c r="H73" s="98">
        <v>839760443</v>
      </c>
      <c r="I73" s="98">
        <f>SUM(I52:I69)</f>
        <v>255150866.30000001</v>
      </c>
      <c r="J73" s="98">
        <f>SUM(J52:S72)</f>
        <v>285667387.30000001</v>
      </c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223">
        <f>SUM(H73:Q73)+SUM(S73+T73)</f>
        <v>1380578696.5999999</v>
      </c>
    </row>
    <row r="74" spans="1:21" ht="18" customHeight="1" thickTop="1">
      <c r="A74" s="92"/>
      <c r="B74" s="92"/>
      <c r="C74" s="92"/>
      <c r="D74" s="92"/>
      <c r="E74" s="102">
        <v>1111</v>
      </c>
      <c r="F74" s="92" t="s">
        <v>99</v>
      </c>
      <c r="G74" s="92"/>
      <c r="H74" s="130">
        <v>0</v>
      </c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93"/>
      <c r="T74" s="93"/>
      <c r="U74" s="99">
        <f>SUM(H74:T74)</f>
        <v>0</v>
      </c>
    </row>
    <row r="75" spans="1:21" ht="18" customHeight="1">
      <c r="A75" s="92"/>
      <c r="B75" s="92"/>
      <c r="C75" s="92"/>
      <c r="D75" s="92" t="s">
        <v>242</v>
      </c>
      <c r="E75" s="159" t="s">
        <v>9</v>
      </c>
      <c r="F75" s="160" t="s">
        <v>10</v>
      </c>
      <c r="G75" s="92"/>
      <c r="H75" s="157">
        <v>0</v>
      </c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93"/>
      <c r="T75" s="93"/>
      <c r="U75" s="99"/>
    </row>
    <row r="76" spans="1:21" ht="18" customHeight="1">
      <c r="A76" s="92"/>
      <c r="B76" s="92"/>
      <c r="C76" s="92"/>
      <c r="D76" s="92"/>
      <c r="E76" s="102"/>
      <c r="F76" s="92"/>
      <c r="G76" s="92"/>
      <c r="H76" s="157">
        <v>0</v>
      </c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93"/>
      <c r="T76" s="93"/>
      <c r="U76" s="99"/>
    </row>
    <row r="77" spans="1:21" ht="18" customHeight="1">
      <c r="A77" s="92"/>
      <c r="B77" s="92"/>
      <c r="C77" s="92"/>
      <c r="D77" s="92"/>
      <c r="E77" s="102">
        <v>1365.02</v>
      </c>
      <c r="F77" s="92" t="s">
        <v>174</v>
      </c>
      <c r="G77" s="92"/>
      <c r="H77" s="157">
        <v>831061248.12</v>
      </c>
      <c r="I77" s="93">
        <f>VLOOKUP(E77,TBFeb23!A45:F168,6,0)-TBFeb23!E51</f>
        <v>19880619.99999997</v>
      </c>
      <c r="J77" s="93">
        <f>VLOOKUP(E77,TBMar23!A51:$E$122,5,0)-TBMar23!F51</f>
        <v>3594646</v>
      </c>
      <c r="K77" s="117"/>
      <c r="L77" s="117"/>
      <c r="M77" s="117"/>
      <c r="N77" s="117"/>
      <c r="O77" s="117"/>
      <c r="P77" s="117"/>
      <c r="Q77" s="117"/>
      <c r="R77" s="117"/>
      <c r="S77" s="93"/>
      <c r="T77" s="93"/>
      <c r="U77" s="97">
        <f t="shared" ref="U77:U81" si="2">SUM(H77:Q77)+SUM(S77+T77)</f>
        <v>854536514.12</v>
      </c>
    </row>
    <row r="78" spans="1:21" ht="18" customHeight="1">
      <c r="A78" s="92"/>
      <c r="B78" s="92"/>
      <c r="C78" s="92"/>
      <c r="D78" s="92"/>
      <c r="E78" s="102">
        <v>602</v>
      </c>
      <c r="F78" s="92" t="s">
        <v>243</v>
      </c>
      <c r="G78" s="92"/>
      <c r="H78" s="157">
        <v>0</v>
      </c>
      <c r="I78" s="157">
        <v>0</v>
      </c>
      <c r="J78" s="93">
        <v>0</v>
      </c>
      <c r="K78" s="117"/>
      <c r="L78" s="117"/>
      <c r="M78" s="117"/>
      <c r="N78" s="117"/>
      <c r="O78" s="117"/>
      <c r="P78" s="117"/>
      <c r="Q78" s="117"/>
      <c r="R78" s="117"/>
      <c r="S78" s="93"/>
      <c r="T78" s="93"/>
      <c r="U78" s="97">
        <f t="shared" si="2"/>
        <v>0</v>
      </c>
    </row>
    <row r="79" spans="1:21" ht="18" customHeight="1">
      <c r="A79" s="92"/>
      <c r="B79" s="92"/>
      <c r="C79" s="92"/>
      <c r="D79" s="92"/>
      <c r="E79" s="102" t="s">
        <v>111</v>
      </c>
      <c r="F79" s="92" t="s">
        <v>23</v>
      </c>
      <c r="G79" s="92"/>
      <c r="H79" s="157"/>
      <c r="I79" s="157">
        <v>0</v>
      </c>
      <c r="J79" s="93">
        <v>0</v>
      </c>
      <c r="K79" s="117"/>
      <c r="L79" s="117"/>
      <c r="M79" s="117"/>
      <c r="N79" s="117"/>
      <c r="O79" s="117"/>
      <c r="P79" s="117"/>
      <c r="Q79" s="117"/>
      <c r="R79" s="117"/>
      <c r="S79" s="93"/>
      <c r="T79" s="93"/>
      <c r="U79" s="97">
        <f t="shared" si="2"/>
        <v>0</v>
      </c>
    </row>
    <row r="80" spans="1:21" ht="18" customHeight="1">
      <c r="A80" s="92"/>
      <c r="B80" s="92"/>
      <c r="C80" s="92"/>
      <c r="D80" s="92"/>
      <c r="E80" s="102" t="s">
        <v>198</v>
      </c>
      <c r="F80" s="92" t="s">
        <v>199</v>
      </c>
      <c r="G80" s="92"/>
      <c r="H80" s="157"/>
      <c r="I80" s="157">
        <v>0</v>
      </c>
      <c r="J80" s="93">
        <v>0</v>
      </c>
      <c r="K80" s="117"/>
      <c r="L80" s="117"/>
      <c r="M80" s="117"/>
      <c r="N80" s="117"/>
      <c r="O80" s="117"/>
      <c r="P80" s="117"/>
      <c r="Q80" s="117"/>
      <c r="R80" s="117"/>
      <c r="S80" s="93"/>
      <c r="T80" s="93"/>
      <c r="U80" s="97">
        <f t="shared" si="2"/>
        <v>0</v>
      </c>
    </row>
    <row r="81" spans="1:21" ht="18" customHeight="1">
      <c r="A81" s="92"/>
      <c r="B81" s="92"/>
      <c r="C81" s="92"/>
      <c r="D81" s="92"/>
      <c r="E81" s="102">
        <v>626</v>
      </c>
      <c r="F81" s="92" t="s">
        <v>244</v>
      </c>
      <c r="G81" s="92"/>
      <c r="H81" s="157">
        <v>0</v>
      </c>
      <c r="I81" s="157">
        <v>0</v>
      </c>
      <c r="J81" s="93">
        <v>0</v>
      </c>
      <c r="K81" s="117"/>
      <c r="L81" s="117"/>
      <c r="M81" s="117"/>
      <c r="N81" s="117"/>
      <c r="O81" s="117"/>
      <c r="P81" s="117"/>
      <c r="Q81" s="117"/>
      <c r="R81" s="117"/>
      <c r="S81" s="93"/>
      <c r="T81" s="93"/>
      <c r="U81" s="97">
        <f t="shared" si="2"/>
        <v>0</v>
      </c>
    </row>
    <row r="82" spans="1:21" ht="18" customHeight="1">
      <c r="A82" s="92"/>
      <c r="B82" s="92"/>
      <c r="C82" s="92"/>
      <c r="D82" s="92"/>
      <c r="E82" s="102" t="s">
        <v>214</v>
      </c>
      <c r="F82" s="92" t="s">
        <v>215</v>
      </c>
      <c r="G82" s="92"/>
      <c r="H82" s="113">
        <v>6420000</v>
      </c>
      <c r="I82" s="93">
        <v>0</v>
      </c>
      <c r="J82" s="93">
        <v>0</v>
      </c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9">
        <f>SUM(H82:T82)</f>
        <v>6420000</v>
      </c>
    </row>
    <row r="83" spans="1:21" ht="18" customHeight="1">
      <c r="A83" s="92"/>
      <c r="B83" s="92"/>
      <c r="C83" s="92"/>
      <c r="D83" s="92"/>
      <c r="E83" s="102"/>
      <c r="F83" s="91"/>
      <c r="G83" s="92"/>
      <c r="H83" s="25">
        <v>837481248.12</v>
      </c>
      <c r="I83" s="118">
        <f>SUM(I77:I82)</f>
        <v>19880619.99999997</v>
      </c>
      <c r="J83" s="118">
        <f>SUM(J77:J82)</f>
        <v>3594646</v>
      </c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9">
        <f>SUM(H83:Q83)+SUM(S83+T83)</f>
        <v>860956514.12</v>
      </c>
    </row>
    <row r="84" spans="1:21" s="17" customFormat="1" ht="18" customHeight="1">
      <c r="A84" s="91"/>
      <c r="B84" s="91"/>
      <c r="C84" s="91" t="s">
        <v>100</v>
      </c>
      <c r="D84" s="91"/>
      <c r="E84" s="96"/>
      <c r="F84" s="91"/>
      <c r="G84" s="91"/>
      <c r="H84" s="28">
        <v>1710135240.3099999</v>
      </c>
      <c r="I84" s="28">
        <f>I50+I73+I83</f>
        <v>282866781.38</v>
      </c>
      <c r="J84" s="28">
        <f>J50+J73-J83</f>
        <v>365312362.38</v>
      </c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1">
        <f>SUM(H84:Q84)+SUM(S84+T84)</f>
        <v>2358314384.0700002</v>
      </c>
    </row>
    <row r="85" spans="1:21" s="17" customFormat="1" ht="18" customHeight="1">
      <c r="A85" s="91"/>
      <c r="B85" s="91" t="s">
        <v>45</v>
      </c>
      <c r="C85" s="91"/>
      <c r="D85" s="91"/>
      <c r="E85" s="96">
        <v>100</v>
      </c>
      <c r="F85" s="91"/>
      <c r="G85" s="91"/>
      <c r="H85" s="131">
        <v>883355200.69000006</v>
      </c>
      <c r="I85" s="131">
        <f>I10-I84</f>
        <v>-242549021.38</v>
      </c>
      <c r="J85" s="131">
        <f>J10-J84</f>
        <v>454305525.86000001</v>
      </c>
      <c r="K85" s="122"/>
      <c r="L85" s="122"/>
      <c r="M85" s="122"/>
      <c r="N85" s="122"/>
      <c r="O85" s="122"/>
      <c r="P85" s="122"/>
      <c r="Q85" s="122"/>
      <c r="R85" s="122"/>
      <c r="S85" s="122"/>
      <c r="T85" s="186"/>
      <c r="U85" s="186">
        <f>SUM(H85:Q85)+SUM(S85+T85)</f>
        <v>1095111705.1700001</v>
      </c>
    </row>
    <row r="86" spans="1:21" ht="18" customHeight="1">
      <c r="A86" s="92"/>
      <c r="B86" s="92"/>
      <c r="C86" s="92"/>
      <c r="D86" s="92"/>
      <c r="E86" s="102"/>
      <c r="F86" s="92"/>
      <c r="G86" s="92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9"/>
    </row>
    <row r="87" spans="1:21" s="19" customFormat="1" ht="18" customHeight="1">
      <c r="A87" s="92"/>
      <c r="B87" s="92"/>
      <c r="C87" s="91" t="s">
        <v>101</v>
      </c>
      <c r="D87" s="91"/>
      <c r="E87" s="102"/>
      <c r="F87" s="92"/>
      <c r="G87" s="92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9"/>
    </row>
    <row r="88" spans="1:21" s="19" customFormat="1" ht="18" customHeight="1">
      <c r="A88" s="92"/>
      <c r="B88" s="92"/>
      <c r="C88" s="91"/>
      <c r="D88" s="91" t="s">
        <v>46</v>
      </c>
      <c r="E88" s="102"/>
      <c r="F88" s="92"/>
      <c r="G88" s="92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9">
        <f>SUM(H88:S88)</f>
        <v>0</v>
      </c>
    </row>
    <row r="89" spans="1:21" s="19" customFormat="1" ht="18" customHeight="1">
      <c r="A89" s="92"/>
      <c r="B89" s="92"/>
      <c r="C89" s="92"/>
      <c r="D89" s="92"/>
      <c r="E89" s="102">
        <v>606.02</v>
      </c>
      <c r="F89" s="92" t="s">
        <v>24</v>
      </c>
      <c r="G89" s="123"/>
      <c r="H89" s="93">
        <v>723000</v>
      </c>
      <c r="I89" s="157">
        <f>VLOOKUP(E89,TBFeb23!A82:E205,5,0)</f>
        <v>326000</v>
      </c>
      <c r="J89" s="93">
        <f>VLOOKUP(E89,TBMar23!A87:$E$122,5,0)</f>
        <v>110000</v>
      </c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7">
        <f t="shared" ref="U89:U119" si="3">SUM(H89:Q89)+SUM(S89+T89)</f>
        <v>1159000</v>
      </c>
    </row>
    <row r="90" spans="1:21" s="19" customFormat="1" ht="18" customHeight="1">
      <c r="A90" s="92"/>
      <c r="B90" s="92"/>
      <c r="C90" s="92"/>
      <c r="D90" s="92"/>
      <c r="E90" s="102">
        <v>606.03</v>
      </c>
      <c r="F90" s="92" t="s">
        <v>25</v>
      </c>
      <c r="G90" s="123"/>
      <c r="H90" s="93">
        <v>3315000</v>
      </c>
      <c r="I90" s="157">
        <f>VLOOKUP(E90,TBFeb23!A83:E206,5,0)</f>
        <v>3250000</v>
      </c>
      <c r="J90" s="93">
        <f>VLOOKUP(E90,TBMar23!A88:$E$122,5,0)</f>
        <v>4400000</v>
      </c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7">
        <f t="shared" si="3"/>
        <v>10965000</v>
      </c>
    </row>
    <row r="91" spans="1:21" s="19" customFormat="1" ht="18" customHeight="1">
      <c r="A91" s="92"/>
      <c r="B91" s="92"/>
      <c r="C91" s="92"/>
      <c r="D91" s="92"/>
      <c r="E91" s="102">
        <v>606.04</v>
      </c>
      <c r="F91" s="92" t="s">
        <v>300</v>
      </c>
      <c r="G91" s="123"/>
      <c r="H91" s="93"/>
      <c r="I91" s="157"/>
      <c r="J91" s="93">
        <f>VLOOKUP(E91,TBMar23!A89:$E$122,5,0)</f>
        <v>509040</v>
      </c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7"/>
    </row>
    <row r="92" spans="1:21" s="19" customFormat="1" ht="18" customHeight="1">
      <c r="A92" s="92"/>
      <c r="B92" s="92"/>
      <c r="C92" s="92"/>
      <c r="D92" s="92"/>
      <c r="E92" s="102" t="s">
        <v>269</v>
      </c>
      <c r="F92" s="92" t="s">
        <v>270</v>
      </c>
      <c r="G92" s="123"/>
      <c r="H92" s="93"/>
      <c r="I92" s="157">
        <f>VLOOKUP(E92,TBFeb23!A84:E207,5,0)</f>
        <v>300000</v>
      </c>
      <c r="J92" s="93">
        <f>VLOOKUP(E92,TBMar23!A89:$E$122,5,0)</f>
        <v>300000</v>
      </c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7">
        <f t="shared" si="3"/>
        <v>600000</v>
      </c>
    </row>
    <row r="93" spans="1:21" s="19" customFormat="1" ht="18" customHeight="1">
      <c r="A93" s="92"/>
      <c r="B93" s="92"/>
      <c r="C93" s="92"/>
      <c r="D93" s="92"/>
      <c r="E93" s="102" t="s">
        <v>271</v>
      </c>
      <c r="F93" s="92" t="s">
        <v>47</v>
      </c>
      <c r="G93" s="123"/>
      <c r="H93" s="93"/>
      <c r="I93" s="157">
        <f>VLOOKUP(E93,TBFeb23!A84:E207,5,0)</f>
        <v>15000</v>
      </c>
      <c r="J93" s="93">
        <f>VLOOKUP(E93,TBMar23!A90:$E$122,5,0)</f>
        <v>0</v>
      </c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7">
        <f t="shared" si="3"/>
        <v>15000</v>
      </c>
    </row>
    <row r="94" spans="1:21" s="19" customFormat="1" ht="18" customHeight="1">
      <c r="A94" s="92"/>
      <c r="B94" s="92"/>
      <c r="C94" s="92"/>
      <c r="D94" s="92"/>
      <c r="E94" s="102" t="s">
        <v>200</v>
      </c>
      <c r="F94" s="92" t="s">
        <v>26</v>
      </c>
      <c r="G94" s="123"/>
      <c r="H94" s="93">
        <v>10156200</v>
      </c>
      <c r="I94" s="157">
        <f>VLOOKUP(E94,TBFeb23!A84:E207,5,0)</f>
        <v>15587560</v>
      </c>
      <c r="J94" s="93">
        <f>VLOOKUP(E94,TBMar23!A91:$E$122,5,0)</f>
        <v>0</v>
      </c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7">
        <f t="shared" si="3"/>
        <v>25743760</v>
      </c>
    </row>
    <row r="95" spans="1:21" s="19" customFormat="1" ht="18" customHeight="1">
      <c r="A95" s="92"/>
      <c r="B95" s="92"/>
      <c r="C95" s="92"/>
      <c r="D95" s="92"/>
      <c r="E95" s="102" t="s">
        <v>201</v>
      </c>
      <c r="F95" s="92" t="s">
        <v>27</v>
      </c>
      <c r="G95" s="123"/>
      <c r="H95" s="93">
        <v>4009345.79</v>
      </c>
      <c r="I95" s="157">
        <f>VLOOKUP(E95,TBFeb23!A85:E208,5,0)</f>
        <v>4009346</v>
      </c>
      <c r="J95" s="93">
        <f>VLOOKUP(E95,TBMar23!A92:$E$122,5,0)</f>
        <v>4009346</v>
      </c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7">
        <f t="shared" si="3"/>
        <v>12028037.789999999</v>
      </c>
    </row>
    <row r="96" spans="1:21" s="19" customFormat="1" ht="18" customHeight="1">
      <c r="A96" s="92"/>
      <c r="B96" s="92"/>
      <c r="C96" s="92"/>
      <c r="D96" s="92"/>
      <c r="E96" s="102" t="s">
        <v>272</v>
      </c>
      <c r="F96" s="92" t="s">
        <v>273</v>
      </c>
      <c r="G96" s="123"/>
      <c r="H96" s="93"/>
      <c r="I96" s="157">
        <f>VLOOKUP(E96,TBFeb23!A86:E209,5,0)</f>
        <v>3000000</v>
      </c>
      <c r="J96" s="93">
        <f>VLOOKUP(E96,TBMar23!A93:$E$122,5,0)</f>
        <v>2500000</v>
      </c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7">
        <f t="shared" si="3"/>
        <v>5500000</v>
      </c>
    </row>
    <row r="97" spans="1:21" s="19" customFormat="1" ht="18" customHeight="1">
      <c r="A97" s="92"/>
      <c r="B97" s="92"/>
      <c r="C97" s="92"/>
      <c r="D97" s="92"/>
      <c r="E97" s="102" t="s">
        <v>202</v>
      </c>
      <c r="F97" s="92" t="s">
        <v>102</v>
      </c>
      <c r="G97" s="123"/>
      <c r="H97" s="93">
        <v>32408301.309999999</v>
      </c>
      <c r="I97" s="157">
        <f>VLOOKUP(E97,TBFeb23!A86:E209,5,0)</f>
        <v>0</v>
      </c>
      <c r="J97" s="93">
        <f>VLOOKUP(E97,TBMar23!A94:$E$122,5,0)</f>
        <v>0</v>
      </c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7">
        <f t="shared" si="3"/>
        <v>32408301.309999999</v>
      </c>
    </row>
    <row r="98" spans="1:21" s="19" customFormat="1" ht="18" customHeight="1">
      <c r="A98" s="92"/>
      <c r="B98" s="92"/>
      <c r="C98" s="92"/>
      <c r="D98" s="92"/>
      <c r="E98" s="102" t="s">
        <v>274</v>
      </c>
      <c r="F98" s="92" t="s">
        <v>275</v>
      </c>
      <c r="G98" s="123"/>
      <c r="H98" s="93"/>
      <c r="I98" s="157">
        <f>VLOOKUP(E98,TBFeb23!A87:E210,5,0)</f>
        <v>13665800</v>
      </c>
      <c r="J98" s="93">
        <f>VLOOKUP(E98,TBMar23!A95:$E$122,5,0)</f>
        <v>13670000</v>
      </c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7">
        <f t="shared" si="3"/>
        <v>27335800</v>
      </c>
    </row>
    <row r="99" spans="1:21" s="19" customFormat="1" ht="18" customHeight="1">
      <c r="A99" s="92"/>
      <c r="B99" s="92"/>
      <c r="C99" s="92"/>
      <c r="D99" s="92"/>
      <c r="E99" s="102" t="s">
        <v>203</v>
      </c>
      <c r="F99" s="92" t="s">
        <v>28</v>
      </c>
      <c r="G99" s="123"/>
      <c r="H99" s="93">
        <v>5924450</v>
      </c>
      <c r="I99" s="157">
        <f>VLOOKUP(E99,TBFeb23!A87:E210,5,0)</f>
        <v>0</v>
      </c>
      <c r="J99" s="93">
        <f>VLOOKUP(E99,TBMar23!A96:$E$122,5,0)</f>
        <v>4237500</v>
      </c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7">
        <f t="shared" si="3"/>
        <v>10161950</v>
      </c>
    </row>
    <row r="100" spans="1:21" s="19" customFormat="1" ht="18" customHeight="1">
      <c r="A100" s="92"/>
      <c r="B100" s="92"/>
      <c r="C100" s="92"/>
      <c r="D100" s="92"/>
      <c r="E100" s="102" t="s">
        <v>204</v>
      </c>
      <c r="F100" s="92" t="s">
        <v>29</v>
      </c>
      <c r="G100" s="123"/>
      <c r="H100" s="93">
        <v>280000</v>
      </c>
      <c r="I100" s="157">
        <f>VLOOKUP(E100,TBFeb23!A88:E211,5,0)</f>
        <v>0</v>
      </c>
      <c r="J100" s="93">
        <f>VLOOKUP(E100,TBMar23!A97:$E$122,5,0)</f>
        <v>450000</v>
      </c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7">
        <f t="shared" si="3"/>
        <v>730000</v>
      </c>
    </row>
    <row r="101" spans="1:21" s="19" customFormat="1" ht="18" customHeight="1">
      <c r="A101" s="92"/>
      <c r="B101" s="92"/>
      <c r="C101" s="92"/>
      <c r="D101" s="92"/>
      <c r="E101" s="102" t="s">
        <v>205</v>
      </c>
      <c r="F101" s="92" t="s">
        <v>30</v>
      </c>
      <c r="G101" s="123"/>
      <c r="H101" s="93">
        <v>500000</v>
      </c>
      <c r="I101" s="157">
        <f>VLOOKUP(E101,TBFeb23!A89:E212,5,0)</f>
        <v>4635000</v>
      </c>
      <c r="J101" s="93">
        <f>VLOOKUP(E101,TBMar23!A98:$E$122,5,0)</f>
        <v>0</v>
      </c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7">
        <f t="shared" si="3"/>
        <v>5135000</v>
      </c>
    </row>
    <row r="102" spans="1:21" s="19" customFormat="1" ht="18" customHeight="1">
      <c r="A102" s="92"/>
      <c r="B102" s="92"/>
      <c r="C102" s="92"/>
      <c r="D102" s="92"/>
      <c r="E102" s="102" t="s">
        <v>206</v>
      </c>
      <c r="F102" s="92" t="s">
        <v>135</v>
      </c>
      <c r="G102" s="123"/>
      <c r="H102" s="93">
        <v>41000</v>
      </c>
      <c r="I102" s="157">
        <f>VLOOKUP(E102,TBFeb23!A90:E213,5,0)</f>
        <v>25634759</v>
      </c>
      <c r="J102" s="93">
        <f>VLOOKUP(E102,TBMar23!A99:$E$122,5,0)</f>
        <v>180000</v>
      </c>
      <c r="K102" s="93"/>
      <c r="L102" s="93"/>
      <c r="M102" s="93"/>
      <c r="N102" s="93"/>
      <c r="O102" s="93"/>
      <c r="P102" s="93"/>
      <c r="Q102" s="93"/>
      <c r="R102" s="93"/>
      <c r="S102" s="116"/>
      <c r="T102" s="93"/>
      <c r="U102" s="97">
        <f t="shared" si="3"/>
        <v>25855759</v>
      </c>
    </row>
    <row r="103" spans="1:21" s="19" customFormat="1" ht="18" customHeight="1">
      <c r="A103" s="92"/>
      <c r="B103" s="92"/>
      <c r="C103" s="92"/>
      <c r="D103" s="92"/>
      <c r="E103" s="102" t="s">
        <v>207</v>
      </c>
      <c r="F103" s="92" t="s">
        <v>31</v>
      </c>
      <c r="G103" s="123"/>
      <c r="H103" s="93">
        <v>184000</v>
      </c>
      <c r="I103" s="157">
        <f>VLOOKUP(E103,TBFeb23!A91:E214,5,0)</f>
        <v>184000</v>
      </c>
      <c r="J103" s="93">
        <f>VLOOKUP(E103,TBMar23!A100:$E$122,5,0)</f>
        <v>194000</v>
      </c>
      <c r="K103" s="93"/>
      <c r="L103" s="93"/>
      <c r="M103" s="93"/>
      <c r="N103" s="93"/>
      <c r="O103" s="93"/>
      <c r="P103" s="93"/>
      <c r="Q103" s="93"/>
      <c r="R103" s="93"/>
      <c r="S103" s="116"/>
      <c r="T103" s="93"/>
      <c r="U103" s="97">
        <f t="shared" si="3"/>
        <v>562000</v>
      </c>
    </row>
    <row r="104" spans="1:21" s="19" customFormat="1" ht="18" customHeight="1">
      <c r="A104" s="92"/>
      <c r="B104" s="92"/>
      <c r="C104" s="92"/>
      <c r="D104" s="92"/>
      <c r="E104" s="102" t="s">
        <v>208</v>
      </c>
      <c r="F104" s="92" t="s">
        <v>32</v>
      </c>
      <c r="G104" s="123"/>
      <c r="H104" s="93">
        <v>490000</v>
      </c>
      <c r="I104" s="157">
        <f>VLOOKUP(E104,TBFeb23!A92:E215,5,0)</f>
        <v>490000</v>
      </c>
      <c r="J104" s="93">
        <f>VLOOKUP(E104,TBMar23!A101:$E$122,5,0)</f>
        <v>490000</v>
      </c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7">
        <f t="shared" si="3"/>
        <v>1470000</v>
      </c>
    </row>
    <row r="105" spans="1:21" s="24" customFormat="1" ht="18" customHeight="1">
      <c r="A105" s="92"/>
      <c r="B105" s="92"/>
      <c r="C105" s="92"/>
      <c r="D105" s="92"/>
      <c r="E105" s="102" t="s">
        <v>209</v>
      </c>
      <c r="F105" s="92" t="s">
        <v>210</v>
      </c>
      <c r="G105" s="123"/>
      <c r="H105" s="93">
        <v>2950614.24</v>
      </c>
      <c r="I105" s="157">
        <f>VLOOKUP(E105,TBFeb23!A93:E216,5,0)</f>
        <v>0</v>
      </c>
      <c r="J105" s="93">
        <f>VLOOKUP(E105,TBMar23!A102:$E$122,5,0)</f>
        <v>0</v>
      </c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7">
        <f t="shared" si="3"/>
        <v>2950614.24</v>
      </c>
    </row>
    <row r="106" spans="1:21" s="19" customFormat="1" ht="18" customHeight="1">
      <c r="A106" s="92"/>
      <c r="B106" s="92"/>
      <c r="C106" s="92"/>
      <c r="D106" s="92"/>
      <c r="E106" s="102" t="s">
        <v>211</v>
      </c>
      <c r="F106" s="92" t="s">
        <v>33</v>
      </c>
      <c r="G106" s="112"/>
      <c r="H106" s="93">
        <v>3680000</v>
      </c>
      <c r="I106" s="157">
        <f>VLOOKUP(E106,TBFeb23!A94:E217,5,0)</f>
        <v>0</v>
      </c>
      <c r="J106" s="93">
        <f>VLOOKUP(E106,TBMar23!A103:$E$122,5,0)</f>
        <v>0</v>
      </c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7">
        <f t="shared" si="3"/>
        <v>3680000</v>
      </c>
    </row>
    <row r="107" spans="1:21" s="24" customFormat="1" ht="18" customHeight="1">
      <c r="A107" s="92"/>
      <c r="B107" s="92"/>
      <c r="C107" s="92"/>
      <c r="D107" s="92"/>
      <c r="E107" s="102" t="s">
        <v>212</v>
      </c>
      <c r="F107" s="92" t="s">
        <v>34</v>
      </c>
      <c r="G107" s="112"/>
      <c r="H107" s="93">
        <v>195000</v>
      </c>
      <c r="I107" s="157">
        <f>VLOOKUP(E107,TBFeb23!A95:E218,5,0)</f>
        <v>217000</v>
      </c>
      <c r="J107" s="93">
        <f>VLOOKUP(E107,TBMar23!A104:$E$122,5,0)</f>
        <v>1178000</v>
      </c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7">
        <f t="shared" si="3"/>
        <v>1590000</v>
      </c>
    </row>
    <row r="108" spans="1:21" s="24" customFormat="1" ht="18" customHeight="1">
      <c r="A108" s="92"/>
      <c r="B108" s="92"/>
      <c r="C108" s="92"/>
      <c r="D108" s="92"/>
      <c r="E108" s="102" t="s">
        <v>276</v>
      </c>
      <c r="F108" s="92" t="s">
        <v>263</v>
      </c>
      <c r="G108" s="112"/>
      <c r="H108" s="93"/>
      <c r="I108" s="157">
        <f>VLOOKUP(E108,TBFeb23!A96:E219,5,0)</f>
        <v>6686000</v>
      </c>
      <c r="J108" s="93">
        <f>VLOOKUP(E108,TBMar23!A105:$E$122,5,0)</f>
        <v>0</v>
      </c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7">
        <f t="shared" si="3"/>
        <v>6686000</v>
      </c>
    </row>
    <row r="109" spans="1:21" s="24" customFormat="1" ht="18" customHeight="1">
      <c r="A109" s="92"/>
      <c r="B109" s="92"/>
      <c r="C109" s="92"/>
      <c r="D109" s="92"/>
      <c r="E109" s="102" t="s">
        <v>213</v>
      </c>
      <c r="F109" s="92" t="s">
        <v>36</v>
      </c>
      <c r="G109" s="112"/>
      <c r="H109" s="93">
        <v>1025022.4899999999</v>
      </c>
      <c r="I109" s="157">
        <f>VLOOKUP(E109,TBFeb23!A96:E219,5,0)</f>
        <v>124137.3</v>
      </c>
      <c r="J109" s="93">
        <f>VLOOKUP(E109,TBMar23!A106:$E$122,5,0)</f>
        <v>548345.03</v>
      </c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7">
        <f t="shared" si="3"/>
        <v>1697504.8199999998</v>
      </c>
    </row>
    <row r="110" spans="1:21" s="24" customFormat="1" ht="18" customHeight="1">
      <c r="A110" s="92"/>
      <c r="B110" s="92"/>
      <c r="C110" s="92"/>
      <c r="D110" s="92"/>
      <c r="E110" s="102" t="s">
        <v>277</v>
      </c>
      <c r="F110" s="92" t="s">
        <v>244</v>
      </c>
      <c r="G110" s="112"/>
      <c r="H110" s="93"/>
      <c r="I110" s="157">
        <f>VLOOKUP(E110,TBFeb23!A97:E220,5,0)</f>
        <v>1677000</v>
      </c>
      <c r="J110" s="93">
        <f>VLOOKUP(E110,TBMar23!A107:$E$122,5,0)</f>
        <v>0</v>
      </c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7">
        <f t="shared" si="3"/>
        <v>1677000</v>
      </c>
    </row>
    <row r="111" spans="1:21" s="19" customFormat="1" ht="18" customHeight="1">
      <c r="A111" s="92"/>
      <c r="B111" s="92"/>
      <c r="C111" s="92"/>
      <c r="D111" s="92"/>
      <c r="E111" s="102" t="s">
        <v>216</v>
      </c>
      <c r="F111" s="92" t="s">
        <v>136</v>
      </c>
      <c r="G111" s="123"/>
      <c r="H111" s="93">
        <v>203205253</v>
      </c>
      <c r="I111" s="157">
        <f>VLOOKUP(E111,TBFeb23!A97:E220,5,0)</f>
        <v>37762435</v>
      </c>
      <c r="J111" s="93">
        <f>VLOOKUP(E111,TBMar23!A108:$E$122,5,0)</f>
        <v>35966100</v>
      </c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7">
        <f t="shared" si="3"/>
        <v>276933788</v>
      </c>
    </row>
    <row r="112" spans="1:21" s="19" customFormat="1" ht="18" customHeight="1">
      <c r="A112" s="92"/>
      <c r="B112" s="92"/>
      <c r="C112" s="92"/>
      <c r="D112" s="92"/>
      <c r="E112" s="102" t="s">
        <v>278</v>
      </c>
      <c r="F112" s="92" t="s">
        <v>279</v>
      </c>
      <c r="G112" s="123"/>
      <c r="H112" s="93"/>
      <c r="I112" s="157">
        <f>VLOOKUP(E112,TBFeb23!A98:E221,5,0)</f>
        <v>1869476.94</v>
      </c>
      <c r="J112" s="93">
        <f>VLOOKUP(E112,TBMar23!A109:$E$122,5,0)</f>
        <v>1791356</v>
      </c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7">
        <f t="shared" si="3"/>
        <v>3660832.94</v>
      </c>
    </row>
    <row r="113" spans="1:21" s="19" customFormat="1" ht="18" customHeight="1">
      <c r="A113" s="92"/>
      <c r="B113" s="92"/>
      <c r="C113" s="92"/>
      <c r="D113" s="92"/>
      <c r="E113" s="102" t="s">
        <v>280</v>
      </c>
      <c r="F113" s="92" t="s">
        <v>281</v>
      </c>
      <c r="G113" s="123"/>
      <c r="H113" s="93"/>
      <c r="I113" s="157">
        <f>VLOOKUP(E113,TBFeb23!A99:E222,5,0)</f>
        <v>968865</v>
      </c>
      <c r="J113" s="93">
        <f>VLOOKUP(E113,TBMar23!A110:$E$122,5,0)</f>
        <v>770700</v>
      </c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7">
        <f t="shared" si="3"/>
        <v>1739565</v>
      </c>
    </row>
    <row r="114" spans="1:21" s="19" customFormat="1" ht="18" customHeight="1">
      <c r="A114" s="92"/>
      <c r="B114" s="92"/>
      <c r="C114" s="92"/>
      <c r="D114" s="92"/>
      <c r="E114" s="102" t="s">
        <v>217</v>
      </c>
      <c r="F114" s="92" t="s">
        <v>218</v>
      </c>
      <c r="G114" s="123"/>
      <c r="H114" s="93">
        <v>33134941.039999999</v>
      </c>
      <c r="I114" s="157">
        <f>VLOOKUP(E114,TBFeb23!A98:E221,5,0)</f>
        <v>0</v>
      </c>
      <c r="J114" s="93">
        <f>VLOOKUP(E114,TBMar23!A111:$E$122,5,0)</f>
        <v>0</v>
      </c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7">
        <f t="shared" si="3"/>
        <v>33134941.039999999</v>
      </c>
    </row>
    <row r="115" spans="1:21" s="19" customFormat="1" ht="18" customHeight="1">
      <c r="A115" s="92"/>
      <c r="B115" s="92"/>
      <c r="C115" s="92"/>
      <c r="D115" s="92"/>
      <c r="E115" s="102" t="s">
        <v>137</v>
      </c>
      <c r="F115" s="92" t="s">
        <v>35</v>
      </c>
      <c r="G115" s="123"/>
      <c r="H115" s="93">
        <v>744000</v>
      </c>
      <c r="I115" s="157">
        <f>VLOOKUP(E115,TBFeb23!A99:E222,5,0)</f>
        <v>0</v>
      </c>
      <c r="J115" s="93">
        <f>VLOOKUP(E115,TBMar23!A112:$E$122,5,0)</f>
        <v>0</v>
      </c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7">
        <f t="shared" si="3"/>
        <v>744000</v>
      </c>
    </row>
    <row r="116" spans="1:21" s="19" customFormat="1" ht="18" customHeight="1">
      <c r="A116" s="92"/>
      <c r="B116" s="92"/>
      <c r="C116" s="92"/>
      <c r="D116" s="92"/>
      <c r="E116" s="102" t="s">
        <v>282</v>
      </c>
      <c r="F116" s="92" t="s">
        <v>283</v>
      </c>
      <c r="G116" s="123"/>
      <c r="H116" s="93"/>
      <c r="I116" s="157">
        <f>VLOOKUP(E116,TBFeb23!A100:E223,5,0)</f>
        <v>1114000</v>
      </c>
      <c r="J116" s="93">
        <f>VLOOKUP(E116,TBMar23!A113:$E$122,5,0)</f>
        <v>0</v>
      </c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7">
        <f t="shared" si="3"/>
        <v>1114000</v>
      </c>
    </row>
    <row r="117" spans="1:21" s="19" customFormat="1" ht="18" customHeight="1">
      <c r="A117" s="92"/>
      <c r="B117" s="92"/>
      <c r="C117" s="92"/>
      <c r="D117" s="92"/>
      <c r="E117" s="102" t="s">
        <v>219</v>
      </c>
      <c r="F117" s="92" t="s">
        <v>40</v>
      </c>
      <c r="G117" s="123"/>
      <c r="H117" s="93">
        <v>76041488</v>
      </c>
      <c r="I117" s="157">
        <f>VLOOKUP(E117,TBFeb23!A100:E223,5,0)</f>
        <v>76786465.269999996</v>
      </c>
      <c r="J117" s="93">
        <f>VLOOKUP(E117,TBMar23!A114:$E$122,5,0)</f>
        <v>76786465.269999996</v>
      </c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7">
        <f t="shared" si="3"/>
        <v>229614418.53999996</v>
      </c>
    </row>
    <row r="118" spans="1:21" s="19" customFormat="1" ht="18" customHeight="1">
      <c r="A118" s="92"/>
      <c r="B118" s="92"/>
      <c r="C118" s="92"/>
      <c r="D118" s="112"/>
      <c r="E118" s="102"/>
      <c r="F118" s="92"/>
      <c r="G118" s="123"/>
      <c r="H118" s="93">
        <v>0</v>
      </c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7">
        <f t="shared" si="3"/>
        <v>0</v>
      </c>
    </row>
    <row r="119" spans="1:21" s="19" customFormat="1" ht="18" customHeight="1">
      <c r="A119" s="92"/>
      <c r="B119" s="92"/>
      <c r="C119" s="92"/>
      <c r="D119" s="92"/>
      <c r="E119" s="96" t="s">
        <v>103</v>
      </c>
      <c r="F119" s="92"/>
      <c r="G119" s="123"/>
      <c r="H119" s="156">
        <v>379007615.87</v>
      </c>
      <c r="I119" s="217">
        <f>SUM(I89:I117)</f>
        <v>198302844.50999999</v>
      </c>
      <c r="J119" s="217">
        <f>SUM(J89:J118)</f>
        <v>148090852.30000001</v>
      </c>
      <c r="K119" s="122"/>
      <c r="L119" s="132"/>
      <c r="M119" s="132"/>
      <c r="N119" s="132"/>
      <c r="O119" s="132"/>
      <c r="P119" s="132"/>
      <c r="Q119" s="132"/>
      <c r="R119" s="132"/>
      <c r="S119" s="132"/>
      <c r="T119" s="132"/>
      <c r="U119" s="121">
        <f t="shared" si="3"/>
        <v>725401312.68000007</v>
      </c>
    </row>
    <row r="120" spans="1:21" s="19" customFormat="1" ht="18" customHeight="1">
      <c r="A120" s="92"/>
      <c r="B120" s="92"/>
      <c r="C120" s="92"/>
      <c r="D120" s="91" t="s">
        <v>47</v>
      </c>
      <c r="E120" s="102"/>
      <c r="F120" s="92"/>
      <c r="G120" s="12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9"/>
    </row>
    <row r="121" spans="1:21" s="19" customFormat="1" ht="18" customHeight="1">
      <c r="A121" s="92"/>
      <c r="B121" s="92"/>
      <c r="C121" s="92"/>
      <c r="D121" s="91"/>
      <c r="E121" s="102">
        <v>658</v>
      </c>
      <c r="F121" s="92" t="s">
        <v>38</v>
      </c>
      <c r="G121" s="123"/>
      <c r="H121" s="93">
        <v>-8351922.9200000027</v>
      </c>
      <c r="I121" s="93">
        <f>VLOOKUP(E121,TBFeb23!A104:E227,5,0)</f>
        <v>5000</v>
      </c>
      <c r="J121" s="93">
        <f>VLOOKUP(E121,TBMar23!A116:$E$122,5,0)</f>
        <v>25000</v>
      </c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9">
        <f>SUM(H121:S121)</f>
        <v>-8321922.9200000027</v>
      </c>
    </row>
    <row r="122" spans="1:21" s="19" customFormat="1" ht="18" customHeight="1">
      <c r="A122" s="92"/>
      <c r="B122" s="92"/>
      <c r="C122" s="92"/>
      <c r="D122" s="92"/>
      <c r="E122" s="102">
        <v>656</v>
      </c>
      <c r="F122" s="92" t="s">
        <v>37</v>
      </c>
      <c r="G122" s="92"/>
      <c r="H122" s="93">
        <v>0</v>
      </c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7">
        <f>SUM(H122:Q122)+SUM(S122+T122)</f>
        <v>0</v>
      </c>
    </row>
    <row r="123" spans="1:21" s="19" customFormat="1" ht="18" customHeight="1">
      <c r="A123" s="92"/>
      <c r="B123" s="92"/>
      <c r="C123" s="92"/>
      <c r="D123" s="92"/>
      <c r="E123" s="102" t="s">
        <v>104</v>
      </c>
      <c r="F123" s="92"/>
      <c r="G123" s="123"/>
      <c r="H123" s="156">
        <v>-8351922.9200000027</v>
      </c>
      <c r="I123" s="122">
        <f>SUM(I121:I122)</f>
        <v>5000</v>
      </c>
      <c r="J123" s="122">
        <f>SUM(J121:J122)</f>
        <v>25000</v>
      </c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1">
        <f>SUM(H123:Q123)+SUM(S123+T123)</f>
        <v>-8321922.9200000027</v>
      </c>
    </row>
    <row r="124" spans="1:21" s="19" customFormat="1" ht="18" customHeight="1">
      <c r="A124" s="92"/>
      <c r="B124" s="92"/>
      <c r="C124" s="92"/>
      <c r="D124" s="92"/>
      <c r="E124" s="96" t="s">
        <v>105</v>
      </c>
      <c r="F124" s="92"/>
      <c r="G124" s="123"/>
      <c r="H124" s="122">
        <v>370655692.94999999</v>
      </c>
      <c r="I124" s="122">
        <f>I119+I123</f>
        <v>198307844.50999999</v>
      </c>
      <c r="J124" s="122">
        <f>J119+J123</f>
        <v>148115852.30000001</v>
      </c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1">
        <f>SUM(H124:Q124)+SUM(S124+T124)</f>
        <v>717079389.75999999</v>
      </c>
    </row>
    <row r="125" spans="1:21" s="19" customFormat="1" ht="18" customHeight="1">
      <c r="A125" s="92"/>
      <c r="B125" s="92"/>
      <c r="C125" s="92"/>
      <c r="D125" s="92"/>
      <c r="E125" s="96" t="s">
        <v>48</v>
      </c>
      <c r="F125" s="92"/>
      <c r="G125" s="123"/>
      <c r="H125" s="120">
        <v>512699507.74000007</v>
      </c>
      <c r="I125" s="120">
        <f>I85-I124</f>
        <v>-440856865.88999999</v>
      </c>
      <c r="J125" s="120">
        <f>J85-J124</f>
        <v>306189673.56</v>
      </c>
      <c r="K125" s="120"/>
      <c r="L125" s="120"/>
      <c r="M125" s="120"/>
      <c r="N125" s="120"/>
      <c r="O125" s="120"/>
      <c r="P125" s="120"/>
      <c r="Q125" s="120"/>
      <c r="R125" s="120"/>
      <c r="S125" s="120"/>
      <c r="T125" s="132"/>
      <c r="U125" s="121">
        <f>SUM(H125:Q125)+SUM(S125+T125)</f>
        <v>378032315.41000009</v>
      </c>
    </row>
    <row r="126" spans="1:21" s="19" customFormat="1" ht="18" customHeight="1">
      <c r="A126" s="92"/>
      <c r="B126" s="92"/>
      <c r="C126" s="92"/>
      <c r="D126" s="91" t="s">
        <v>49</v>
      </c>
      <c r="E126" s="102"/>
      <c r="F126" s="92"/>
      <c r="G126" s="12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9"/>
    </row>
    <row r="127" spans="1:21" s="19" customFormat="1" ht="18" customHeight="1">
      <c r="A127" s="92"/>
      <c r="B127" s="92"/>
      <c r="C127" s="92"/>
      <c r="D127" s="91"/>
      <c r="E127" s="102">
        <v>763</v>
      </c>
      <c r="F127" s="102" t="s">
        <v>42</v>
      </c>
      <c r="G127" s="123"/>
      <c r="H127" s="93">
        <v>4061014.93</v>
      </c>
      <c r="I127" s="93">
        <f>VLOOKUP(E127,TBFeb23!A110:F233,6,0)</f>
        <v>1229167.79</v>
      </c>
      <c r="J127" s="93">
        <f>VLOOKUP(E127,TBMar23!A$120:$G126,6,0)</f>
        <v>2915094.11</v>
      </c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7">
        <f>SUM(H127:Q127)+SUM(S127+T127)</f>
        <v>8205276.8300000001</v>
      </c>
    </row>
    <row r="128" spans="1:21" s="19" customFormat="1" ht="18" customHeight="1">
      <c r="A128" s="92"/>
      <c r="B128" s="92"/>
      <c r="C128" s="92"/>
      <c r="D128" s="112"/>
      <c r="E128" s="102">
        <v>768</v>
      </c>
      <c r="F128" s="102" t="s">
        <v>43</v>
      </c>
      <c r="G128" s="92"/>
      <c r="H128" s="93">
        <v>74773499.069999993</v>
      </c>
      <c r="I128" s="93">
        <f>VLOOKUP(E128,TBFeb23!A111:F234,6,0)</f>
        <v>86560939.849999994</v>
      </c>
      <c r="J128" s="93">
        <f>VLOOKUP(E128,TBMar23!A$120:$G127,6,0)</f>
        <v>250000</v>
      </c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7">
        <f>SUM(H128:Q128)+SUM(S128+T128)</f>
        <v>161584438.91999999</v>
      </c>
    </row>
    <row r="129" spans="1:21" s="19" customFormat="1" ht="18" customHeight="1">
      <c r="A129" s="92"/>
      <c r="B129" s="92"/>
      <c r="C129" s="92"/>
      <c r="D129" s="112"/>
      <c r="E129" s="102" t="s">
        <v>301</v>
      </c>
      <c r="F129" s="102" t="s">
        <v>302</v>
      </c>
      <c r="G129" s="92"/>
      <c r="H129" s="93"/>
      <c r="I129" s="93"/>
      <c r="J129" s="93">
        <f>VLOOKUP(E129,TBMar23!A$122:$G128,6,0)</f>
        <v>21160380</v>
      </c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7">
        <f>SUM(H129:Q129)+SUM(S129+T129)</f>
        <v>21160380</v>
      </c>
    </row>
    <row r="130" spans="1:21" s="19" customFormat="1" ht="18" customHeight="1">
      <c r="A130" s="92"/>
      <c r="B130" s="92"/>
      <c r="C130" s="92"/>
      <c r="D130" s="92"/>
      <c r="E130" s="96" t="s">
        <v>106</v>
      </c>
      <c r="F130" s="92"/>
      <c r="G130" s="92"/>
      <c r="H130" s="153">
        <v>78834514</v>
      </c>
      <c r="I130" s="122">
        <f>SUM(I127:I128)</f>
        <v>87790107.640000001</v>
      </c>
      <c r="J130" s="122">
        <f>SUM(J127:S129)</f>
        <v>24325474.109999999</v>
      </c>
      <c r="K130" s="122"/>
      <c r="L130" s="122"/>
      <c r="M130" s="122"/>
      <c r="N130" s="122"/>
      <c r="O130" s="122"/>
      <c r="P130" s="122"/>
      <c r="Q130" s="122"/>
      <c r="R130" s="122"/>
      <c r="S130" s="122"/>
      <c r="T130" s="132"/>
      <c r="U130" s="121">
        <f>SUM(H130:Q130)+SUM(S130+T130)</f>
        <v>190950095.75</v>
      </c>
    </row>
    <row r="131" spans="1:21" s="19" customFormat="1" ht="18" customHeight="1">
      <c r="A131" s="92"/>
      <c r="B131" s="92"/>
      <c r="C131" s="92"/>
      <c r="D131" s="91" t="s">
        <v>50</v>
      </c>
      <c r="E131" s="96"/>
      <c r="F131" s="92"/>
      <c r="G131" s="92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9"/>
    </row>
    <row r="132" spans="1:21" s="19" customFormat="1" ht="18" customHeight="1">
      <c r="A132" s="92"/>
      <c r="B132" s="92"/>
      <c r="C132" s="92"/>
      <c r="D132" s="92"/>
      <c r="E132" s="102">
        <v>661</v>
      </c>
      <c r="F132" s="92" t="s">
        <v>245</v>
      </c>
      <c r="G132" s="123"/>
      <c r="H132" s="93">
        <v>0</v>
      </c>
      <c r="I132" s="93">
        <v>0</v>
      </c>
      <c r="J132" s="93">
        <v>0</v>
      </c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7">
        <f>SUM(H132:Q132)+SUM(S132+T132)</f>
        <v>0</v>
      </c>
    </row>
    <row r="133" spans="1:21" s="19" customFormat="1" ht="18" customHeight="1">
      <c r="A133" s="92"/>
      <c r="B133" s="92"/>
      <c r="C133" s="92"/>
      <c r="D133" s="92"/>
      <c r="E133" s="102">
        <v>663</v>
      </c>
      <c r="F133" s="92" t="s">
        <v>246</v>
      </c>
      <c r="G133" s="92"/>
      <c r="H133" s="93">
        <v>47160464.020000003</v>
      </c>
      <c r="I133" s="93">
        <f>VLOOKUP(E133,TBFeb23!A115:E238,5,0)</f>
        <v>3885004.5</v>
      </c>
      <c r="J133" s="93">
        <f>VLOOKUP(E133,TBMar23!A$117:$E127,5,0)</f>
        <v>55909075.590000004</v>
      </c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7">
        <f>SUM(H133:Q133)+SUM(S133+T133)</f>
        <v>106954544.11000001</v>
      </c>
    </row>
    <row r="134" spans="1:21" s="19" customFormat="1" ht="18" customHeight="1">
      <c r="A134" s="92"/>
      <c r="B134" s="92"/>
      <c r="C134" s="92"/>
      <c r="D134" s="92"/>
      <c r="E134" s="96" t="s">
        <v>107</v>
      </c>
      <c r="F134" s="92"/>
      <c r="G134" s="92"/>
      <c r="H134" s="156">
        <v>47160464.020000003</v>
      </c>
      <c r="I134" s="122">
        <f>SUM(I132:I133)</f>
        <v>3885004.5</v>
      </c>
      <c r="J134" s="122">
        <f>SUM(J132:J133)</f>
        <v>55909075.590000004</v>
      </c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1">
        <f>SUM(H134:Q134)+SUM(S134+T134)</f>
        <v>106954544.11000001</v>
      </c>
    </row>
    <row r="135" spans="1:21" s="19" customFormat="1" ht="18" customHeight="1" thickBot="1">
      <c r="A135" s="92"/>
      <c r="B135" s="92"/>
      <c r="C135" s="92"/>
      <c r="D135" s="92"/>
      <c r="E135" s="91" t="s">
        <v>51</v>
      </c>
      <c r="F135" s="92"/>
      <c r="G135" s="123"/>
      <c r="H135" s="135">
        <v>544373557.72000003</v>
      </c>
      <c r="I135" s="135">
        <f>+I125+I130-I134</f>
        <v>-356951762.75</v>
      </c>
      <c r="J135" s="135">
        <f>+J125+J130-J134</f>
        <v>274606072.08000004</v>
      </c>
      <c r="K135" s="100"/>
      <c r="L135" s="100"/>
      <c r="M135" s="100"/>
      <c r="N135" s="100"/>
      <c r="O135" s="100"/>
      <c r="P135" s="100"/>
      <c r="Q135" s="100"/>
      <c r="R135" s="100"/>
      <c r="S135" s="100"/>
      <c r="T135" s="132"/>
      <c r="U135" s="121">
        <f>SUM(H135:Q135)+SUM(S135+T135)</f>
        <v>462027867.05000007</v>
      </c>
    </row>
    <row r="136" spans="1:21" s="19" customFormat="1" ht="18" customHeight="1" thickTop="1">
      <c r="A136" s="92"/>
      <c r="B136" s="92"/>
      <c r="C136" s="92"/>
      <c r="D136" s="92"/>
      <c r="E136" s="92"/>
      <c r="F136" s="92"/>
      <c r="G136" s="123"/>
      <c r="H136" s="247">
        <f>H135</f>
        <v>544373557.72000003</v>
      </c>
      <c r="I136" s="247">
        <f>H136+I135</f>
        <v>187421794.97000003</v>
      </c>
      <c r="J136" s="247">
        <f>I136+J135</f>
        <v>462027867.05000007</v>
      </c>
      <c r="K136" s="247"/>
      <c r="L136" s="247"/>
      <c r="M136" s="247"/>
      <c r="N136" s="247"/>
      <c r="O136" s="247"/>
      <c r="P136" s="247"/>
      <c r="Q136" s="247"/>
      <c r="R136" s="247"/>
      <c r="S136" s="248"/>
      <c r="T136" s="248"/>
      <c r="U136" s="248"/>
    </row>
    <row r="137" spans="1:21" s="19" customFormat="1" ht="18" customHeight="1">
      <c r="A137" s="92"/>
      <c r="B137" s="92"/>
      <c r="C137" s="92"/>
      <c r="D137" s="92"/>
      <c r="E137" s="92"/>
      <c r="F137" s="92"/>
      <c r="G137" s="123"/>
      <c r="H137" s="136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125"/>
      <c r="T137" s="113"/>
      <c r="U137" s="183"/>
    </row>
    <row r="138" spans="1:21" s="19" customFormat="1" ht="18" customHeight="1">
      <c r="A138" s="18"/>
      <c r="B138" s="18"/>
      <c r="C138" s="18"/>
      <c r="D138" s="18"/>
      <c r="E138" s="18"/>
      <c r="F138" s="18"/>
      <c r="G138" s="29"/>
      <c r="H138" s="137"/>
      <c r="S138" s="30"/>
      <c r="T138" s="30"/>
      <c r="U138" s="42"/>
    </row>
    <row r="139" spans="1:21" s="19" customFormat="1" ht="18" customHeight="1">
      <c r="A139" s="18"/>
      <c r="B139" s="18"/>
      <c r="C139" s="18"/>
      <c r="D139" s="18"/>
      <c r="E139" s="18"/>
      <c r="F139" s="18"/>
      <c r="G139" s="29"/>
      <c r="H139" s="138"/>
      <c r="S139" s="30"/>
      <c r="T139" s="30"/>
      <c r="U139" s="42"/>
    </row>
    <row r="140" spans="1:21" s="19" customFormat="1" ht="18" customHeight="1">
      <c r="A140" s="18"/>
      <c r="B140" s="18"/>
      <c r="C140" s="18"/>
      <c r="D140" s="18"/>
      <c r="E140" s="18"/>
      <c r="F140" s="18"/>
      <c r="G140" s="29"/>
      <c r="H140" s="138"/>
      <c r="S140" s="30"/>
      <c r="T140" s="30"/>
      <c r="U140" s="42"/>
    </row>
    <row r="141" spans="1:21" s="19" customFormat="1" ht="18" customHeight="1">
      <c r="A141" s="18"/>
      <c r="B141" s="18"/>
      <c r="C141" s="18"/>
      <c r="D141" s="18"/>
      <c r="E141" s="18"/>
      <c r="F141" s="18"/>
      <c r="G141" s="29"/>
      <c r="H141" s="138"/>
      <c r="U141" s="24"/>
    </row>
    <row r="142" spans="1:21" s="19" customFormat="1" ht="18" customHeight="1">
      <c r="A142" s="18"/>
      <c r="B142" s="18"/>
      <c r="C142" s="18"/>
      <c r="D142" s="18"/>
      <c r="E142" s="18"/>
      <c r="F142" s="18"/>
      <c r="G142" s="29"/>
      <c r="H142" s="138"/>
      <c r="U142" s="24"/>
    </row>
    <row r="143" spans="1:21" s="19" customFormat="1" ht="18" customHeight="1">
      <c r="A143" s="18"/>
      <c r="B143" s="18"/>
      <c r="C143" s="18"/>
      <c r="D143" s="18"/>
      <c r="E143" s="18"/>
      <c r="F143" s="18"/>
      <c r="G143" s="29"/>
      <c r="H143" s="139"/>
      <c r="U143" s="24"/>
    </row>
    <row r="144" spans="1:21" s="19" customFormat="1" ht="18" customHeight="1">
      <c r="A144" s="18"/>
      <c r="B144" s="18"/>
      <c r="C144" s="18"/>
      <c r="D144" s="18"/>
      <c r="E144" s="18"/>
      <c r="F144" s="18"/>
      <c r="G144" s="29"/>
      <c r="U144" s="24"/>
    </row>
    <row r="145" spans="7:20" ht="18" customHeight="1">
      <c r="G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7:20" ht="18" customHeight="1">
      <c r="G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7:20" ht="18" customHeight="1">
      <c r="G147" s="29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7:20" ht="18" customHeight="1">
      <c r="G148" s="29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5E9D-BA6E-4C69-A862-2FC84F56F46C}">
  <dimension ref="A1:U149"/>
  <sheetViews>
    <sheetView tabSelected="1" zoomScale="73" zoomScaleNormal="73" zoomScaleSheetLayoutView="90" workbookViewId="0">
      <pane xSplit="7" ySplit="4" topLeftCell="H125" activePane="bottomRight" state="frozen"/>
      <selection pane="topRight" activeCell="H1" sqref="H1"/>
      <selection pane="bottomLeft" activeCell="A5" sqref="A5"/>
      <selection pane="bottomRight" activeCell="I143" sqref="I143"/>
    </sheetView>
  </sheetViews>
  <sheetFormatPr defaultColWidth="8.6640625" defaultRowHeight="18" customHeight="1"/>
  <cols>
    <col min="1" max="1" width="5.109375" style="18" customWidth="1"/>
    <col min="2" max="2" width="1.6640625" style="18" customWidth="1"/>
    <col min="3" max="3" width="2.5546875" style="18" customWidth="1"/>
    <col min="4" max="4" width="9" style="18" customWidth="1"/>
    <col min="5" max="5" width="12.6640625" style="18" customWidth="1"/>
    <col min="6" max="6" width="50.109375" style="18" customWidth="1"/>
    <col min="7" max="7" width="5.88671875" style="18" customWidth="1"/>
    <col min="8" max="8" width="25.5546875" style="19" customWidth="1"/>
    <col min="9" max="10" width="26" style="20" customWidth="1"/>
    <col min="11" max="19" width="26" style="20" hidden="1" customWidth="1"/>
    <col min="20" max="20" width="26" style="20" customWidth="1"/>
    <col min="21" max="21" width="26" style="18" customWidth="1"/>
    <col min="22" max="16384" width="8.6640625" style="18"/>
  </cols>
  <sheetData>
    <row r="1" spans="1:21" ht="18" customHeight="1">
      <c r="A1" s="17" t="s">
        <v>239</v>
      </c>
    </row>
    <row r="2" spans="1:21" ht="18" customHeight="1">
      <c r="A2" s="17" t="s">
        <v>85</v>
      </c>
      <c r="H2" s="142">
        <v>16762</v>
      </c>
      <c r="I2" s="220">
        <v>16786</v>
      </c>
      <c r="J2" s="220">
        <v>16851</v>
      </c>
      <c r="T2" s="220"/>
    </row>
    <row r="3" spans="1:21" ht="18" customHeight="1">
      <c r="A3" s="17" t="s">
        <v>86</v>
      </c>
      <c r="C3" s="22" t="s">
        <v>305</v>
      </c>
    </row>
    <row r="4" spans="1:21" ht="18" customHeight="1">
      <c r="A4" s="18">
        <v>1</v>
      </c>
      <c r="B4" s="18">
        <v>2</v>
      </c>
      <c r="C4" s="18">
        <v>3</v>
      </c>
      <c r="D4" s="18">
        <v>4</v>
      </c>
      <c r="E4" s="18">
        <v>5</v>
      </c>
      <c r="F4" s="18">
        <v>6</v>
      </c>
      <c r="G4" s="18">
        <v>7</v>
      </c>
      <c r="H4" s="90">
        <v>44927</v>
      </c>
      <c r="I4" s="90">
        <v>44958</v>
      </c>
      <c r="J4" s="90">
        <v>44986</v>
      </c>
      <c r="K4" s="90">
        <v>45017</v>
      </c>
      <c r="L4" s="90">
        <v>45047</v>
      </c>
      <c r="M4" s="90">
        <v>45078</v>
      </c>
      <c r="N4" s="90">
        <v>45108</v>
      </c>
      <c r="O4" s="90">
        <v>45139</v>
      </c>
      <c r="P4" s="90">
        <v>45170</v>
      </c>
      <c r="Q4" s="90">
        <v>45200</v>
      </c>
      <c r="R4" s="90">
        <v>45231</v>
      </c>
      <c r="S4" s="90">
        <v>45261</v>
      </c>
      <c r="T4" s="23" t="s">
        <v>117</v>
      </c>
      <c r="U4" s="52" t="s">
        <v>44</v>
      </c>
    </row>
    <row r="5" spans="1:21" ht="18" customHeight="1">
      <c r="A5" s="17" t="s">
        <v>87</v>
      </c>
      <c r="B5" s="17"/>
      <c r="C5" s="17"/>
      <c r="D5" s="17"/>
      <c r="U5" s="21"/>
    </row>
    <row r="6" spans="1:21" ht="18" customHeight="1">
      <c r="A6" s="17"/>
      <c r="B6" s="17"/>
      <c r="C6" s="17" t="s">
        <v>88</v>
      </c>
      <c r="D6" s="17"/>
      <c r="U6" s="21"/>
    </row>
    <row r="7" spans="1:21" ht="18" customHeight="1">
      <c r="A7" s="91"/>
      <c r="B7" s="91"/>
      <c r="C7" s="91"/>
      <c r="D7" s="91" t="s">
        <v>89</v>
      </c>
      <c r="E7" s="92"/>
      <c r="F7" s="92"/>
      <c r="G7" s="92"/>
      <c r="H7" s="93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</row>
    <row r="8" spans="1:21" ht="18" customHeight="1">
      <c r="A8" s="92"/>
      <c r="B8" s="92"/>
      <c r="C8" s="92"/>
      <c r="D8" s="91">
        <v>701.01</v>
      </c>
      <c r="E8" s="96">
        <v>701.01</v>
      </c>
      <c r="F8" s="91" t="s">
        <v>240</v>
      </c>
      <c r="G8" s="92"/>
      <c r="H8" s="93">
        <f>PL!H8/'PL USD'!$H$2</f>
        <v>154724.40287555184</v>
      </c>
      <c r="I8" s="93">
        <f>PL!I8/'PL USD'!$I$2</f>
        <v>2401.8682235195997</v>
      </c>
      <c r="J8" s="93">
        <f>PL!J8/'PL USD'!$J$2</f>
        <v>48639.124576582995</v>
      </c>
      <c r="K8" s="93"/>
      <c r="L8" s="93"/>
      <c r="M8" s="93"/>
      <c r="N8" s="93"/>
      <c r="O8" s="93"/>
      <c r="P8" s="93"/>
      <c r="Q8" s="93"/>
      <c r="R8" s="93"/>
      <c r="S8" s="93"/>
      <c r="T8" s="93"/>
      <c r="U8" s="97">
        <f>SUM(H8:Q8)+SUM(S8+T8)</f>
        <v>205765.39567565441</v>
      </c>
    </row>
    <row r="9" spans="1:21" ht="18" customHeight="1">
      <c r="A9" s="92"/>
      <c r="B9" s="92"/>
      <c r="C9" s="92"/>
      <c r="D9" s="91"/>
      <c r="E9" s="96"/>
      <c r="F9" s="91"/>
      <c r="G9" s="92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7"/>
    </row>
    <row r="10" spans="1:21" ht="18" customHeight="1">
      <c r="A10" s="92"/>
      <c r="B10" s="92"/>
      <c r="C10" s="92"/>
      <c r="D10" s="91" t="s">
        <v>90</v>
      </c>
      <c r="E10" s="92"/>
      <c r="F10" s="92"/>
      <c r="G10" s="92"/>
      <c r="H10" s="98">
        <f>SUM(H8:H9)</f>
        <v>154724.40287555184</v>
      </c>
      <c r="I10" s="98">
        <f>SUM(I8:I9)</f>
        <v>2401.8682235195997</v>
      </c>
      <c r="J10" s="98">
        <f>SUM(J8:J9)</f>
        <v>48639.124576582995</v>
      </c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>
        <f>SUM(H10:Q10)+SUM(S10+T10)</f>
        <v>205765.39567565441</v>
      </c>
    </row>
    <row r="11" spans="1:21" ht="18" customHeight="1">
      <c r="A11" s="92"/>
      <c r="B11" s="92"/>
      <c r="C11" s="92"/>
      <c r="D11" s="92"/>
      <c r="E11" s="92" t="s">
        <v>91</v>
      </c>
      <c r="F11" s="92"/>
      <c r="G11" s="92"/>
      <c r="H11" s="93">
        <v>0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9">
        <f>SUM(H11:L11)</f>
        <v>0</v>
      </c>
    </row>
    <row r="12" spans="1:21" ht="18" customHeight="1" thickBot="1">
      <c r="A12" s="92"/>
      <c r="B12" s="92"/>
      <c r="C12" s="91" t="s">
        <v>92</v>
      </c>
      <c r="D12" s="92"/>
      <c r="E12" s="92"/>
      <c r="F12" s="92"/>
      <c r="G12" s="92"/>
      <c r="H12" s="152">
        <f>H10+H11</f>
        <v>154724.40287555184</v>
      </c>
      <c r="I12" s="152">
        <f>I10+I11</f>
        <v>2401.8682235195997</v>
      </c>
      <c r="J12" s="152">
        <f>J10+J11</f>
        <v>48639.124576582995</v>
      </c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1">
        <f>SUM(H12:Q12)+SUM(S12+T12)</f>
        <v>205765.39567565441</v>
      </c>
    </row>
    <row r="13" spans="1:21" ht="18" customHeight="1" thickTop="1">
      <c r="A13" s="92"/>
      <c r="B13" s="92"/>
      <c r="C13" s="91" t="s">
        <v>93</v>
      </c>
      <c r="D13" s="92"/>
      <c r="E13" s="92"/>
      <c r="F13" s="92"/>
      <c r="G13" s="92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9">
        <f>SUM(H13:L13)</f>
        <v>0</v>
      </c>
    </row>
    <row r="14" spans="1:21" ht="18" customHeight="1">
      <c r="A14" s="92"/>
      <c r="B14" s="92"/>
      <c r="C14" s="92"/>
      <c r="D14" s="92"/>
      <c r="E14" s="102">
        <v>1311</v>
      </c>
      <c r="F14" s="103" t="s">
        <v>223</v>
      </c>
      <c r="G14" s="104"/>
      <c r="H14" s="93">
        <f>PL!H14/'PL USD'!$H$2</f>
        <v>0</v>
      </c>
      <c r="I14" s="93">
        <f>PL!I14/'PL USD'!$I$2</f>
        <v>0</v>
      </c>
      <c r="J14" s="105"/>
      <c r="K14" s="105"/>
      <c r="L14" s="105"/>
      <c r="M14" s="105"/>
      <c r="N14" s="105"/>
      <c r="O14" s="105"/>
      <c r="P14" s="105"/>
      <c r="Q14" s="105"/>
      <c r="R14" s="105"/>
      <c r="S14" s="93"/>
      <c r="T14" s="93"/>
      <c r="U14" s="97">
        <f t="shared" ref="U14:U47" si="0">SUM(H14:Q14)+SUM(S14+T14)</f>
        <v>0</v>
      </c>
    </row>
    <row r="15" spans="1:21" ht="18" customHeight="1">
      <c r="A15" s="92"/>
      <c r="B15" s="92"/>
      <c r="C15" s="92"/>
      <c r="D15" s="92"/>
      <c r="E15" s="102">
        <v>1311.02</v>
      </c>
      <c r="F15" s="103" t="s">
        <v>3</v>
      </c>
      <c r="G15" s="104"/>
      <c r="H15" s="93">
        <f>PL!H15/'PL USD'!$H$2</f>
        <v>1015.7830807779501</v>
      </c>
      <c r="I15" s="93">
        <f>PL!I15/'PL USD'!$I$2</f>
        <v>1082.8174764684857</v>
      </c>
      <c r="J15" s="93">
        <f>PL!J15/'PL USD'!$J$2</f>
        <v>1046.6883739837399</v>
      </c>
      <c r="K15" s="105"/>
      <c r="L15" s="105"/>
      <c r="M15" s="105"/>
      <c r="N15" s="105"/>
      <c r="O15" s="105"/>
      <c r="P15" s="105"/>
      <c r="Q15" s="105"/>
      <c r="R15" s="105"/>
      <c r="S15" s="93"/>
      <c r="T15" s="93"/>
      <c r="U15" s="97">
        <f t="shared" si="0"/>
        <v>3145.2889312301754</v>
      </c>
    </row>
    <row r="16" spans="1:21" ht="18" customHeight="1">
      <c r="A16" s="92"/>
      <c r="B16" s="92"/>
      <c r="C16" s="92"/>
      <c r="D16" s="92"/>
      <c r="E16" s="102">
        <v>1311.03</v>
      </c>
      <c r="F16" s="103" t="s">
        <v>4</v>
      </c>
      <c r="G16" s="104"/>
      <c r="H16" s="93">
        <f>PL!H16/'PL USD'!$H$2</f>
        <v>2194.8355804796565</v>
      </c>
      <c r="I16" s="93">
        <f>PL!I16/'PL USD'!$I$2</f>
        <v>488.67485940664847</v>
      </c>
      <c r="J16" s="93">
        <f>PL!J16/'PL USD'!$J$2</f>
        <v>173.65369770340044</v>
      </c>
      <c r="K16" s="105"/>
      <c r="L16" s="105"/>
      <c r="M16" s="105"/>
      <c r="N16" s="105"/>
      <c r="O16" s="105"/>
      <c r="P16" s="105"/>
      <c r="Q16" s="105"/>
      <c r="R16" s="105"/>
      <c r="S16" s="93"/>
      <c r="T16" s="93"/>
      <c r="U16" s="97">
        <f t="shared" si="0"/>
        <v>2857.1641375897052</v>
      </c>
    </row>
    <row r="17" spans="1:21" ht="18" customHeight="1">
      <c r="A17" s="92"/>
      <c r="B17" s="92"/>
      <c r="C17" s="92"/>
      <c r="D17" s="92"/>
      <c r="E17" s="102">
        <v>1311.04</v>
      </c>
      <c r="F17" s="103" t="s">
        <v>241</v>
      </c>
      <c r="G17" s="104"/>
      <c r="H17" s="93">
        <f>PL!H17/'PL USD'!$H$2</f>
        <v>1522.0050709939148</v>
      </c>
      <c r="I17" s="93">
        <f>PL!I17/'PL USD'!$I$2</f>
        <v>1480.1358072203027</v>
      </c>
      <c r="J17" s="93">
        <f>PL!J17/'PL USD'!$J$2</f>
        <v>1370.0482007002552</v>
      </c>
      <c r="K17" s="105"/>
      <c r="L17" s="105"/>
      <c r="M17" s="105"/>
      <c r="N17" s="105"/>
      <c r="O17" s="105"/>
      <c r="P17" s="105"/>
      <c r="Q17" s="105"/>
      <c r="R17" s="105"/>
      <c r="S17" s="93"/>
      <c r="T17" s="93"/>
      <c r="U17" s="97">
        <f t="shared" si="0"/>
        <v>4372.1890789144727</v>
      </c>
    </row>
    <row r="18" spans="1:21" ht="18" customHeight="1">
      <c r="A18" s="92"/>
      <c r="B18" s="92"/>
      <c r="C18" s="92"/>
      <c r="D18" s="92"/>
      <c r="E18" s="102">
        <v>1311.05</v>
      </c>
      <c r="F18" s="103" t="s">
        <v>6</v>
      </c>
      <c r="G18" s="104"/>
      <c r="H18" s="93">
        <f>PL!H18/'PL USD'!$H$2</f>
        <v>617.66913256174678</v>
      </c>
      <c r="I18" s="93">
        <f>PL!I18/'PL USD'!$I$2</f>
        <v>489.06720540926966</v>
      </c>
      <c r="J18" s="93">
        <f>PL!J18/'PL USD'!$J$2</f>
        <v>487.18070796985342</v>
      </c>
      <c r="K18" s="105"/>
      <c r="L18" s="105"/>
      <c r="M18" s="105"/>
      <c r="N18" s="105"/>
      <c r="O18" s="105"/>
      <c r="P18" s="105"/>
      <c r="Q18" s="105"/>
      <c r="R18" s="105"/>
      <c r="S18" s="93"/>
      <c r="T18" s="93"/>
      <c r="U18" s="97">
        <f t="shared" si="0"/>
        <v>1593.9170459408697</v>
      </c>
    </row>
    <row r="19" spans="1:21" ht="18" customHeight="1">
      <c r="A19" s="92"/>
      <c r="B19" s="92"/>
      <c r="C19" s="92"/>
      <c r="D19" s="92"/>
      <c r="E19" s="102">
        <v>1311.06</v>
      </c>
      <c r="F19" s="103" t="s">
        <v>224</v>
      </c>
      <c r="G19" s="104"/>
      <c r="H19" s="93">
        <f>PL!H19/'PL USD'!$H$2</f>
        <v>404.69484548383247</v>
      </c>
      <c r="I19" s="93">
        <f>PL!I19/'PL USD'!$I$2</f>
        <v>390.40985821517933</v>
      </c>
      <c r="J19" s="93">
        <f>PL!J19/'PL USD'!$J$2</f>
        <v>388.90391549462942</v>
      </c>
      <c r="K19" s="105"/>
      <c r="L19" s="105"/>
      <c r="M19" s="105"/>
      <c r="N19" s="105"/>
      <c r="O19" s="105"/>
      <c r="P19" s="105"/>
      <c r="Q19" s="105"/>
      <c r="R19" s="105"/>
      <c r="S19" s="93"/>
      <c r="T19" s="93"/>
      <c r="U19" s="97">
        <f t="shared" si="0"/>
        <v>1184.0086191936412</v>
      </c>
    </row>
    <row r="20" spans="1:21" ht="18" customHeight="1">
      <c r="A20" s="92"/>
      <c r="B20" s="92"/>
      <c r="C20" s="92"/>
      <c r="D20" s="92"/>
      <c r="E20" s="102">
        <v>1311.07</v>
      </c>
      <c r="F20" s="103" t="s">
        <v>62</v>
      </c>
      <c r="G20" s="92"/>
      <c r="H20" s="93">
        <f>PL!H20/'PL USD'!$H$2</f>
        <v>1425.6850614485145</v>
      </c>
      <c r="I20" s="93">
        <f>PL!I20/'PL USD'!$I$2</f>
        <v>1417.3332425831049</v>
      </c>
      <c r="J20" s="93">
        <f>PL!J20/'PL USD'!$J$2</f>
        <v>1396.3577390065871</v>
      </c>
      <c r="K20" s="105"/>
      <c r="L20" s="105"/>
      <c r="M20" s="105"/>
      <c r="N20" s="105"/>
      <c r="O20" s="105"/>
      <c r="P20" s="105"/>
      <c r="Q20" s="105"/>
      <c r="R20" s="105"/>
      <c r="S20" s="93"/>
      <c r="T20" s="93"/>
      <c r="U20" s="97">
        <f t="shared" si="0"/>
        <v>4239.3760430382063</v>
      </c>
    </row>
    <row r="21" spans="1:21" ht="18" customHeight="1">
      <c r="A21" s="92"/>
      <c r="B21" s="92"/>
      <c r="C21" s="92"/>
      <c r="D21" s="92"/>
      <c r="E21" s="102">
        <v>1311.08</v>
      </c>
      <c r="F21" s="91" t="s">
        <v>8</v>
      </c>
      <c r="G21" s="92"/>
      <c r="H21" s="93">
        <f>PL!H21/'PL USD'!$H$2</f>
        <v>339.48329554945713</v>
      </c>
      <c r="I21" s="93">
        <f>PL!I21/'PL USD'!$I$2</f>
        <v>338.99791492910759</v>
      </c>
      <c r="J21" s="93">
        <f>PL!J21/'PL USD'!$J$2</f>
        <v>337.69028544300039</v>
      </c>
      <c r="K21" s="105"/>
      <c r="L21" s="105"/>
      <c r="M21" s="105"/>
      <c r="N21" s="105"/>
      <c r="O21" s="105"/>
      <c r="P21" s="105"/>
      <c r="Q21" s="105"/>
      <c r="R21" s="105"/>
      <c r="S21" s="93"/>
      <c r="T21" s="93"/>
      <c r="U21" s="97">
        <f t="shared" si="0"/>
        <v>1016.1714959215651</v>
      </c>
    </row>
    <row r="22" spans="1:21" ht="18" customHeight="1" thickBot="1">
      <c r="A22" s="92"/>
      <c r="B22" s="92"/>
      <c r="C22" s="92"/>
      <c r="D22" s="92"/>
      <c r="E22" s="102"/>
      <c r="F22" s="103" t="s">
        <v>94</v>
      </c>
      <c r="G22" s="104"/>
      <c r="H22" s="106">
        <f>SUM(H14:H21)</f>
        <v>7520.1560672950727</v>
      </c>
      <c r="I22" s="106">
        <f>SUM(I14:I21)</f>
        <v>5687.4363642320977</v>
      </c>
      <c r="J22" s="106">
        <f>SUM(J14:J21)</f>
        <v>5200.5229203014651</v>
      </c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223">
        <f t="shared" si="0"/>
        <v>18408.115351828634</v>
      </c>
    </row>
    <row r="23" spans="1:21" ht="18" customHeight="1" thickTop="1">
      <c r="A23" s="92"/>
      <c r="B23" s="92"/>
      <c r="C23" s="92"/>
      <c r="D23" s="107">
        <v>1</v>
      </c>
      <c r="E23" s="102">
        <v>1311</v>
      </c>
      <c r="F23" s="92" t="s">
        <v>223</v>
      </c>
      <c r="G23" s="92"/>
      <c r="H23" s="93">
        <f>IFERROR(VLOOKUP(E23,TBFeb23!$A$8:F149,5,0),0)</f>
        <v>0</v>
      </c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7">
        <f t="shared" si="0"/>
        <v>0</v>
      </c>
    </row>
    <row r="24" spans="1:21" ht="18" customHeight="1">
      <c r="A24" s="92"/>
      <c r="B24" s="92"/>
      <c r="C24" s="92"/>
      <c r="D24" s="107">
        <v>2</v>
      </c>
      <c r="E24" s="102">
        <v>1311.02</v>
      </c>
      <c r="F24" s="92" t="s">
        <v>3</v>
      </c>
      <c r="G24" s="92"/>
      <c r="H24" s="93">
        <f>PL!H24/'PL USD'!$H$2</f>
        <v>137.81171697888081</v>
      </c>
      <c r="I24" s="93">
        <f>PL!I24/'PL USD'!$I$2</f>
        <v>0</v>
      </c>
      <c r="J24" s="93">
        <f>PL!J24/'PL USD'!$J$2</f>
        <v>548.33541036140286</v>
      </c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7">
        <f t="shared" si="0"/>
        <v>686.14712734028365</v>
      </c>
    </row>
    <row r="25" spans="1:21" ht="18" customHeight="1">
      <c r="A25" s="92"/>
      <c r="B25" s="92"/>
      <c r="C25" s="92"/>
      <c r="D25" s="107">
        <v>3</v>
      </c>
      <c r="E25" s="102">
        <v>1311.03</v>
      </c>
      <c r="F25" s="92" t="s">
        <v>4</v>
      </c>
      <c r="G25" s="92"/>
      <c r="H25" s="93">
        <f>PL!H25/'PL USD'!$H$2</f>
        <v>0</v>
      </c>
      <c r="I25" s="93">
        <f>PL!I25/'PL USD'!$I$2</f>
        <v>0</v>
      </c>
      <c r="J25" s="93">
        <f>PL!J25/'PL USD'!$J$2</f>
        <v>4028.0061717405497</v>
      </c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7">
        <f t="shared" si="0"/>
        <v>4028.0061717405497</v>
      </c>
    </row>
    <row r="26" spans="1:21" ht="18" customHeight="1">
      <c r="A26" s="92"/>
      <c r="B26" s="92"/>
      <c r="C26" s="92"/>
      <c r="D26" s="107">
        <v>4</v>
      </c>
      <c r="E26" s="102">
        <v>1311.04</v>
      </c>
      <c r="F26" s="92" t="s">
        <v>241</v>
      </c>
      <c r="G26" s="92"/>
      <c r="H26" s="93">
        <f>PL!H26/'PL USD'!$H$2</f>
        <v>0</v>
      </c>
      <c r="I26" s="93">
        <f>PL!I26/'PL USD'!$I$2</f>
        <v>0</v>
      </c>
      <c r="J26" s="93">
        <f>PL!J26/'PL USD'!$J$2</f>
        <v>1221.5150436175895</v>
      </c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7">
        <f t="shared" si="0"/>
        <v>1221.5150436175895</v>
      </c>
    </row>
    <row r="27" spans="1:21" ht="18" customHeight="1">
      <c r="A27" s="92"/>
      <c r="B27" s="92"/>
      <c r="C27" s="92"/>
      <c r="D27" s="107">
        <v>5</v>
      </c>
      <c r="E27" s="102">
        <v>1311.05</v>
      </c>
      <c r="F27" s="92" t="s">
        <v>6</v>
      </c>
      <c r="G27" s="92"/>
      <c r="H27" s="93">
        <f>PL!H27/'PL USD'!$H$2</f>
        <v>0</v>
      </c>
      <c r="I27" s="93">
        <f>PL!I27/'PL USD'!$I$2</f>
        <v>0</v>
      </c>
      <c r="J27" s="93">
        <f>PL!J27/'PL USD'!$J$2</f>
        <v>0</v>
      </c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7">
        <f t="shared" si="0"/>
        <v>0</v>
      </c>
    </row>
    <row r="28" spans="1:21" ht="18" customHeight="1">
      <c r="A28" s="92"/>
      <c r="B28" s="92"/>
      <c r="C28" s="92"/>
      <c r="D28" s="107">
        <v>6</v>
      </c>
      <c r="E28" s="102">
        <v>1311.06</v>
      </c>
      <c r="F28" s="92" t="s">
        <v>224</v>
      </c>
      <c r="G28" s="92"/>
      <c r="H28" s="93">
        <f>PL!H28/'PL USD'!$H$2</f>
        <v>0</v>
      </c>
      <c r="I28" s="93">
        <f>PL!I28/'PL USD'!$I$2</f>
        <v>0</v>
      </c>
      <c r="J28" s="93">
        <f>PL!J28/'PL USD'!$J$2</f>
        <v>252.71497240519849</v>
      </c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7">
        <f t="shared" si="0"/>
        <v>252.71497240519849</v>
      </c>
    </row>
    <row r="29" spans="1:21" ht="18" customHeight="1">
      <c r="A29" s="92"/>
      <c r="B29" s="92"/>
      <c r="C29" s="92"/>
      <c r="D29" s="107">
        <v>7</v>
      </c>
      <c r="E29" s="102">
        <v>1311.07</v>
      </c>
      <c r="F29" s="92" t="s">
        <v>62</v>
      </c>
      <c r="G29" s="92"/>
      <c r="H29" s="93">
        <f>PL!H29/'PL USD'!$H$2</f>
        <v>0</v>
      </c>
      <c r="I29" s="93">
        <f>PL!I29/'PL USD'!$I$2</f>
        <v>0</v>
      </c>
      <c r="J29" s="93">
        <f>PL!J29/'PL USD'!$J$2</f>
        <v>0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7">
        <f t="shared" si="0"/>
        <v>0</v>
      </c>
    </row>
    <row r="30" spans="1:21" ht="18" customHeight="1">
      <c r="A30" s="92"/>
      <c r="B30" s="92"/>
      <c r="C30" s="92"/>
      <c r="D30" s="107">
        <v>8</v>
      </c>
      <c r="E30" s="102">
        <v>1311.08</v>
      </c>
      <c r="F30" s="92" t="s">
        <v>8</v>
      </c>
      <c r="G30" s="92"/>
      <c r="H30" s="93">
        <f>PL!H30/'PL USD'!$H$2</f>
        <v>0</v>
      </c>
      <c r="I30" s="93">
        <f>PL!I30/'PL USD'!$I$2</f>
        <v>0</v>
      </c>
      <c r="J30" s="93">
        <f>PL!J30/'PL USD'!$J$2</f>
        <v>0</v>
      </c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7">
        <f t="shared" si="0"/>
        <v>0</v>
      </c>
    </row>
    <row r="31" spans="1:21" ht="18" customHeight="1" thickBot="1">
      <c r="A31" s="92"/>
      <c r="B31" s="92"/>
      <c r="C31" s="92"/>
      <c r="D31" s="107"/>
      <c r="E31" s="102"/>
      <c r="F31" s="91" t="s">
        <v>95</v>
      </c>
      <c r="G31" s="104"/>
      <c r="H31" s="106">
        <f>SUM(H23:H30)</f>
        <v>137.81171697888081</v>
      </c>
      <c r="I31" s="106">
        <f>SUM(I23:I30)</f>
        <v>0</v>
      </c>
      <c r="J31" s="106">
        <f>SUM(J23:J30)</f>
        <v>6050.5715981247404</v>
      </c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223">
        <f t="shared" si="0"/>
        <v>6188.3833151036215</v>
      </c>
    </row>
    <row r="32" spans="1:21" ht="18" customHeight="1" thickTop="1">
      <c r="A32" s="92"/>
      <c r="B32" s="92"/>
      <c r="C32" s="92"/>
      <c r="D32" s="107">
        <v>9</v>
      </c>
      <c r="E32" s="102">
        <v>1311</v>
      </c>
      <c r="F32" s="92" t="s">
        <v>223</v>
      </c>
      <c r="G32" s="92"/>
      <c r="H32" s="93">
        <f>IFERROR(VLOOKUP(E32,TBFeb23!$A$8:G158,7,0),0)</f>
        <v>0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7">
        <f t="shared" si="0"/>
        <v>0</v>
      </c>
    </row>
    <row r="33" spans="1:21" ht="18" customHeight="1">
      <c r="A33" s="92"/>
      <c r="B33" s="92"/>
      <c r="C33" s="92"/>
      <c r="D33" s="107">
        <v>10</v>
      </c>
      <c r="E33" s="102">
        <v>1311.02</v>
      </c>
      <c r="F33" s="92" t="s">
        <v>3</v>
      </c>
      <c r="G33" s="92"/>
      <c r="H33" s="93">
        <f>PL!H33/'PL USD'!$H$2</f>
        <v>1084.3678654098555</v>
      </c>
      <c r="I33" s="93">
        <f>PL!I33/'PL USD'!$I$2</f>
        <v>1050.7414386989158</v>
      </c>
      <c r="J33" s="93">
        <f>PL!J33/'PL USD'!$J$2</f>
        <v>1160.1720538840425</v>
      </c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7">
        <f t="shared" si="0"/>
        <v>3295.2813579928143</v>
      </c>
    </row>
    <row r="34" spans="1:21" ht="18" customHeight="1">
      <c r="A34" s="92"/>
      <c r="B34" s="92"/>
      <c r="C34" s="92"/>
      <c r="D34" s="107">
        <v>11</v>
      </c>
      <c r="E34" s="102">
        <v>1311.03</v>
      </c>
      <c r="F34" s="92" t="s">
        <v>4</v>
      </c>
      <c r="G34" s="92"/>
      <c r="H34" s="93">
        <f>PL!H34/'PL USD'!$H$2</f>
        <v>489.37454897983542</v>
      </c>
      <c r="I34" s="93">
        <f>PL!I34/'PL USD'!$I$2</f>
        <v>174.3261324913619</v>
      </c>
      <c r="J34" s="93">
        <f>PL!J34/'PL USD'!$J$2</f>
        <v>1383.0838454691122</v>
      </c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7">
        <f t="shared" si="0"/>
        <v>2046.7845269403097</v>
      </c>
    </row>
    <row r="35" spans="1:21" ht="18" customHeight="1">
      <c r="A35" s="92"/>
      <c r="B35" s="92"/>
      <c r="C35" s="92"/>
      <c r="D35" s="107">
        <v>12</v>
      </c>
      <c r="E35" s="102">
        <v>1311.04</v>
      </c>
      <c r="F35" s="92" t="s">
        <v>241</v>
      </c>
      <c r="G35" s="92"/>
      <c r="H35" s="93">
        <f>PL!H35/'PL USD'!$H$2</f>
        <v>1482.255080539315</v>
      </c>
      <c r="I35" s="93">
        <f>PL!I35/'PL USD'!$I$2</f>
        <v>1375.3534034314309</v>
      </c>
      <c r="J35" s="93">
        <f>PL!J35/'PL USD'!$J$2</f>
        <v>1049.3577965699367</v>
      </c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7">
        <f t="shared" si="0"/>
        <v>3906.9662805406824</v>
      </c>
    </row>
    <row r="36" spans="1:21" ht="18" customHeight="1">
      <c r="A36" s="92"/>
      <c r="B36" s="92"/>
      <c r="C36" s="92"/>
      <c r="D36" s="107">
        <v>13</v>
      </c>
      <c r="E36" s="102">
        <v>1311.05</v>
      </c>
      <c r="F36" s="92" t="s">
        <v>6</v>
      </c>
      <c r="G36" s="92"/>
      <c r="H36" s="93">
        <f>PL!H36/'PL USD'!$H$2</f>
        <v>489.76745674740488</v>
      </c>
      <c r="I36" s="93">
        <f>PL!I36/'PL USD'!$I$2</f>
        <v>489.06720540926966</v>
      </c>
      <c r="J36" s="93">
        <f>PL!J36/'PL USD'!$J$2</f>
        <v>487.18070796985342</v>
      </c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7">
        <f t="shared" si="0"/>
        <v>1466.0153701265281</v>
      </c>
    </row>
    <row r="37" spans="1:21" ht="18" customHeight="1">
      <c r="A37" s="92"/>
      <c r="B37" s="92"/>
      <c r="C37" s="92"/>
      <c r="D37" s="107">
        <v>14</v>
      </c>
      <c r="E37" s="102">
        <v>1311.06</v>
      </c>
      <c r="F37" s="92" t="s">
        <v>224</v>
      </c>
      <c r="G37" s="92"/>
      <c r="H37" s="93">
        <f>PL!H37/'PL USD'!$H$2</f>
        <v>390.96885097243762</v>
      </c>
      <c r="I37" s="93">
        <f>PL!I37/'PL USD'!$I$2</f>
        <v>390.40985821517933</v>
      </c>
      <c r="J37" s="93">
        <f>PL!J37/'PL USD'!$J$2</f>
        <v>500.95546436413264</v>
      </c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7">
        <f t="shared" si="0"/>
        <v>1282.3341735517497</v>
      </c>
    </row>
    <row r="38" spans="1:21" ht="18" customHeight="1">
      <c r="A38" s="92"/>
      <c r="B38" s="92"/>
      <c r="C38" s="92"/>
      <c r="D38" s="107">
        <v>15</v>
      </c>
      <c r="E38" s="102">
        <v>1311.07</v>
      </c>
      <c r="F38" s="92" t="s">
        <v>62</v>
      </c>
      <c r="G38" s="92"/>
      <c r="H38" s="93">
        <f>PL!H38/'PL USD'!$H$2</f>
        <v>1419.3625945591218</v>
      </c>
      <c r="I38" s="93">
        <f>PL!I38/'PL USD'!$I$2</f>
        <v>1401.7648194924341</v>
      </c>
      <c r="J38" s="93">
        <f>PL!J38/'PL USD'!$J$2</f>
        <v>1392.9106652424189</v>
      </c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7">
        <f t="shared" si="0"/>
        <v>4214.038079293975</v>
      </c>
    </row>
    <row r="39" spans="1:21" ht="18" customHeight="1">
      <c r="A39" s="92"/>
      <c r="B39" s="92"/>
      <c r="C39" s="92"/>
      <c r="D39" s="107">
        <v>16</v>
      </c>
      <c r="E39" s="102">
        <v>1311.08</v>
      </c>
      <c r="F39" s="92" t="s">
        <v>8</v>
      </c>
      <c r="G39" s="92"/>
      <c r="H39" s="93">
        <f>PL!H39/'PL USD'!$H$2</f>
        <v>339.48329554945713</v>
      </c>
      <c r="I39" s="93">
        <f>PL!I39/'PL USD'!$I$2</f>
        <v>338.99791492910759</v>
      </c>
      <c r="J39" s="93">
        <f>PL!J39/'PL USD'!$J$2</f>
        <v>337.69028544300039</v>
      </c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7">
        <f t="shared" si="0"/>
        <v>1016.1714959215651</v>
      </c>
    </row>
    <row r="40" spans="1:21" ht="18" customHeight="1" thickBot="1">
      <c r="A40" s="92"/>
      <c r="B40" s="92"/>
      <c r="C40" s="92"/>
      <c r="D40" s="92"/>
      <c r="E40" s="102"/>
      <c r="F40" s="158" t="s">
        <v>247</v>
      </c>
      <c r="G40" s="165"/>
      <c r="H40" s="106">
        <f>SUM(H32:H39)</f>
        <v>5695.5796927574283</v>
      </c>
      <c r="I40" s="106">
        <f>SUM(I32:I39)</f>
        <v>5220.6607726676984</v>
      </c>
      <c r="J40" s="106">
        <f>SUM(J32:J39)</f>
        <v>6311.3508189424965</v>
      </c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223">
        <f t="shared" si="0"/>
        <v>17227.591284367623</v>
      </c>
    </row>
    <row r="41" spans="1:21" ht="18" customHeight="1" thickTop="1">
      <c r="A41" s="92"/>
      <c r="B41" s="92"/>
      <c r="C41" s="92"/>
      <c r="D41" s="92"/>
      <c r="E41" s="102">
        <v>1311.02</v>
      </c>
      <c r="F41" s="164" t="s">
        <v>3</v>
      </c>
      <c r="G41" s="166"/>
      <c r="H41" s="93">
        <f>PL!H41/'PL USD'!$H$2</f>
        <v>69.226932346975303</v>
      </c>
      <c r="I41" s="93">
        <f>PL!I41/'PL USD'!$I$2</f>
        <v>32.076037769569879</v>
      </c>
      <c r="J41" s="93">
        <f>PL!J41/'PL USD'!$J$2</f>
        <v>434.8517304611002</v>
      </c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97">
        <f t="shared" si="0"/>
        <v>536.15470057764537</v>
      </c>
    </row>
    <row r="42" spans="1:21" ht="18" customHeight="1">
      <c r="A42" s="92"/>
      <c r="B42" s="92"/>
      <c r="C42" s="92"/>
      <c r="D42" s="92"/>
      <c r="E42" s="102">
        <v>1311.03</v>
      </c>
      <c r="F42" s="164" t="s">
        <v>4</v>
      </c>
      <c r="G42" s="166"/>
      <c r="H42" s="93">
        <f>PL!H42/'PL USD'!$H$2</f>
        <v>1705.461031499821</v>
      </c>
      <c r="I42" s="93">
        <f>PL!I42/'PL USD'!$I$2</f>
        <v>314.34872691528659</v>
      </c>
      <c r="J42" s="93">
        <f>PL!J42/'PL USD'!$J$2</f>
        <v>2818.5760239748383</v>
      </c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97">
        <f t="shared" si="0"/>
        <v>4838.3857823899461</v>
      </c>
    </row>
    <row r="43" spans="1:21" ht="18" customHeight="1">
      <c r="A43" s="92"/>
      <c r="B43" s="92"/>
      <c r="C43" s="92"/>
      <c r="D43" s="92"/>
      <c r="E43" s="102">
        <v>1311.04</v>
      </c>
      <c r="F43" s="164" t="s">
        <v>241</v>
      </c>
      <c r="G43" s="166"/>
      <c r="H43" s="93">
        <f>PL!H43/'PL USD'!$H$2</f>
        <v>39.74999045459969</v>
      </c>
      <c r="I43" s="93">
        <f>PL!I43/'PL USD'!$I$2</f>
        <v>104.78240378887168</v>
      </c>
      <c r="J43" s="93">
        <f>PL!J43/'PL USD'!$J$2</f>
        <v>1542.2054477479082</v>
      </c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97">
        <f t="shared" si="0"/>
        <v>1686.7378419913796</v>
      </c>
    </row>
    <row r="44" spans="1:21" ht="18" customHeight="1">
      <c r="A44" s="92"/>
      <c r="B44" s="92"/>
      <c r="C44" s="92"/>
      <c r="D44" s="92"/>
      <c r="E44" s="102">
        <v>1311.05</v>
      </c>
      <c r="F44" s="164" t="s">
        <v>6</v>
      </c>
      <c r="G44" s="166"/>
      <c r="H44" s="93">
        <f>PL!H44/'PL USD'!$H$2</f>
        <v>127.90167581434197</v>
      </c>
      <c r="I44" s="93">
        <f>PL!I44/'PL USD'!$I$2</f>
        <v>0</v>
      </c>
      <c r="J44" s="93">
        <f>PL!J44/'PL USD'!$J$2</f>
        <v>0</v>
      </c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97">
        <f t="shared" si="0"/>
        <v>127.90167581434197</v>
      </c>
    </row>
    <row r="45" spans="1:21" ht="18" customHeight="1">
      <c r="A45" s="92"/>
      <c r="B45" s="92"/>
      <c r="C45" s="92"/>
      <c r="D45" s="92"/>
      <c r="E45" s="102">
        <v>1311.06</v>
      </c>
      <c r="F45" s="164" t="s">
        <v>224</v>
      </c>
      <c r="G45" s="166"/>
      <c r="H45" s="93">
        <f>PL!H45/'PL USD'!$H$2</f>
        <v>13.725994511394822</v>
      </c>
      <c r="I45" s="93">
        <f>PL!I45/'PL USD'!$I$2</f>
        <v>0</v>
      </c>
      <c r="J45" s="93">
        <f>PL!J45/'PL USD'!$J$2</f>
        <v>140.66342353569522</v>
      </c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97">
        <f t="shared" si="0"/>
        <v>154.38941804709003</v>
      </c>
    </row>
    <row r="46" spans="1:21" ht="18" customHeight="1">
      <c r="A46" s="92"/>
      <c r="B46" s="92"/>
      <c r="C46" s="92"/>
      <c r="D46" s="92"/>
      <c r="E46" s="102">
        <v>1311.07</v>
      </c>
      <c r="F46" s="164" t="s">
        <v>62</v>
      </c>
      <c r="G46" s="166"/>
      <c r="H46" s="93">
        <f>PL!H46/'PL USD'!$H$2</f>
        <v>6.3224668893926737</v>
      </c>
      <c r="I46" s="93">
        <f>PL!I46/'PL USD'!$I$2</f>
        <v>15.568423090670796</v>
      </c>
      <c r="J46" s="93">
        <f>PL!J46/'PL USD'!$J$2</f>
        <v>3.4470737641682985</v>
      </c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97">
        <f t="shared" si="0"/>
        <v>25.337963744231768</v>
      </c>
    </row>
    <row r="47" spans="1:21" ht="18" customHeight="1">
      <c r="A47" s="92"/>
      <c r="B47" s="92"/>
      <c r="C47" s="92"/>
      <c r="D47" s="92"/>
      <c r="E47" s="102">
        <v>1311.08</v>
      </c>
      <c r="F47" s="164" t="s">
        <v>8</v>
      </c>
      <c r="G47" s="166"/>
      <c r="H47" s="93">
        <f>PL!H47/'PL USD'!$H$2</f>
        <v>0</v>
      </c>
      <c r="I47" s="93">
        <f>PL!I47/'PL USD'!$I$2</f>
        <v>0</v>
      </c>
      <c r="J47" s="93">
        <f>PL!J47/'PL USD'!$J$2</f>
        <v>0</v>
      </c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97">
        <f t="shared" si="0"/>
        <v>0</v>
      </c>
    </row>
    <row r="48" spans="1:21" ht="18" customHeight="1">
      <c r="A48" s="92"/>
      <c r="B48" s="92"/>
      <c r="C48" s="92"/>
      <c r="D48" s="92"/>
      <c r="E48" s="102"/>
      <c r="F48" s="91" t="s">
        <v>96</v>
      </c>
      <c r="G48" s="104"/>
      <c r="H48" s="27">
        <f>SUM(H41:H47)</f>
        <v>1962.3880915165255</v>
      </c>
      <c r="I48" s="27">
        <f>SUM(I41:I47)</f>
        <v>466.77559156439901</v>
      </c>
      <c r="J48" s="27">
        <f>SUM(J41:J47)</f>
        <v>4939.7436994837099</v>
      </c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21">
        <f>SUM(H48:Q48)+SUM(S48+T48)</f>
        <v>7368.9073825646337</v>
      </c>
    </row>
    <row r="49" spans="1:21" ht="18" customHeight="1">
      <c r="A49" s="92"/>
      <c r="B49" s="92"/>
      <c r="C49" s="92"/>
      <c r="D49" s="92"/>
      <c r="E49" s="102">
        <v>663.00009999999997</v>
      </c>
      <c r="F49" s="109" t="s">
        <v>113</v>
      </c>
      <c r="G49" s="104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99">
        <f>SUM(H49:T49)</f>
        <v>0</v>
      </c>
    </row>
    <row r="50" spans="1:21" ht="18" customHeight="1" thickBot="1">
      <c r="A50" s="92"/>
      <c r="B50" s="92"/>
      <c r="C50" s="92"/>
      <c r="D50" s="92"/>
      <c r="E50" s="102"/>
      <c r="F50" s="91" t="s">
        <v>97</v>
      </c>
      <c r="G50" s="92"/>
      <c r="H50" s="26">
        <f>H22+H31-H40</f>
        <v>1962.3880915165255</v>
      </c>
      <c r="I50" s="26">
        <f>I22+I31-I40</f>
        <v>466.77559156439929</v>
      </c>
      <c r="J50" s="26">
        <f>J22+J31-J40</f>
        <v>4939.743699483709</v>
      </c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223">
        <f t="shared" ref="U50:U69" si="1">SUM(H50:Q50)+SUM(S50+T50)</f>
        <v>7368.9073825646337</v>
      </c>
    </row>
    <row r="51" spans="1:21" ht="18" customHeight="1" thickTop="1">
      <c r="A51" s="92"/>
      <c r="B51" s="92"/>
      <c r="C51" s="92"/>
      <c r="D51" s="92">
        <v>17</v>
      </c>
      <c r="E51" s="102" t="s">
        <v>9</v>
      </c>
      <c r="F51" s="111" t="s">
        <v>10</v>
      </c>
      <c r="G51" s="112"/>
      <c r="H51" s="93">
        <f>PL!H51/'PL USD'!$H$2</f>
        <v>0</v>
      </c>
      <c r="I51" s="93"/>
      <c r="J51" s="93"/>
      <c r="K51" s="93"/>
      <c r="L51" s="112"/>
      <c r="M51" s="112"/>
      <c r="N51" s="112"/>
      <c r="O51" s="112"/>
      <c r="P51" s="112"/>
      <c r="Q51" s="112"/>
      <c r="R51" s="112"/>
      <c r="S51" s="113"/>
      <c r="T51" s="113"/>
      <c r="U51" s="97">
        <f t="shared" si="1"/>
        <v>0</v>
      </c>
    </row>
    <row r="52" spans="1:21" ht="18" customHeight="1">
      <c r="A52" s="92"/>
      <c r="B52" s="92"/>
      <c r="C52" s="92"/>
      <c r="D52" s="92">
        <v>18</v>
      </c>
      <c r="E52" s="102" t="s">
        <v>164</v>
      </c>
      <c r="F52" s="114" t="s">
        <v>121</v>
      </c>
      <c r="G52" s="112"/>
      <c r="H52" s="93">
        <f>PL!H52/'PL USD'!$H$2</f>
        <v>1954.6593485264289</v>
      </c>
      <c r="I52" s="93">
        <f>PL!I52/'PL USD'!$I$2</f>
        <v>0</v>
      </c>
      <c r="J52" s="93">
        <f>PL!J52/'PL USD'!$J$2</f>
        <v>151.44501809981602</v>
      </c>
      <c r="K52" s="93"/>
      <c r="L52" s="112"/>
      <c r="M52" s="112"/>
      <c r="N52" s="112"/>
      <c r="O52" s="112"/>
      <c r="P52" s="112"/>
      <c r="Q52" s="112"/>
      <c r="R52" s="112"/>
      <c r="S52" s="129"/>
      <c r="T52" s="129"/>
      <c r="U52" s="97">
        <f t="shared" si="1"/>
        <v>2106.1043666262449</v>
      </c>
    </row>
    <row r="53" spans="1:21" ht="18" customHeight="1">
      <c r="A53" s="92"/>
      <c r="B53" s="92"/>
      <c r="C53" s="92"/>
      <c r="D53" s="92">
        <v>19</v>
      </c>
      <c r="E53" s="102" t="s">
        <v>165</v>
      </c>
      <c r="F53" s="115" t="s">
        <v>122</v>
      </c>
      <c r="G53" s="112"/>
      <c r="H53" s="93">
        <f>PL!H53/'PL USD'!$H$2</f>
        <v>435.91456866722348</v>
      </c>
      <c r="I53" s="93">
        <f>PL!I53/'PL USD'!$I$2</f>
        <v>86.317109496008584</v>
      </c>
      <c r="J53" s="93">
        <f>PL!J53/'PL USD'!$J$2</f>
        <v>225.81603465669693</v>
      </c>
      <c r="K53" s="93"/>
      <c r="L53" s="112"/>
      <c r="M53" s="112"/>
      <c r="N53" s="112"/>
      <c r="O53" s="112"/>
      <c r="P53" s="112"/>
      <c r="Q53" s="112"/>
      <c r="R53" s="112"/>
      <c r="S53" s="129"/>
      <c r="T53" s="129"/>
      <c r="U53" s="97">
        <f t="shared" si="1"/>
        <v>748.04771281992907</v>
      </c>
    </row>
    <row r="54" spans="1:21" ht="18" customHeight="1">
      <c r="A54" s="92"/>
      <c r="B54" s="92"/>
      <c r="C54" s="92"/>
      <c r="D54" s="92">
        <v>20</v>
      </c>
      <c r="E54" s="102" t="s">
        <v>166</v>
      </c>
      <c r="F54" s="115" t="s">
        <v>123</v>
      </c>
      <c r="G54" s="112"/>
      <c r="H54" s="93">
        <f>PL!H54/'PL USD'!$H$2</f>
        <v>176.87376208089728</v>
      </c>
      <c r="I54" s="93">
        <f>PL!I54/'PL USD'!$I$2</f>
        <v>176.62087453830574</v>
      </c>
      <c r="J54" s="93">
        <f>PL!J54/'PL USD'!$J$2</f>
        <v>256.76921250964335</v>
      </c>
      <c r="K54" s="93"/>
      <c r="L54" s="112"/>
      <c r="M54" s="112"/>
      <c r="N54" s="112"/>
      <c r="O54" s="112"/>
      <c r="P54" s="112"/>
      <c r="Q54" s="112"/>
      <c r="R54" s="112"/>
      <c r="S54" s="129"/>
      <c r="T54" s="129"/>
      <c r="U54" s="97">
        <f t="shared" si="1"/>
        <v>610.26384912884635</v>
      </c>
    </row>
    <row r="55" spans="1:21" ht="18" customHeight="1">
      <c r="A55" s="92"/>
      <c r="B55" s="92"/>
      <c r="C55" s="92"/>
      <c r="D55" s="92">
        <v>21</v>
      </c>
      <c r="E55" s="102" t="s">
        <v>167</v>
      </c>
      <c r="F55" s="111" t="s">
        <v>124</v>
      </c>
      <c r="G55" s="112"/>
      <c r="H55" s="93">
        <f>PL!H55/'PL USD'!$H$2</f>
        <v>96.94499463071233</v>
      </c>
      <c r="I55" s="93">
        <f>PL!I55/'PL USD'!$I$2</f>
        <v>0</v>
      </c>
      <c r="J55" s="93">
        <f>PL!J55/'PL USD'!$J$2</f>
        <v>78.458251735802023</v>
      </c>
      <c r="K55" s="93"/>
      <c r="L55" s="112"/>
      <c r="M55" s="112"/>
      <c r="N55" s="112"/>
      <c r="O55" s="112"/>
      <c r="P55" s="112"/>
      <c r="Q55" s="112"/>
      <c r="R55" s="112"/>
      <c r="S55" s="129"/>
      <c r="T55" s="129"/>
      <c r="U55" s="97">
        <f t="shared" si="1"/>
        <v>175.40324636651434</v>
      </c>
    </row>
    <row r="56" spans="1:21" ht="18" customHeight="1">
      <c r="A56" s="92"/>
      <c r="B56" s="92"/>
      <c r="C56" s="92"/>
      <c r="D56" s="92">
        <v>22</v>
      </c>
      <c r="E56" s="102" t="s">
        <v>125</v>
      </c>
      <c r="F56" s="111" t="s">
        <v>126</v>
      </c>
      <c r="G56" s="112"/>
      <c r="H56" s="93">
        <f>PL!H56/'PL USD'!$H$2</f>
        <v>1552.2738336713996</v>
      </c>
      <c r="I56" s="93">
        <f>PL!I56/'PL USD'!$I$2</f>
        <v>2649.9285118551174</v>
      </c>
      <c r="J56" s="93">
        <f>PL!J56/'PL USD'!$J$2</f>
        <v>2682.9591715625183</v>
      </c>
      <c r="K56" s="93"/>
      <c r="L56" s="112"/>
      <c r="M56" s="112"/>
      <c r="N56" s="112"/>
      <c r="O56" s="112"/>
      <c r="P56" s="112"/>
      <c r="Q56" s="112"/>
      <c r="R56" s="112"/>
      <c r="S56" s="129"/>
      <c r="T56" s="129"/>
      <c r="U56" s="97">
        <f t="shared" si="1"/>
        <v>6885.1615170890354</v>
      </c>
    </row>
    <row r="57" spans="1:21" ht="18" customHeight="1">
      <c r="A57" s="92"/>
      <c r="B57" s="92"/>
      <c r="C57" s="92"/>
      <c r="D57" s="92">
        <v>23</v>
      </c>
      <c r="E57" s="102" t="s">
        <v>127</v>
      </c>
      <c r="F57" s="111" t="s">
        <v>128</v>
      </c>
      <c r="G57" s="112"/>
      <c r="H57" s="93">
        <f>PL!H57/'PL USD'!$H$2</f>
        <v>9163.2370242214529</v>
      </c>
      <c r="I57" s="93">
        <f>PL!I57/'PL USD'!$I$2</f>
        <v>9150.1367389491243</v>
      </c>
      <c r="J57" s="93">
        <f>PL!J57/'PL USD'!$J$2</f>
        <v>9114.8415702332204</v>
      </c>
      <c r="K57" s="93"/>
      <c r="L57" s="112"/>
      <c r="M57" s="112"/>
      <c r="N57" s="112"/>
      <c r="O57" s="112"/>
      <c r="P57" s="112"/>
      <c r="Q57" s="112"/>
      <c r="R57" s="112"/>
      <c r="S57" s="129"/>
      <c r="T57" s="129"/>
      <c r="U57" s="97">
        <f t="shared" si="1"/>
        <v>27428.215333403798</v>
      </c>
    </row>
    <row r="58" spans="1:21" ht="18" customHeight="1">
      <c r="A58" s="92"/>
      <c r="B58" s="92"/>
      <c r="C58" s="92"/>
      <c r="D58" s="92">
        <v>24</v>
      </c>
      <c r="E58" s="102" t="s">
        <v>254</v>
      </c>
      <c r="F58" s="111" t="s">
        <v>255</v>
      </c>
      <c r="G58" s="112"/>
      <c r="H58" s="93"/>
      <c r="I58" s="93">
        <f>PL!I58/'PL USD'!$I$2</f>
        <v>134.00452758250924</v>
      </c>
      <c r="J58" s="93">
        <f>PL!J58/'PL USD'!$J$2</f>
        <v>133.4876268470714</v>
      </c>
      <c r="K58" s="93"/>
      <c r="L58" s="112"/>
      <c r="M58" s="112"/>
      <c r="N58" s="112"/>
      <c r="O58" s="112"/>
      <c r="P58" s="112"/>
      <c r="Q58" s="112"/>
      <c r="R58" s="112"/>
      <c r="S58" s="129"/>
      <c r="T58" s="129"/>
      <c r="U58" s="97"/>
    </row>
    <row r="59" spans="1:21" ht="18" customHeight="1">
      <c r="A59" s="92"/>
      <c r="B59" s="92"/>
      <c r="C59" s="92"/>
      <c r="D59" s="92">
        <v>25</v>
      </c>
      <c r="E59" s="102" t="s">
        <v>129</v>
      </c>
      <c r="F59" s="111" t="s">
        <v>130</v>
      </c>
      <c r="G59" s="112"/>
      <c r="H59" s="93">
        <f>PL!H59/'PL USD'!$H$2</f>
        <v>302.46987233027085</v>
      </c>
      <c r="I59" s="93">
        <f>PL!I59/'PL USD'!$I$2</f>
        <v>252.33825807220302</v>
      </c>
      <c r="J59" s="93">
        <f>PL!J59/'PL USD'!$J$2</f>
        <v>525.7551480624295</v>
      </c>
      <c r="K59" s="93"/>
      <c r="L59" s="112"/>
      <c r="M59" s="112"/>
      <c r="N59" s="112"/>
      <c r="O59" s="112"/>
      <c r="P59" s="112"/>
      <c r="Q59" s="112"/>
      <c r="R59" s="112"/>
      <c r="S59" s="129"/>
      <c r="T59" s="129"/>
      <c r="U59" s="97">
        <f t="shared" si="1"/>
        <v>1080.5632784649033</v>
      </c>
    </row>
    <row r="60" spans="1:21" ht="18" customHeight="1">
      <c r="A60" s="92"/>
      <c r="B60" s="92"/>
      <c r="C60" s="92"/>
      <c r="D60" s="92">
        <v>26</v>
      </c>
      <c r="E60" s="102" t="s">
        <v>131</v>
      </c>
      <c r="F60" s="111" t="s">
        <v>132</v>
      </c>
      <c r="G60" s="112"/>
      <c r="H60" s="93">
        <f>PL!H60/'PL USD'!$H$2</f>
        <v>44.744063954182081</v>
      </c>
      <c r="I60" s="93">
        <f>PL!I60/'PL USD'!$I$2</f>
        <v>34.423686405337783</v>
      </c>
      <c r="J60" s="93">
        <f>PL!J60/'PL USD'!$J$2</f>
        <v>98.784819891994545</v>
      </c>
      <c r="K60" s="93"/>
      <c r="L60" s="112"/>
      <c r="M60" s="112"/>
      <c r="N60" s="112"/>
      <c r="O60" s="112"/>
      <c r="P60" s="112"/>
      <c r="Q60" s="112"/>
      <c r="R60" s="112"/>
      <c r="S60" s="129"/>
      <c r="T60" s="129"/>
      <c r="U60" s="97">
        <f t="shared" si="1"/>
        <v>177.9525702515144</v>
      </c>
    </row>
    <row r="61" spans="1:21" ht="18" customHeight="1">
      <c r="A61" s="92"/>
      <c r="B61" s="92"/>
      <c r="C61" s="92"/>
      <c r="D61" s="92">
        <v>27</v>
      </c>
      <c r="E61" s="102" t="s">
        <v>133</v>
      </c>
      <c r="F61" s="111" t="s">
        <v>168</v>
      </c>
      <c r="G61" s="112"/>
      <c r="H61" s="93">
        <f>PL!H61/'PL USD'!$H$2</f>
        <v>247.49433241856579</v>
      </c>
      <c r="I61" s="93">
        <f>PL!I61/'PL USD'!$I$2</f>
        <v>30.233527939949958</v>
      </c>
      <c r="J61" s="93">
        <f>PL!J61/'PL USD'!$J$2</f>
        <v>475.27636342056849</v>
      </c>
      <c r="K61" s="93"/>
      <c r="L61" s="112"/>
      <c r="M61" s="112"/>
      <c r="N61" s="112"/>
      <c r="O61" s="112"/>
      <c r="P61" s="112"/>
      <c r="Q61" s="112"/>
      <c r="R61" s="112"/>
      <c r="S61" s="129"/>
      <c r="T61" s="129"/>
      <c r="U61" s="97">
        <f t="shared" si="1"/>
        <v>753.00422377908421</v>
      </c>
    </row>
    <row r="62" spans="1:21" ht="18" customHeight="1">
      <c r="A62" s="92"/>
      <c r="B62" s="92"/>
      <c r="C62" s="92"/>
      <c r="D62" s="92">
        <v>28</v>
      </c>
      <c r="E62" s="102" t="s">
        <v>134</v>
      </c>
      <c r="F62" s="111" t="s">
        <v>169</v>
      </c>
      <c r="G62" s="112"/>
      <c r="H62" s="93">
        <f>PL!H62/'PL USD'!$H$2</f>
        <v>5757.0695621047607</v>
      </c>
      <c r="I62" s="93">
        <f>PL!I62/'PL USD'!$I$2</f>
        <v>625.5212677231026</v>
      </c>
      <c r="J62" s="93">
        <f>PL!J62/'PL USD'!$J$2</f>
        <v>804.70001780309769</v>
      </c>
      <c r="K62" s="93"/>
      <c r="L62" s="112"/>
      <c r="M62" s="112"/>
      <c r="N62" s="112"/>
      <c r="O62" s="112"/>
      <c r="P62" s="112"/>
      <c r="Q62" s="112"/>
      <c r="R62" s="112"/>
      <c r="S62" s="129"/>
      <c r="T62" s="129"/>
      <c r="U62" s="97">
        <f t="shared" si="1"/>
        <v>7187.2908476309613</v>
      </c>
    </row>
    <row r="63" spans="1:21" ht="18" customHeight="1">
      <c r="A63" s="92"/>
      <c r="B63" s="92"/>
      <c r="C63" s="92"/>
      <c r="D63" s="92">
        <v>29</v>
      </c>
      <c r="E63" s="102" t="s">
        <v>170</v>
      </c>
      <c r="F63" s="111" t="s">
        <v>171</v>
      </c>
      <c r="G63" s="112"/>
      <c r="H63" s="93">
        <f>PL!H63/'PL USD'!$H$2</f>
        <v>1128.7435866841665</v>
      </c>
      <c r="I63" s="93">
        <f>PL!I63/'PL USD'!$I$2</f>
        <v>985.05290122721317</v>
      </c>
      <c r="J63" s="93">
        <f>PL!J63/'PL USD'!$J$2</f>
        <v>1084.8020888968015</v>
      </c>
      <c r="K63" s="93"/>
      <c r="L63" s="112"/>
      <c r="M63" s="112"/>
      <c r="N63" s="112"/>
      <c r="O63" s="112"/>
      <c r="P63" s="112"/>
      <c r="Q63" s="112"/>
      <c r="R63" s="112"/>
      <c r="S63" s="129"/>
      <c r="T63" s="129"/>
      <c r="U63" s="97">
        <f t="shared" si="1"/>
        <v>3198.598576808181</v>
      </c>
    </row>
    <row r="64" spans="1:21" ht="18" customHeight="1">
      <c r="A64" s="92"/>
      <c r="B64" s="92"/>
      <c r="C64" s="92"/>
      <c r="D64" s="92">
        <v>30</v>
      </c>
      <c r="E64" s="102" t="s">
        <v>172</v>
      </c>
      <c r="F64" s="111" t="s">
        <v>173</v>
      </c>
      <c r="G64" s="112"/>
      <c r="H64" s="93">
        <f>PL!H64/'PL USD'!$H$2</f>
        <v>972.91492661973507</v>
      </c>
      <c r="I64" s="93">
        <f>PL!I64/'PL USD'!$I$2</f>
        <v>671.6906946264744</v>
      </c>
      <c r="J64" s="93">
        <f>PL!J64/'PL USD'!$J$2</f>
        <v>0</v>
      </c>
      <c r="K64" s="93"/>
      <c r="L64" s="112"/>
      <c r="M64" s="112"/>
      <c r="N64" s="112"/>
      <c r="O64" s="112"/>
      <c r="P64" s="112"/>
      <c r="Q64" s="112"/>
      <c r="R64" s="112"/>
      <c r="S64" s="129"/>
      <c r="T64" s="129"/>
      <c r="U64" s="97">
        <f t="shared" si="1"/>
        <v>1644.6056212462095</v>
      </c>
    </row>
    <row r="65" spans="1:21" ht="18" customHeight="1">
      <c r="A65" s="92"/>
      <c r="B65" s="92"/>
      <c r="C65" s="92"/>
      <c r="D65" s="92">
        <v>31</v>
      </c>
      <c r="E65" s="180" t="s">
        <v>248</v>
      </c>
      <c r="F65" s="181" t="s">
        <v>249</v>
      </c>
      <c r="G65" s="112"/>
      <c r="H65" s="182">
        <f>PL!H65/H2</f>
        <v>28265.720081135903</v>
      </c>
      <c r="I65" s="93">
        <f>PL!I65/'PL USD'!$I$2</f>
        <v>0</v>
      </c>
      <c r="J65" s="93">
        <f>PL!J65/'PL USD'!$J$2</f>
        <v>0</v>
      </c>
      <c r="K65" s="93"/>
      <c r="L65" s="112"/>
      <c r="M65" s="112"/>
      <c r="N65" s="112"/>
      <c r="O65" s="112"/>
      <c r="P65" s="112"/>
      <c r="Q65" s="112"/>
      <c r="R65" s="112"/>
      <c r="S65" s="129"/>
      <c r="T65" s="129"/>
      <c r="U65" s="97">
        <f t="shared" si="1"/>
        <v>28265.720081135903</v>
      </c>
    </row>
    <row r="66" spans="1:21" ht="18" customHeight="1">
      <c r="A66" s="92"/>
      <c r="B66" s="92"/>
      <c r="C66" s="92"/>
      <c r="D66" s="92">
        <v>32</v>
      </c>
      <c r="E66" s="222" t="s">
        <v>256</v>
      </c>
      <c r="F66" s="222" t="s">
        <v>257</v>
      </c>
      <c r="G66" s="113"/>
      <c r="H66" s="93">
        <f>PL!H66/'PL USD'!$H$2</f>
        <v>0</v>
      </c>
      <c r="I66" s="93">
        <f>PL!I66/'PL USD'!$I$2</f>
        <v>69.105206719885615</v>
      </c>
      <c r="J66" s="93">
        <f>PL!J66/'PL USD'!$J$2</f>
        <v>0</v>
      </c>
      <c r="K66" s="93"/>
      <c r="L66" s="112"/>
      <c r="M66" s="112"/>
      <c r="N66" s="112"/>
      <c r="O66" s="112"/>
      <c r="P66" s="112"/>
      <c r="Q66" s="112"/>
      <c r="R66" s="112"/>
      <c r="S66" s="221"/>
      <c r="T66" s="221"/>
      <c r="U66" s="97">
        <f t="shared" si="1"/>
        <v>69.105206719885615</v>
      </c>
    </row>
    <row r="67" spans="1:21" ht="18" customHeight="1">
      <c r="A67" s="92"/>
      <c r="B67" s="92"/>
      <c r="C67" s="92"/>
      <c r="D67" s="92">
        <v>33</v>
      </c>
      <c r="E67" s="222" t="s">
        <v>258</v>
      </c>
      <c r="F67" s="222" t="s">
        <v>259</v>
      </c>
      <c r="G67" s="113"/>
      <c r="H67" s="93">
        <f>PL!H67/'PL USD'!$H$2</f>
        <v>0</v>
      </c>
      <c r="I67" s="93">
        <f>PL!I67/'PL USD'!$I$2</f>
        <v>131.2403193137138</v>
      </c>
      <c r="J67" s="93">
        <f>PL!J67/'PL USD'!$J$2</f>
        <v>0</v>
      </c>
      <c r="K67" s="93"/>
      <c r="L67" s="112"/>
      <c r="M67" s="112"/>
      <c r="N67" s="112"/>
      <c r="O67" s="112"/>
      <c r="P67" s="112"/>
      <c r="Q67" s="112"/>
      <c r="R67" s="112"/>
      <c r="S67" s="221"/>
      <c r="T67" s="221"/>
      <c r="U67" s="97">
        <f t="shared" si="1"/>
        <v>131.2403193137138</v>
      </c>
    </row>
    <row r="68" spans="1:21" ht="18" customHeight="1">
      <c r="A68" s="92"/>
      <c r="B68" s="92"/>
      <c r="C68" s="92"/>
      <c r="D68" s="92">
        <v>34</v>
      </c>
      <c r="E68" s="222" t="s">
        <v>260</v>
      </c>
      <c r="F68" s="222" t="s">
        <v>261</v>
      </c>
      <c r="G68" s="113"/>
      <c r="H68" s="93">
        <f>PL!H68/'PL USD'!$H$2</f>
        <v>0</v>
      </c>
      <c r="I68" s="93">
        <f>PL!I68/'PL USD'!$I$2</f>
        <v>126.15929941618015</v>
      </c>
      <c r="J68" s="93">
        <f>PL!J68/'PL USD'!$J$2</f>
        <v>127.77271378553202</v>
      </c>
      <c r="K68" s="93"/>
      <c r="L68" s="112"/>
      <c r="M68" s="112"/>
      <c r="N68" s="112"/>
      <c r="O68" s="112"/>
      <c r="P68" s="112"/>
      <c r="Q68" s="112"/>
      <c r="R68" s="112"/>
      <c r="S68" s="221"/>
      <c r="T68" s="221"/>
      <c r="U68" s="97">
        <f t="shared" si="1"/>
        <v>253.93201320171215</v>
      </c>
    </row>
    <row r="69" spans="1:21" ht="18" customHeight="1">
      <c r="A69" s="92"/>
      <c r="B69" s="92"/>
      <c r="C69" s="92"/>
      <c r="D69" s="92">
        <v>35</v>
      </c>
      <c r="E69" s="222" t="s">
        <v>262</v>
      </c>
      <c r="F69" s="222" t="s">
        <v>263</v>
      </c>
      <c r="G69" s="113"/>
      <c r="H69" s="93">
        <f>PL!H69/'PL USD'!$H$2</f>
        <v>0</v>
      </c>
      <c r="I69" s="93">
        <f>PL!I69/'PL USD'!$I$2</f>
        <v>77.445490289526987</v>
      </c>
      <c r="J69" s="93">
        <f>PL!J69/'PL USD'!$J$2</f>
        <v>441.51682392736336</v>
      </c>
      <c r="K69" s="93"/>
      <c r="L69" s="112"/>
      <c r="M69" s="112"/>
      <c r="N69" s="112"/>
      <c r="O69" s="112"/>
      <c r="P69" s="112"/>
      <c r="Q69" s="112"/>
      <c r="R69" s="112"/>
      <c r="S69" s="221"/>
      <c r="T69" s="221"/>
      <c r="U69" s="97">
        <f t="shared" si="1"/>
        <v>518.96231421689038</v>
      </c>
    </row>
    <row r="70" spans="1:21" ht="18" customHeight="1">
      <c r="A70" s="92"/>
      <c r="B70" s="92"/>
      <c r="C70" s="92"/>
      <c r="D70" s="92">
        <v>36</v>
      </c>
      <c r="E70" s="222" t="s">
        <v>288</v>
      </c>
      <c r="F70" s="222" t="s">
        <v>289</v>
      </c>
      <c r="G70" s="113"/>
      <c r="H70" s="93"/>
      <c r="I70" s="93"/>
      <c r="J70" s="93">
        <f>PL!J70/'PL USD'!$J$2</f>
        <v>64.68458845172394</v>
      </c>
      <c r="K70" s="93"/>
      <c r="L70" s="112"/>
      <c r="M70" s="112"/>
      <c r="N70" s="112"/>
      <c r="O70" s="112"/>
      <c r="P70" s="112"/>
      <c r="Q70" s="112"/>
      <c r="R70" s="112"/>
      <c r="S70" s="221"/>
      <c r="T70" s="221"/>
      <c r="U70" s="97"/>
    </row>
    <row r="71" spans="1:21" ht="18" customHeight="1">
      <c r="A71" s="92"/>
      <c r="B71" s="92"/>
      <c r="C71" s="92"/>
      <c r="D71" s="92">
        <v>37</v>
      </c>
      <c r="E71" s="222" t="s">
        <v>290</v>
      </c>
      <c r="F71" s="222" t="s">
        <v>291</v>
      </c>
      <c r="G71" s="113"/>
      <c r="H71" s="93"/>
      <c r="I71" s="93"/>
      <c r="J71" s="93">
        <f>PL!J71/'PL USD'!$J$2</f>
        <v>507.44762922081776</v>
      </c>
      <c r="K71" s="93"/>
      <c r="L71" s="112"/>
      <c r="M71" s="112"/>
      <c r="N71" s="112"/>
      <c r="O71" s="112"/>
      <c r="P71" s="112"/>
      <c r="Q71" s="112"/>
      <c r="R71" s="112"/>
      <c r="S71" s="221"/>
      <c r="T71" s="221"/>
      <c r="U71" s="97"/>
    </row>
    <row r="72" spans="1:21" ht="18" customHeight="1">
      <c r="A72" s="92"/>
      <c r="B72" s="92"/>
      <c r="C72" s="92"/>
      <c r="D72" s="92">
        <v>38</v>
      </c>
      <c r="E72" s="222" t="s">
        <v>292</v>
      </c>
      <c r="F72" s="222" t="s">
        <v>293</v>
      </c>
      <c r="G72" s="113"/>
      <c r="H72" s="93"/>
      <c r="I72" s="93"/>
      <c r="J72" s="93">
        <f>PL!J72/'PL USD'!$J$2</f>
        <v>178.03097739006589</v>
      </c>
      <c r="K72" s="93"/>
      <c r="L72" s="112"/>
      <c r="M72" s="112"/>
      <c r="N72" s="112"/>
      <c r="O72" s="112"/>
      <c r="P72" s="112"/>
      <c r="Q72" s="112"/>
      <c r="R72" s="112"/>
      <c r="S72" s="221"/>
      <c r="T72" s="221"/>
      <c r="U72" s="97"/>
    </row>
    <row r="73" spans="1:21" ht="18" customHeight="1" thickBot="1">
      <c r="A73" s="92"/>
      <c r="B73" s="92"/>
      <c r="C73" s="92"/>
      <c r="D73" s="92"/>
      <c r="E73" s="102"/>
      <c r="F73" s="91" t="s">
        <v>98</v>
      </c>
      <c r="G73" s="92"/>
      <c r="H73" s="98">
        <f>SUM(H51:H65)</f>
        <v>50099.059957045698</v>
      </c>
      <c r="I73" s="98">
        <f>SUM(I51:I72)</f>
        <v>15200.218414154651</v>
      </c>
      <c r="J73" s="98">
        <f>SUM(J51:J72)</f>
        <v>16952.548056495161</v>
      </c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223">
        <f>SUM(H73:Q73)+SUM(S73+T73)</f>
        <v>82251.826427695516</v>
      </c>
    </row>
    <row r="74" spans="1:21" ht="18" customHeight="1" thickTop="1">
      <c r="A74" s="92"/>
      <c r="B74" s="92"/>
      <c r="C74" s="92"/>
      <c r="D74" s="92"/>
      <c r="E74" s="102">
        <v>1111</v>
      </c>
      <c r="F74" s="92" t="s">
        <v>99</v>
      </c>
      <c r="G74" s="92"/>
      <c r="H74" s="130">
        <v>0</v>
      </c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93"/>
      <c r="T74" s="93"/>
      <c r="U74" s="99">
        <f>SUM(H74:T74)</f>
        <v>0</v>
      </c>
    </row>
    <row r="75" spans="1:21" ht="18" customHeight="1">
      <c r="A75" s="92"/>
      <c r="B75" s="92"/>
      <c r="C75" s="92"/>
      <c r="D75" s="92" t="s">
        <v>242</v>
      </c>
      <c r="E75" s="159" t="s">
        <v>9</v>
      </c>
      <c r="F75" s="160" t="s">
        <v>10</v>
      </c>
      <c r="G75" s="92"/>
      <c r="H75" s="157">
        <v>0</v>
      </c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93"/>
      <c r="T75" s="93"/>
      <c r="U75" s="99">
        <f t="shared" ref="U75:U82" si="2">SUM(H75:T75)</f>
        <v>0</v>
      </c>
    </row>
    <row r="76" spans="1:21" ht="18" customHeight="1">
      <c r="A76" s="92"/>
      <c r="B76" s="92"/>
      <c r="C76" s="92"/>
      <c r="D76" s="92"/>
      <c r="E76" s="102"/>
      <c r="F76" s="92"/>
      <c r="G76" s="92"/>
      <c r="H76" s="157">
        <f>IFERROR(VLOOKUP(E76,TBFeb23!$A$8:E187,5,0),0)</f>
        <v>0</v>
      </c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93"/>
      <c r="T76" s="93"/>
      <c r="U76" s="99">
        <f t="shared" si="2"/>
        <v>0</v>
      </c>
    </row>
    <row r="77" spans="1:21" ht="18" customHeight="1">
      <c r="A77" s="92"/>
      <c r="B77" s="92"/>
      <c r="C77" s="92"/>
      <c r="D77" s="92"/>
      <c r="E77" s="102">
        <v>1365.02</v>
      </c>
      <c r="F77" s="92" t="s">
        <v>174</v>
      </c>
      <c r="G77" s="92"/>
      <c r="H77" s="93">
        <f>PL!H77/'PL USD'!$H$2</f>
        <v>49580.07684763155</v>
      </c>
      <c r="I77" s="93">
        <f>PL!I77/'PL USD'!$I$2</f>
        <v>1184.3572024305952</v>
      </c>
      <c r="J77" s="93">
        <f>PL!J77/'PL USD'!$J$2</f>
        <v>213.31944691709691</v>
      </c>
      <c r="K77" s="117"/>
      <c r="L77" s="117"/>
      <c r="M77" s="117"/>
      <c r="N77" s="117"/>
      <c r="O77" s="117"/>
      <c r="P77" s="117"/>
      <c r="Q77" s="117"/>
      <c r="R77" s="117"/>
      <c r="S77" s="93"/>
      <c r="T77" s="93"/>
      <c r="U77" s="99">
        <f t="shared" si="2"/>
        <v>50977.753496979247</v>
      </c>
    </row>
    <row r="78" spans="1:21" ht="18" customHeight="1">
      <c r="A78" s="92"/>
      <c r="B78" s="92"/>
      <c r="C78" s="92"/>
      <c r="D78" s="92"/>
      <c r="E78" s="102">
        <v>602</v>
      </c>
      <c r="F78" s="92" t="s">
        <v>243</v>
      </c>
      <c r="G78" s="92"/>
      <c r="H78" s="93">
        <f>PL!H78/'PL USD'!$H$2</f>
        <v>0</v>
      </c>
      <c r="I78" s="93">
        <f>PL!I78/'PL USD'!$I$2</f>
        <v>0</v>
      </c>
      <c r="J78" s="93">
        <f>PL!J78/'PL USD'!$J$2</f>
        <v>0</v>
      </c>
      <c r="K78" s="117"/>
      <c r="L78" s="117"/>
      <c r="M78" s="117"/>
      <c r="N78" s="117"/>
      <c r="O78" s="117"/>
      <c r="P78" s="117"/>
      <c r="Q78" s="117"/>
      <c r="R78" s="117"/>
      <c r="S78" s="93"/>
      <c r="T78" s="93"/>
      <c r="U78" s="99">
        <f t="shared" si="2"/>
        <v>0</v>
      </c>
    </row>
    <row r="79" spans="1:21" ht="18" customHeight="1">
      <c r="A79" s="92"/>
      <c r="B79" s="92"/>
      <c r="C79" s="92"/>
      <c r="D79" s="92"/>
      <c r="E79" s="102" t="s">
        <v>111</v>
      </c>
      <c r="F79" s="92" t="s">
        <v>23</v>
      </c>
      <c r="G79" s="92"/>
      <c r="H79" s="93">
        <f>PL!H79/'PL USD'!$H$2</f>
        <v>0</v>
      </c>
      <c r="I79" s="93">
        <f>PL!I79/'PL USD'!$I$2</f>
        <v>0</v>
      </c>
      <c r="J79" s="93">
        <f>PL!J79/'PL USD'!$J$2</f>
        <v>0</v>
      </c>
      <c r="K79" s="117"/>
      <c r="L79" s="117"/>
      <c r="M79" s="117"/>
      <c r="N79" s="117"/>
      <c r="O79" s="117"/>
      <c r="P79" s="117"/>
      <c r="Q79" s="117"/>
      <c r="R79" s="117"/>
      <c r="S79" s="93"/>
      <c r="T79" s="93"/>
      <c r="U79" s="99">
        <f t="shared" si="2"/>
        <v>0</v>
      </c>
    </row>
    <row r="80" spans="1:21" ht="18" customHeight="1">
      <c r="A80" s="92"/>
      <c r="B80" s="92"/>
      <c r="C80" s="92"/>
      <c r="D80" s="92"/>
      <c r="E80" s="102" t="s">
        <v>198</v>
      </c>
      <c r="F80" s="92" t="s">
        <v>199</v>
      </c>
      <c r="G80" s="92"/>
      <c r="H80" s="93">
        <f>PL!H80/'PL USD'!$H$2</f>
        <v>0</v>
      </c>
      <c r="I80" s="93">
        <f>PL!I80/'PL USD'!$I$2</f>
        <v>0</v>
      </c>
      <c r="J80" s="93">
        <f>PL!J80/'PL USD'!$J$2</f>
        <v>0</v>
      </c>
      <c r="K80" s="117"/>
      <c r="L80" s="117"/>
      <c r="M80" s="117"/>
      <c r="N80" s="117"/>
      <c r="O80" s="117"/>
      <c r="P80" s="117"/>
      <c r="Q80" s="117"/>
      <c r="R80" s="117"/>
      <c r="S80" s="93"/>
      <c r="T80" s="93"/>
      <c r="U80" s="99">
        <f t="shared" si="2"/>
        <v>0</v>
      </c>
    </row>
    <row r="81" spans="1:21" ht="18" customHeight="1">
      <c r="A81" s="92"/>
      <c r="B81" s="92"/>
      <c r="C81" s="92"/>
      <c r="D81" s="92"/>
      <c r="E81" s="102">
        <v>626</v>
      </c>
      <c r="F81" s="92" t="s">
        <v>244</v>
      </c>
      <c r="G81" s="92"/>
      <c r="H81" s="93">
        <f>PL!H81/'PL USD'!$H$2</f>
        <v>0</v>
      </c>
      <c r="I81" s="93">
        <f>PL!I81/'PL USD'!$I$2</f>
        <v>0</v>
      </c>
      <c r="J81" s="93">
        <f>PL!J81/'PL USD'!$J$2</f>
        <v>0</v>
      </c>
      <c r="K81" s="117"/>
      <c r="L81" s="117"/>
      <c r="M81" s="117"/>
      <c r="N81" s="117"/>
      <c r="O81" s="117"/>
      <c r="P81" s="117"/>
      <c r="Q81" s="117"/>
      <c r="R81" s="117"/>
      <c r="S81" s="93"/>
      <c r="T81" s="93"/>
      <c r="U81" s="99">
        <f t="shared" si="2"/>
        <v>0</v>
      </c>
    </row>
    <row r="82" spans="1:21" ht="18" customHeight="1">
      <c r="A82" s="92"/>
      <c r="B82" s="92"/>
      <c r="C82" s="92"/>
      <c r="D82" s="92"/>
      <c r="E82" s="102" t="s">
        <v>214</v>
      </c>
      <c r="F82" s="92" t="s">
        <v>215</v>
      </c>
      <c r="G82" s="92"/>
      <c r="H82" s="93">
        <f>PL!H82/'PL USD'!$H$2</f>
        <v>383.00918744779858</v>
      </c>
      <c r="I82" s="93">
        <f>PL!I82/'PL USD'!$I$2</f>
        <v>0</v>
      </c>
      <c r="J82" s="93">
        <f>PL!J82/'PL USD'!$J$2</f>
        <v>0</v>
      </c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9">
        <f t="shared" si="2"/>
        <v>383.00918744779858</v>
      </c>
    </row>
    <row r="83" spans="1:21" ht="18" customHeight="1">
      <c r="A83" s="92"/>
      <c r="B83" s="92"/>
      <c r="C83" s="92"/>
      <c r="D83" s="92"/>
      <c r="E83" s="102"/>
      <c r="F83" s="91"/>
      <c r="G83" s="92"/>
      <c r="H83" s="25">
        <f>SUM(H77:H82)</f>
        <v>49963.086035079352</v>
      </c>
      <c r="I83" s="25">
        <f>SUM(I77:I82)</f>
        <v>1184.3572024305952</v>
      </c>
      <c r="J83" s="25">
        <f>SUM(J77:J82)</f>
        <v>213.31944691709691</v>
      </c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9">
        <f>SUM(H83:Q83)+SUM(S83+T83)</f>
        <v>51360.762684427049</v>
      </c>
    </row>
    <row r="84" spans="1:21" s="17" customFormat="1" ht="18" customHeight="1">
      <c r="A84" s="91"/>
      <c r="B84" s="91"/>
      <c r="C84" s="91" t="s">
        <v>100</v>
      </c>
      <c r="D84" s="91"/>
      <c r="E84" s="96"/>
      <c r="F84" s="91"/>
      <c r="G84" s="91"/>
      <c r="H84" s="28">
        <f>H50+H73+H83</f>
        <v>102024.53408364157</v>
      </c>
      <c r="I84" s="28">
        <f>I50+I73+I83</f>
        <v>16851.351208149645</v>
      </c>
      <c r="J84" s="28">
        <f>J50+J73-J83</f>
        <v>21678.972309061774</v>
      </c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1">
        <f>SUM(H84:Q84)+SUM(S84+T84)</f>
        <v>140554.85760085299</v>
      </c>
    </row>
    <row r="85" spans="1:21" s="17" customFormat="1" ht="18" customHeight="1">
      <c r="A85" s="91"/>
      <c r="B85" s="91" t="s">
        <v>45</v>
      </c>
      <c r="C85" s="91"/>
      <c r="D85" s="91"/>
      <c r="E85" s="96">
        <v>100</v>
      </c>
      <c r="F85" s="91"/>
      <c r="G85" s="91"/>
      <c r="H85" s="131">
        <f>H10-H84</f>
        <v>52699.868791910267</v>
      </c>
      <c r="I85" s="131">
        <f>I10-I84</f>
        <v>-14449.482984630045</v>
      </c>
      <c r="J85" s="131">
        <f>J10-J84</f>
        <v>26960.152267521222</v>
      </c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226">
        <f>SUM(H85:Q85)+SUM(S85+T85)</f>
        <v>65210.538074801443</v>
      </c>
    </row>
    <row r="86" spans="1:21" ht="18" customHeight="1">
      <c r="A86" s="92"/>
      <c r="B86" s="92"/>
      <c r="C86" s="92"/>
      <c r="D86" s="92"/>
      <c r="E86" s="102"/>
      <c r="F86" s="92"/>
      <c r="G86" s="92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9"/>
    </row>
    <row r="87" spans="1:21" s="19" customFormat="1" ht="18" customHeight="1">
      <c r="A87" s="92"/>
      <c r="B87" s="92"/>
      <c r="C87" s="91" t="s">
        <v>101</v>
      </c>
      <c r="D87" s="91"/>
      <c r="E87" s="102"/>
      <c r="F87" s="92"/>
      <c r="G87" s="92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9"/>
    </row>
    <row r="88" spans="1:21" s="19" customFormat="1" ht="18" customHeight="1">
      <c r="A88" s="92"/>
      <c r="B88" s="92"/>
      <c r="C88" s="91"/>
      <c r="D88" s="91" t="s">
        <v>46</v>
      </c>
      <c r="E88" s="102"/>
      <c r="F88" s="92"/>
      <c r="G88" s="92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9">
        <f>SUM(H88:S88)</f>
        <v>0</v>
      </c>
    </row>
    <row r="89" spans="1:21" s="19" customFormat="1" ht="18" customHeight="1">
      <c r="A89" s="92"/>
      <c r="B89" s="92"/>
      <c r="C89" s="92"/>
      <c r="D89" s="92"/>
      <c r="E89" s="102">
        <v>606.02</v>
      </c>
      <c r="F89" s="92" t="s">
        <v>24</v>
      </c>
      <c r="G89" s="123"/>
      <c r="H89" s="93">
        <f>PL!H89/'PL USD'!$H$2</f>
        <v>43.133277651831527</v>
      </c>
      <c r="I89" s="93">
        <f>PL!I89/'PL USD'!$I$2</f>
        <v>19.420946026450615</v>
      </c>
      <c r="J89" s="93">
        <f>PL!J89/'PL USD'!$J$2</f>
        <v>6.5278025043024153</v>
      </c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7">
        <f t="shared" ref="U89:U119" si="3">SUM(H89:Q89)+SUM(S89+T89)</f>
        <v>69.082026182584556</v>
      </c>
    </row>
    <row r="90" spans="1:21" s="19" customFormat="1" ht="18" customHeight="1">
      <c r="A90" s="92"/>
      <c r="B90" s="92"/>
      <c r="C90" s="92"/>
      <c r="D90" s="92"/>
      <c r="E90" s="102">
        <v>606.03</v>
      </c>
      <c r="F90" s="92" t="s">
        <v>25</v>
      </c>
      <c r="G90" s="123"/>
      <c r="H90" s="93">
        <f>PL!H90/'PL USD'!$H$2</f>
        <v>197.76876267748477</v>
      </c>
      <c r="I90" s="93">
        <f>PL!I90/'PL USD'!$I$2</f>
        <v>193.61372572381748</v>
      </c>
      <c r="J90" s="93">
        <f>PL!J90/'PL USD'!$J$2</f>
        <v>261.11210017209663</v>
      </c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7">
        <f t="shared" si="3"/>
        <v>652.49458857339891</v>
      </c>
    </row>
    <row r="91" spans="1:21" s="19" customFormat="1" ht="18" customHeight="1">
      <c r="A91" s="92"/>
      <c r="B91" s="92"/>
      <c r="C91" s="92"/>
      <c r="D91" s="92"/>
      <c r="E91" s="102">
        <v>606.04</v>
      </c>
      <c r="F91" s="92" t="s">
        <v>300</v>
      </c>
      <c r="G91" s="123"/>
      <c r="H91" s="93"/>
      <c r="I91" s="93"/>
      <c r="J91" s="93">
        <f>PL!J91/'PL USD'!$J$2</f>
        <v>30.208296243546378</v>
      </c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7"/>
    </row>
    <row r="92" spans="1:21" s="19" customFormat="1" ht="18" customHeight="1">
      <c r="A92" s="92"/>
      <c r="B92" s="92"/>
      <c r="C92" s="92"/>
      <c r="D92" s="92"/>
      <c r="E92" s="102" t="s">
        <v>269</v>
      </c>
      <c r="F92" s="92" t="s">
        <v>270</v>
      </c>
      <c r="G92" s="123"/>
      <c r="H92" s="93"/>
      <c r="I92" s="93">
        <f>PL!I92/'PL USD'!$I$2</f>
        <v>17.872036220660075</v>
      </c>
      <c r="J92" s="93">
        <f>PL!J92/'PL USD'!$J$2</f>
        <v>17.803097739006589</v>
      </c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7">
        <f t="shared" si="3"/>
        <v>35.675133959666667</v>
      </c>
    </row>
    <row r="93" spans="1:21" s="19" customFormat="1" ht="18" customHeight="1">
      <c r="A93" s="92"/>
      <c r="B93" s="92"/>
      <c r="C93" s="92"/>
      <c r="D93" s="92"/>
      <c r="E93" s="102" t="s">
        <v>271</v>
      </c>
      <c r="F93" s="92" t="s">
        <v>47</v>
      </c>
      <c r="G93" s="123"/>
      <c r="H93" s="93"/>
      <c r="I93" s="93">
        <f>PL!I93/'PL USD'!$I$2</f>
        <v>0.89360181103300373</v>
      </c>
      <c r="J93" s="93">
        <f>PL!J93/'PL USD'!$J$2</f>
        <v>0</v>
      </c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7">
        <f t="shared" si="3"/>
        <v>0.89360181103300373</v>
      </c>
    </row>
    <row r="94" spans="1:21" s="19" customFormat="1" ht="18" customHeight="1">
      <c r="A94" s="92"/>
      <c r="B94" s="92"/>
      <c r="C94" s="92"/>
      <c r="D94" s="92"/>
      <c r="E94" s="102" t="s">
        <v>200</v>
      </c>
      <c r="F94" s="92" t="s">
        <v>26</v>
      </c>
      <c r="G94" s="123"/>
      <c r="H94" s="93">
        <f>PL!H94/'PL USD'!$H$2</f>
        <v>605.90621644195198</v>
      </c>
      <c r="I94" s="93">
        <f>PL!I94/'PL USD'!$I$2</f>
        <v>928.60478970570716</v>
      </c>
      <c r="J94" s="93">
        <f>PL!J94/'PL USD'!$J$2</f>
        <v>0</v>
      </c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7">
        <f t="shared" si="3"/>
        <v>1534.5110061476591</v>
      </c>
    </row>
    <row r="95" spans="1:21" s="19" customFormat="1" ht="18" customHeight="1">
      <c r="A95" s="92"/>
      <c r="B95" s="92"/>
      <c r="C95" s="92"/>
      <c r="D95" s="92"/>
      <c r="E95" s="102" t="s">
        <v>201</v>
      </c>
      <c r="F95" s="92" t="s">
        <v>27</v>
      </c>
      <c r="G95" s="123"/>
      <c r="H95" s="93">
        <f>PL!H95/'PL USD'!$H$2</f>
        <v>239.19256592292089</v>
      </c>
      <c r="I95" s="93">
        <f>PL!I95/'PL USD'!$I$2</f>
        <v>238.8505897771953</v>
      </c>
      <c r="J95" s="93">
        <f>PL!J95/'PL USD'!$J$2</f>
        <v>237.929262358317</v>
      </c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7">
        <f t="shared" si="3"/>
        <v>715.97241805843316</v>
      </c>
    </row>
    <row r="96" spans="1:21" s="19" customFormat="1" ht="18" customHeight="1">
      <c r="A96" s="92"/>
      <c r="B96" s="92"/>
      <c r="C96" s="92"/>
      <c r="D96" s="92"/>
      <c r="E96" s="102" t="s">
        <v>272</v>
      </c>
      <c r="F96" s="92" t="s">
        <v>273</v>
      </c>
      <c r="G96" s="123"/>
      <c r="H96" s="93"/>
      <c r="I96" s="93">
        <f>PL!I96/'PL USD'!$I$2</f>
        <v>178.72036220660073</v>
      </c>
      <c r="J96" s="93">
        <f>PL!J96/'PL USD'!$J$2</f>
        <v>148.35914782505489</v>
      </c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7">
        <f t="shared" si="3"/>
        <v>327.07951003165562</v>
      </c>
    </row>
    <row r="97" spans="1:21" s="19" customFormat="1" ht="18" customHeight="1">
      <c r="A97" s="92"/>
      <c r="B97" s="92"/>
      <c r="C97" s="92"/>
      <c r="D97" s="92"/>
      <c r="E97" s="233" t="s">
        <v>202</v>
      </c>
      <c r="F97" s="234" t="s">
        <v>102</v>
      </c>
      <c r="G97" s="235"/>
      <c r="H97" s="113">
        <f>PL!H97/'PL USD'!$H$2</f>
        <v>1933.4388086147237</v>
      </c>
      <c r="I97" s="113">
        <f>PL!I97/'PL USD'!$I$2</f>
        <v>0</v>
      </c>
      <c r="J97" s="93">
        <f>PL!J97/'PL USD'!$J$2</f>
        <v>0</v>
      </c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7">
        <f t="shared" si="3"/>
        <v>1933.4388086147237</v>
      </c>
    </row>
    <row r="98" spans="1:21" s="19" customFormat="1" ht="18" customHeight="1">
      <c r="A98" s="92"/>
      <c r="B98" s="92"/>
      <c r="C98" s="92"/>
      <c r="D98" s="92"/>
      <c r="E98" s="102" t="s">
        <v>274</v>
      </c>
      <c r="F98" s="92" t="s">
        <v>275</v>
      </c>
      <c r="G98" s="123"/>
      <c r="H98" s="93"/>
      <c r="I98" s="93">
        <f>PL!I98/'PL USD'!$I$2</f>
        <v>814.11890861432141</v>
      </c>
      <c r="J98" s="93">
        <f>PL!J98/'PL USD'!$J$2</f>
        <v>811.22782030740018</v>
      </c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7">
        <f t="shared" si="3"/>
        <v>1625.3467289217215</v>
      </c>
    </row>
    <row r="99" spans="1:21" s="19" customFormat="1" ht="18" customHeight="1">
      <c r="A99" s="92"/>
      <c r="B99" s="92"/>
      <c r="C99" s="92"/>
      <c r="D99" s="92"/>
      <c r="E99" s="102" t="s">
        <v>203</v>
      </c>
      <c r="F99" s="92" t="s">
        <v>28</v>
      </c>
      <c r="G99" s="123"/>
      <c r="H99" s="93">
        <f>PL!H99/'PL USD'!$H$2</f>
        <v>353.44529292447203</v>
      </c>
      <c r="I99" s="93">
        <f>PL!I99/'PL USD'!$I$2</f>
        <v>0</v>
      </c>
      <c r="J99" s="93">
        <f>PL!J99/'PL USD'!$J$2</f>
        <v>251.46875556346805</v>
      </c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7">
        <f t="shared" si="3"/>
        <v>604.91404848794014</v>
      </c>
    </row>
    <row r="100" spans="1:21" s="19" customFormat="1" ht="18" customHeight="1">
      <c r="A100" s="92"/>
      <c r="B100" s="92"/>
      <c r="C100" s="92"/>
      <c r="D100" s="92"/>
      <c r="E100" s="102" t="s">
        <v>204</v>
      </c>
      <c r="F100" s="92" t="s">
        <v>29</v>
      </c>
      <c r="G100" s="123"/>
      <c r="H100" s="93">
        <f>PL!H100/'PL USD'!$H$2</f>
        <v>16.704450542894644</v>
      </c>
      <c r="I100" s="93">
        <f>PL!I100/'PL USD'!$I$2</f>
        <v>0</v>
      </c>
      <c r="J100" s="93">
        <f>PL!J100/'PL USD'!$J$2</f>
        <v>26.704646608509879</v>
      </c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7">
        <f t="shared" si="3"/>
        <v>43.409097151404524</v>
      </c>
    </row>
    <row r="101" spans="1:21" s="19" customFormat="1" ht="18" customHeight="1">
      <c r="A101" s="92"/>
      <c r="B101" s="92"/>
      <c r="C101" s="92"/>
      <c r="D101" s="92"/>
      <c r="E101" s="102" t="s">
        <v>205</v>
      </c>
      <c r="F101" s="92" t="s">
        <v>30</v>
      </c>
      <c r="G101" s="123"/>
      <c r="H101" s="93">
        <f>PL!H101/'PL USD'!$H$2</f>
        <v>29.82937596945472</v>
      </c>
      <c r="I101" s="93">
        <f>PL!I101/'PL USD'!$I$2</f>
        <v>276.12295960919812</v>
      </c>
      <c r="J101" s="93">
        <f>PL!J101/'PL USD'!$J$2</f>
        <v>0</v>
      </c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7">
        <f t="shared" si="3"/>
        <v>305.95233557865282</v>
      </c>
    </row>
    <row r="102" spans="1:21" s="19" customFormat="1" ht="18" customHeight="1">
      <c r="A102" s="92"/>
      <c r="B102" s="92"/>
      <c r="C102" s="92"/>
      <c r="D102" s="92"/>
      <c r="E102" s="102" t="s">
        <v>206</v>
      </c>
      <c r="F102" s="92" t="s">
        <v>135</v>
      </c>
      <c r="G102" s="123"/>
      <c r="H102" s="93">
        <f>PL!H102/'PL USD'!$H$2</f>
        <v>2.4460088294952871</v>
      </c>
      <c r="I102" s="93">
        <f>PL!I102/'PL USD'!$I$2</f>
        <v>1527.1511378529726</v>
      </c>
      <c r="J102" s="93">
        <f>PL!J102/'PL USD'!$J$2</f>
        <v>10.681858643403952</v>
      </c>
      <c r="K102" s="93"/>
      <c r="L102" s="93"/>
      <c r="M102" s="93"/>
      <c r="N102" s="93"/>
      <c r="O102" s="93"/>
      <c r="P102" s="93"/>
      <c r="Q102" s="93"/>
      <c r="R102" s="93"/>
      <c r="S102" s="116"/>
      <c r="T102" s="93"/>
      <c r="U102" s="97">
        <f t="shared" si="3"/>
        <v>1540.2790053258718</v>
      </c>
    </row>
    <row r="103" spans="1:21" s="19" customFormat="1" ht="18" customHeight="1">
      <c r="A103" s="92"/>
      <c r="B103" s="92"/>
      <c r="C103" s="92"/>
      <c r="D103" s="92"/>
      <c r="E103" s="102" t="s">
        <v>207</v>
      </c>
      <c r="F103" s="92" t="s">
        <v>31</v>
      </c>
      <c r="G103" s="123"/>
      <c r="H103" s="93">
        <f>PL!H103/'PL USD'!$H$2</f>
        <v>10.977210356759336</v>
      </c>
      <c r="I103" s="93">
        <f>PL!I103/'PL USD'!$I$2</f>
        <v>10.961515548671512</v>
      </c>
      <c r="J103" s="93">
        <f>PL!J103/'PL USD'!$J$2</f>
        <v>11.51266987122426</v>
      </c>
      <c r="K103" s="93"/>
      <c r="L103" s="93"/>
      <c r="M103" s="93"/>
      <c r="N103" s="93"/>
      <c r="O103" s="93"/>
      <c r="P103" s="93"/>
      <c r="Q103" s="93"/>
      <c r="R103" s="93"/>
      <c r="S103" s="116"/>
      <c r="T103" s="93"/>
      <c r="U103" s="97">
        <f t="shared" si="3"/>
        <v>33.451395776655112</v>
      </c>
    </row>
    <row r="104" spans="1:21" s="19" customFormat="1" ht="18" customHeight="1">
      <c r="A104" s="92"/>
      <c r="B104" s="92"/>
      <c r="C104" s="92"/>
      <c r="D104" s="92"/>
      <c r="E104" s="102" t="s">
        <v>208</v>
      </c>
      <c r="F104" s="92" t="s">
        <v>32</v>
      </c>
      <c r="G104" s="123"/>
      <c r="H104" s="93">
        <f>PL!H104/'PL USD'!$H$2</f>
        <v>29.232788450065623</v>
      </c>
      <c r="I104" s="93">
        <f>PL!I104/'PL USD'!$I$2</f>
        <v>29.190992493744787</v>
      </c>
      <c r="J104" s="93">
        <f>PL!J104/'PL USD'!$J$2</f>
        <v>29.078392973710759</v>
      </c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7">
        <f t="shared" si="3"/>
        <v>87.502173917521176</v>
      </c>
    </row>
    <row r="105" spans="1:21" s="24" customFormat="1" ht="18" customHeight="1">
      <c r="A105" s="92"/>
      <c r="B105" s="92"/>
      <c r="C105" s="92"/>
      <c r="D105" s="92"/>
      <c r="E105" s="102" t="s">
        <v>209</v>
      </c>
      <c r="F105" s="92" t="s">
        <v>210</v>
      </c>
      <c r="G105" s="123"/>
      <c r="H105" s="93">
        <f>PL!H105/'PL USD'!$H$2</f>
        <v>176.02996301157381</v>
      </c>
      <c r="I105" s="93">
        <f>PL!I105/'PL USD'!$I$2</f>
        <v>0</v>
      </c>
      <c r="J105" s="93">
        <f>PL!J105/'PL USD'!$J$2</f>
        <v>0</v>
      </c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7">
        <f t="shared" si="3"/>
        <v>176.02996301157381</v>
      </c>
    </row>
    <row r="106" spans="1:21" s="19" customFormat="1" ht="18" customHeight="1">
      <c r="A106" s="92"/>
      <c r="B106" s="92"/>
      <c r="C106" s="92"/>
      <c r="D106" s="92"/>
      <c r="E106" s="102" t="s">
        <v>211</v>
      </c>
      <c r="F106" s="92" t="s">
        <v>33</v>
      </c>
      <c r="G106" s="112"/>
      <c r="H106" s="93">
        <f>PL!H106/'PL USD'!$H$2</f>
        <v>219.54420713518672</v>
      </c>
      <c r="I106" s="93">
        <f>PL!I106/'PL USD'!$I$2</f>
        <v>0</v>
      </c>
      <c r="J106" s="93">
        <f>PL!J106/'PL USD'!$J$2</f>
        <v>0</v>
      </c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7">
        <f t="shared" si="3"/>
        <v>219.54420713518672</v>
      </c>
    </row>
    <row r="107" spans="1:21" s="24" customFormat="1" ht="18" customHeight="1">
      <c r="A107" s="92"/>
      <c r="B107" s="92"/>
      <c r="C107" s="92"/>
      <c r="D107" s="92"/>
      <c r="E107" s="102" t="s">
        <v>212</v>
      </c>
      <c r="F107" s="92" t="s">
        <v>34</v>
      </c>
      <c r="G107" s="112"/>
      <c r="H107" s="93">
        <f>PL!H107/'PL USD'!$H$2</f>
        <v>11.633456628087341</v>
      </c>
      <c r="I107" s="93">
        <f>PL!I107/'PL USD'!$I$2</f>
        <v>12.927439532944121</v>
      </c>
      <c r="J107" s="93">
        <f>PL!J107/'PL USD'!$J$2</f>
        <v>69.90683045516586</v>
      </c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7">
        <f t="shared" si="3"/>
        <v>94.467726616197325</v>
      </c>
    </row>
    <row r="108" spans="1:21" s="24" customFormat="1" ht="18" customHeight="1">
      <c r="A108" s="92"/>
      <c r="B108" s="92"/>
      <c r="C108" s="92"/>
      <c r="D108" s="92"/>
      <c r="E108" s="102" t="s">
        <v>276</v>
      </c>
      <c r="F108" s="92" t="s">
        <v>263</v>
      </c>
      <c r="G108" s="112"/>
      <c r="H108" s="93"/>
      <c r="I108" s="93">
        <f>PL!I108/'PL USD'!$I$2</f>
        <v>398.30811390444416</v>
      </c>
      <c r="J108" s="93">
        <f>PL!J108/'PL USD'!$J$2</f>
        <v>0</v>
      </c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7">
        <f t="shared" si="3"/>
        <v>398.30811390444416</v>
      </c>
    </row>
    <row r="109" spans="1:21" s="24" customFormat="1" ht="18" customHeight="1">
      <c r="A109" s="92"/>
      <c r="B109" s="92"/>
      <c r="C109" s="92"/>
      <c r="D109" s="92"/>
      <c r="E109" s="102" t="s">
        <v>213</v>
      </c>
      <c r="F109" s="92" t="s">
        <v>36</v>
      </c>
      <c r="G109" s="112"/>
      <c r="H109" s="93">
        <f>PL!H109/'PL USD'!$H$2</f>
        <v>61.151562462713272</v>
      </c>
      <c r="I109" s="93">
        <f>PL!I109/'PL USD'!$I$2</f>
        <v>7.3952877397831527</v>
      </c>
      <c r="J109" s="93">
        <f>PL!J109/'PL USD'!$J$2</f>
        <v>32.540800545961666</v>
      </c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7">
        <f t="shared" si="3"/>
        <v>101.08765074845809</v>
      </c>
    </row>
    <row r="110" spans="1:21" s="24" customFormat="1" ht="18" customHeight="1">
      <c r="A110" s="92"/>
      <c r="B110" s="92"/>
      <c r="C110" s="92"/>
      <c r="D110" s="92"/>
      <c r="E110" s="102" t="s">
        <v>277</v>
      </c>
      <c r="F110" s="92" t="s">
        <v>244</v>
      </c>
      <c r="G110" s="112"/>
      <c r="H110" s="93"/>
      <c r="I110" s="93">
        <f>PL!I110/'PL USD'!$I$2</f>
        <v>99.904682473489814</v>
      </c>
      <c r="J110" s="93">
        <f>PL!J110/'PL USD'!$J$2</f>
        <v>0</v>
      </c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7">
        <f t="shared" si="3"/>
        <v>99.904682473489814</v>
      </c>
    </row>
    <row r="111" spans="1:21" s="19" customFormat="1" ht="18" customHeight="1">
      <c r="A111" s="92"/>
      <c r="B111" s="92"/>
      <c r="C111" s="92"/>
      <c r="D111" s="92"/>
      <c r="E111" s="102" t="s">
        <v>216</v>
      </c>
      <c r="F111" s="92" t="s">
        <v>136</v>
      </c>
      <c r="G111" s="123"/>
      <c r="H111" s="93">
        <f>PL!H111/'PL USD'!$H$2</f>
        <v>12122.971781410333</v>
      </c>
      <c r="I111" s="93">
        <f>PL!I111/'PL USD'!$I$2</f>
        <v>2249.6386870010724</v>
      </c>
      <c r="J111" s="93">
        <f>PL!J111/'PL USD'!$J$2</f>
        <v>2134.3599786362829</v>
      </c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7">
        <f t="shared" si="3"/>
        <v>16506.970447047686</v>
      </c>
    </row>
    <row r="112" spans="1:21" s="19" customFormat="1" ht="18" customHeight="1">
      <c r="A112" s="92"/>
      <c r="B112" s="92"/>
      <c r="C112" s="92"/>
      <c r="D112" s="92"/>
      <c r="E112" s="102" t="s">
        <v>278</v>
      </c>
      <c r="F112" s="92" t="s">
        <v>279</v>
      </c>
      <c r="G112" s="123"/>
      <c r="H112" s="93"/>
      <c r="I112" s="93">
        <f>PL!I112/'PL USD'!$I$2</f>
        <v>111.37119861789586</v>
      </c>
      <c r="J112" s="93">
        <f>PL!J112/'PL USD'!$J$2</f>
        <v>106.30561984451961</v>
      </c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7">
        <f t="shared" si="3"/>
        <v>217.67681846241547</v>
      </c>
    </row>
    <row r="113" spans="1:21" s="19" customFormat="1" ht="18" customHeight="1">
      <c r="A113" s="92"/>
      <c r="B113" s="92"/>
      <c r="C113" s="92"/>
      <c r="D113" s="92"/>
      <c r="E113" s="102" t="s">
        <v>280</v>
      </c>
      <c r="F113" s="92" t="s">
        <v>281</v>
      </c>
      <c r="G113" s="123"/>
      <c r="H113" s="93"/>
      <c r="I113" s="93">
        <f>PL!I113/'PL USD'!$I$2</f>
        <v>57.718634576432741</v>
      </c>
      <c r="J113" s="93">
        <f>PL!J113/'PL USD'!$J$2</f>
        <v>45.736158091507924</v>
      </c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7">
        <f t="shared" si="3"/>
        <v>103.45479266794067</v>
      </c>
    </row>
    <row r="114" spans="1:21" s="19" customFormat="1" ht="18" customHeight="1">
      <c r="A114" s="92"/>
      <c r="B114" s="92"/>
      <c r="C114" s="92"/>
      <c r="D114" s="92"/>
      <c r="E114" s="102" t="s">
        <v>217</v>
      </c>
      <c r="F114" s="92" t="s">
        <v>218</v>
      </c>
      <c r="G114" s="123"/>
      <c r="H114" s="93">
        <f>PL!H114/'PL USD'!$H$2</f>
        <v>1976.7892280157498</v>
      </c>
      <c r="I114" s="93">
        <f>PL!I114/'PL USD'!$I$2</f>
        <v>0</v>
      </c>
      <c r="J114" s="93">
        <f>PL!J114/'PL USD'!$J$2</f>
        <v>0</v>
      </c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7">
        <f t="shared" si="3"/>
        <v>1976.7892280157498</v>
      </c>
    </row>
    <row r="115" spans="1:21" s="19" customFormat="1" ht="18" customHeight="1">
      <c r="A115" s="92"/>
      <c r="B115" s="92"/>
      <c r="C115" s="92"/>
      <c r="D115" s="92"/>
      <c r="E115" s="102" t="s">
        <v>137</v>
      </c>
      <c r="F115" s="92" t="s">
        <v>35</v>
      </c>
      <c r="G115" s="123"/>
      <c r="H115" s="93">
        <f>PL!H115/'PL USD'!$H$2</f>
        <v>44.386111442548625</v>
      </c>
      <c r="I115" s="93">
        <f>PL!I115/'PL USD'!$I$2</f>
        <v>0</v>
      </c>
      <c r="J115" s="93">
        <f>PL!J115/'PL USD'!$J$2</f>
        <v>0</v>
      </c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7">
        <f t="shared" si="3"/>
        <v>44.386111442548625</v>
      </c>
    </row>
    <row r="116" spans="1:21" s="19" customFormat="1" ht="18" customHeight="1">
      <c r="A116" s="92"/>
      <c r="B116" s="92"/>
      <c r="C116" s="92"/>
      <c r="D116" s="92"/>
      <c r="E116" s="102" t="s">
        <v>282</v>
      </c>
      <c r="F116" s="92" t="s">
        <v>283</v>
      </c>
      <c r="G116" s="123"/>
      <c r="H116" s="93"/>
      <c r="I116" s="93">
        <f>PL!I116/'PL USD'!$I$2</f>
        <v>66.364827832717737</v>
      </c>
      <c r="J116" s="93">
        <f>PL!J116/'PL USD'!$J$2</f>
        <v>0</v>
      </c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7">
        <f t="shared" si="3"/>
        <v>66.364827832717737</v>
      </c>
    </row>
    <row r="117" spans="1:21" s="19" customFormat="1" ht="18" customHeight="1">
      <c r="A117" s="92"/>
      <c r="B117" s="92"/>
      <c r="C117" s="92"/>
      <c r="D117" s="92"/>
      <c r="E117" s="102" t="s">
        <v>219</v>
      </c>
      <c r="F117" s="92" t="s">
        <v>40</v>
      </c>
      <c r="G117" s="123"/>
      <c r="H117" s="93">
        <f>PL!H117/'PL USD'!$H$2</f>
        <v>4536.5402696575584</v>
      </c>
      <c r="I117" s="93">
        <f>PL!I117/'PL USD'!$I$2</f>
        <v>4574.4349618729893</v>
      </c>
      <c r="J117" s="93">
        <f>PL!J117/'PL USD'!$J$2</f>
        <v>4556.789820782149</v>
      </c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7">
        <f t="shared" si="3"/>
        <v>13667.765052312698</v>
      </c>
    </row>
    <row r="118" spans="1:21" s="19" customFormat="1" ht="18" customHeight="1">
      <c r="A118" s="92"/>
      <c r="B118" s="92"/>
      <c r="C118" s="92"/>
      <c r="D118" s="112"/>
      <c r="E118" s="102"/>
      <c r="F118" s="92"/>
      <c r="G118" s="123"/>
      <c r="H118" s="93">
        <v>0</v>
      </c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7">
        <f t="shared" si="3"/>
        <v>0</v>
      </c>
    </row>
    <row r="119" spans="1:21" s="19" customFormat="1" ht="18" customHeight="1">
      <c r="A119" s="92"/>
      <c r="B119" s="92"/>
      <c r="C119" s="92"/>
      <c r="D119" s="92"/>
      <c r="E119" s="96" t="s">
        <v>103</v>
      </c>
      <c r="F119" s="92"/>
      <c r="G119" s="123"/>
      <c r="H119" s="156">
        <f>SUM(H89:H118)</f>
        <v>22611.121338145807</v>
      </c>
      <c r="I119" s="156">
        <f>SUM(I89:I118)</f>
        <v>11813.585399142143</v>
      </c>
      <c r="J119" s="156">
        <f>SUM(J89:J118)</f>
        <v>8788.2530591656287</v>
      </c>
      <c r="K119" s="122"/>
      <c r="L119" s="132"/>
      <c r="M119" s="132"/>
      <c r="N119" s="132"/>
      <c r="O119" s="132"/>
      <c r="P119" s="132"/>
      <c r="Q119" s="132"/>
      <c r="R119" s="132"/>
      <c r="S119" s="132"/>
      <c r="T119" s="132"/>
      <c r="U119" s="121">
        <f t="shared" si="3"/>
        <v>43212.959796453579</v>
      </c>
    </row>
    <row r="120" spans="1:21" s="19" customFormat="1" ht="18" customHeight="1">
      <c r="A120" s="92"/>
      <c r="B120" s="92"/>
      <c r="C120" s="92"/>
      <c r="D120" s="91" t="s">
        <v>47</v>
      </c>
      <c r="E120" s="102"/>
      <c r="F120" s="92"/>
      <c r="G120" s="12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9"/>
    </row>
    <row r="121" spans="1:21" s="19" customFormat="1" ht="18" customHeight="1">
      <c r="A121" s="92"/>
      <c r="B121" s="92"/>
      <c r="C121" s="92"/>
      <c r="D121" s="91"/>
      <c r="E121" s="102">
        <v>658</v>
      </c>
      <c r="F121" s="92" t="s">
        <v>38</v>
      </c>
      <c r="G121" s="123"/>
      <c r="H121" s="93">
        <f>PL!H121/'PL USD'!$H$2</f>
        <v>-498.26529769717234</v>
      </c>
      <c r="I121" s="93">
        <f>PL!I121/'PL USD'!$I$2</f>
        <v>0.29786727034433458</v>
      </c>
      <c r="J121" s="93">
        <f>PL!J121/'PL USD'!$J$2</f>
        <v>1.4835914782505488</v>
      </c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9">
        <f>SUM(H121:S121)</f>
        <v>-496.48383894857744</v>
      </c>
    </row>
    <row r="122" spans="1:21" s="19" customFormat="1" ht="18" customHeight="1">
      <c r="A122" s="92"/>
      <c r="B122" s="92"/>
      <c r="C122" s="92"/>
      <c r="D122" s="92"/>
      <c r="E122" s="102">
        <v>656</v>
      </c>
      <c r="F122" s="92" t="s">
        <v>37</v>
      </c>
      <c r="G122" s="92"/>
      <c r="H122" s="93">
        <f>IFERROR(VLOOKUP(E122,TBFeb23!$A$8:E237,5,0),0)</f>
        <v>0</v>
      </c>
      <c r="I122" s="93">
        <f>PL!I122/'PL USD'!$I$2</f>
        <v>0</v>
      </c>
      <c r="J122" s="93">
        <f>PL!J122/'PL USD'!$J$2</f>
        <v>0</v>
      </c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7">
        <f>SUM(H122:Q122)+SUM(S122+T122)</f>
        <v>0</v>
      </c>
    </row>
    <row r="123" spans="1:21" s="19" customFormat="1" ht="18" customHeight="1">
      <c r="A123" s="92"/>
      <c r="B123" s="92"/>
      <c r="C123" s="92"/>
      <c r="D123" s="92"/>
      <c r="E123" s="102" t="s">
        <v>104</v>
      </c>
      <c r="F123" s="92"/>
      <c r="G123" s="123"/>
      <c r="H123" s="156">
        <f>SUM(H121:H122)</f>
        <v>-498.26529769717234</v>
      </c>
      <c r="I123" s="156">
        <f>SUM(I121:I122)</f>
        <v>0.29786727034433458</v>
      </c>
      <c r="J123" s="156">
        <f>SUM(J121:J122)</f>
        <v>1.4835914782505488</v>
      </c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1">
        <f>SUM(H123:Q123)+SUM(S123+T123)</f>
        <v>-496.48383894857744</v>
      </c>
    </row>
    <row r="124" spans="1:21" s="19" customFormat="1" ht="18" customHeight="1">
      <c r="A124" s="92"/>
      <c r="B124" s="92"/>
      <c r="C124" s="92"/>
      <c r="D124" s="92"/>
      <c r="E124" s="96" t="s">
        <v>105</v>
      </c>
      <c r="F124" s="92"/>
      <c r="G124" s="123"/>
      <c r="H124" s="122">
        <f>H119+H123</f>
        <v>22112.856040448634</v>
      </c>
      <c r="I124" s="122">
        <f>I119+I123</f>
        <v>11813.883266412488</v>
      </c>
      <c r="J124" s="122">
        <f>J119+J123</f>
        <v>8789.7366506438793</v>
      </c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1">
        <f>SUM(H124:Q124)+SUM(S124+T124)</f>
        <v>42716.475957504997</v>
      </c>
    </row>
    <row r="125" spans="1:21" s="19" customFormat="1" ht="18" customHeight="1">
      <c r="A125" s="92"/>
      <c r="B125" s="92"/>
      <c r="C125" s="92"/>
      <c r="D125" s="92"/>
      <c r="E125" s="96" t="s">
        <v>48</v>
      </c>
      <c r="F125" s="92"/>
      <c r="G125" s="123"/>
      <c r="H125" s="120">
        <f>H85-H124</f>
        <v>30587.012751461632</v>
      </c>
      <c r="I125" s="120">
        <f>I85-I124</f>
        <v>-26263.366251042535</v>
      </c>
      <c r="J125" s="120">
        <f>J85-J124</f>
        <v>18170.415616877341</v>
      </c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1">
        <f>SUM(H125:Q125)+SUM(S125+T125)</f>
        <v>22494.062117296438</v>
      </c>
    </row>
    <row r="126" spans="1:21" s="19" customFormat="1" ht="18" customHeight="1">
      <c r="A126" s="92"/>
      <c r="B126" s="92"/>
      <c r="C126" s="92"/>
      <c r="D126" s="91" t="s">
        <v>49</v>
      </c>
      <c r="E126" s="102"/>
      <c r="F126" s="92"/>
      <c r="G126" s="12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9"/>
    </row>
    <row r="127" spans="1:21" s="19" customFormat="1" ht="18" customHeight="1">
      <c r="A127" s="92"/>
      <c r="B127" s="92"/>
      <c r="C127" s="92"/>
      <c r="D127" s="91"/>
      <c r="E127" s="102">
        <v>763</v>
      </c>
      <c r="F127" s="102" t="s">
        <v>42</v>
      </c>
      <c r="G127" s="123"/>
      <c r="H127" s="93">
        <f>PL!H127/'PL USD'!$H$2</f>
        <v>242.27508232907769</v>
      </c>
      <c r="I127" s="93">
        <f>PL!I127/'PL USD'!$I$2</f>
        <v>73.225770880495659</v>
      </c>
      <c r="J127" s="93">
        <f>PL!J127/'PL USD'!$J$2</f>
        <v>172.99235119577472</v>
      </c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7">
        <f>SUM(H127:Q127)+SUM(S127+T127)</f>
        <v>488.49320440534802</v>
      </c>
    </row>
    <row r="128" spans="1:21" s="19" customFormat="1" ht="18" customHeight="1">
      <c r="A128" s="92"/>
      <c r="B128" s="92"/>
      <c r="C128" s="92"/>
      <c r="D128" s="112"/>
      <c r="E128" s="102">
        <v>768</v>
      </c>
      <c r="F128" s="102" t="s">
        <v>43</v>
      </c>
      <c r="G128" s="92"/>
      <c r="H128" s="93">
        <f>PL!H128/'PL USD'!$H$2</f>
        <v>4460.8936326214052</v>
      </c>
      <c r="I128" s="93">
        <f>PL!I128/'PL USD'!$I$2</f>
        <v>5156.7341743119259</v>
      </c>
      <c r="J128" s="93">
        <f>PL!J128/'PL USD'!$J$2</f>
        <v>14.835914782505489</v>
      </c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7">
        <f>SUM(H128:Q128)+SUM(S128+T128)</f>
        <v>9632.4637217158361</v>
      </c>
    </row>
    <row r="129" spans="1:21" s="19" customFormat="1" ht="18" customHeight="1">
      <c r="A129" s="92"/>
      <c r="B129" s="92"/>
      <c r="C129" s="92"/>
      <c r="D129" s="112"/>
      <c r="E129" s="102" t="s">
        <v>301</v>
      </c>
      <c r="F129" s="102" t="s">
        <v>302</v>
      </c>
      <c r="G129" s="92"/>
      <c r="H129" s="93"/>
      <c r="I129" s="93"/>
      <c r="J129" s="93">
        <f>PL!J129/'PL USD'!$J$2</f>
        <v>1255.7343777817341</v>
      </c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7"/>
    </row>
    <row r="130" spans="1:21" s="19" customFormat="1" ht="18" customHeight="1">
      <c r="A130" s="92"/>
      <c r="B130" s="92"/>
      <c r="C130" s="92"/>
      <c r="D130" s="92"/>
      <c r="E130" s="96" t="s">
        <v>106</v>
      </c>
      <c r="F130" s="92"/>
      <c r="G130" s="92"/>
      <c r="H130" s="153">
        <f>SUM(H127:H128)</f>
        <v>4703.1687149504833</v>
      </c>
      <c r="I130" s="153">
        <f>SUM(I127:I128)</f>
        <v>5229.9599451924214</v>
      </c>
      <c r="J130" s="153">
        <f>SUM(J127:J129)</f>
        <v>1443.5626437600142</v>
      </c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1">
        <f>SUM(H130:Q130)+SUM(S130+T130)</f>
        <v>11376.69130390292</v>
      </c>
    </row>
    <row r="131" spans="1:21" s="19" customFormat="1" ht="18" customHeight="1">
      <c r="A131" s="92"/>
      <c r="B131" s="92"/>
      <c r="C131" s="92"/>
      <c r="D131" s="91" t="s">
        <v>50</v>
      </c>
      <c r="E131" s="96"/>
      <c r="F131" s="92"/>
      <c r="G131" s="92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9"/>
    </row>
    <row r="132" spans="1:21" s="19" customFormat="1" ht="18" customHeight="1">
      <c r="A132" s="92"/>
      <c r="B132" s="92"/>
      <c r="C132" s="92"/>
      <c r="D132" s="92"/>
      <c r="E132" s="102">
        <v>661</v>
      </c>
      <c r="F132" s="92" t="s">
        <v>245</v>
      </c>
      <c r="G132" s="123"/>
      <c r="H132" s="93">
        <f>PL!H132/'PL USD'!$H$2</f>
        <v>0</v>
      </c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7">
        <f>SUM(H132:Q132)+SUM(S132+T132)</f>
        <v>0</v>
      </c>
    </row>
    <row r="133" spans="1:21" s="19" customFormat="1" ht="18" customHeight="1">
      <c r="A133" s="92"/>
      <c r="B133" s="92"/>
      <c r="C133" s="92"/>
      <c r="D133" s="92"/>
      <c r="E133" s="102">
        <v>663</v>
      </c>
      <c r="F133" s="92" t="s">
        <v>246</v>
      </c>
      <c r="G133" s="92"/>
      <c r="H133" s="93">
        <f>PL!H133/'PL USD'!$H$2</f>
        <v>2813.5344242930441</v>
      </c>
      <c r="I133" s="93">
        <f>PL!I133/'PL USD'!$I$2</f>
        <v>231.44313713809126</v>
      </c>
      <c r="J133" s="93">
        <f>PL!J133/'PL USD'!$J$2</f>
        <v>3317.8491240875915</v>
      </c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7">
        <f>SUM(H133:Q133)+SUM(S133+T133)</f>
        <v>6362.8266855187267</v>
      </c>
    </row>
    <row r="134" spans="1:21" s="19" customFormat="1" ht="18" customHeight="1">
      <c r="A134" s="92"/>
      <c r="B134" s="92"/>
      <c r="C134" s="92"/>
      <c r="D134" s="92"/>
      <c r="E134" s="178" t="s">
        <v>250</v>
      </c>
      <c r="F134" s="179" t="s">
        <v>284</v>
      </c>
      <c r="G134" s="92"/>
      <c r="H134" s="116"/>
      <c r="I134" s="116">
        <v>46.43</v>
      </c>
      <c r="J134" s="116">
        <v>43.07</v>
      </c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</row>
    <row r="135" spans="1:21" s="19" customFormat="1" ht="18" customHeight="1">
      <c r="A135" s="92"/>
      <c r="B135" s="92"/>
      <c r="C135" s="92"/>
      <c r="D135" s="92"/>
      <c r="E135" s="96" t="s">
        <v>107</v>
      </c>
      <c r="F135" s="92"/>
      <c r="G135" s="92"/>
      <c r="H135" s="156">
        <f>SUM(H132:H134)</f>
        <v>2813.5344242930441</v>
      </c>
      <c r="I135" s="156">
        <f>SUM(I132:I134)</f>
        <v>277.87313713809124</v>
      </c>
      <c r="J135" s="156">
        <f>SUM(J132:J134)</f>
        <v>3360.9191240875916</v>
      </c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1">
        <f>SUM(H135:Q135)+SUM(S135+T135)</f>
        <v>6452.3266855187267</v>
      </c>
    </row>
    <row r="136" spans="1:21" s="19" customFormat="1" ht="18" customHeight="1" thickBot="1">
      <c r="A136" s="92"/>
      <c r="B136" s="92"/>
      <c r="C136" s="92"/>
      <c r="D136" s="92"/>
      <c r="E136" s="91" t="s">
        <v>51</v>
      </c>
      <c r="F136" s="92"/>
      <c r="G136" s="123"/>
      <c r="H136" s="135">
        <f>+H125+H130-H135</f>
        <v>32476.647042119075</v>
      </c>
      <c r="I136" s="135">
        <f>+I125+I130-I135</f>
        <v>-21311.279442988205</v>
      </c>
      <c r="J136" s="135">
        <f>+J125+J130-J135</f>
        <v>16253.059136549764</v>
      </c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1">
        <f>SUM(H136:Q136)+SUM(S136+T136)</f>
        <v>27418.426735680634</v>
      </c>
    </row>
    <row r="137" spans="1:21" s="19" customFormat="1" ht="18" customHeight="1" thickTop="1">
      <c r="A137" s="92"/>
      <c r="B137" s="92"/>
      <c r="C137" s="92"/>
      <c r="D137" s="92"/>
      <c r="E137" s="92"/>
      <c r="F137" s="92"/>
      <c r="G137" s="123"/>
      <c r="H137" s="247">
        <f>H136</f>
        <v>32476.647042119075</v>
      </c>
      <c r="I137" s="247">
        <f>H137+I136</f>
        <v>11165.36759913087</v>
      </c>
      <c r="J137" s="247">
        <f>I137+J136</f>
        <v>27418.426735680634</v>
      </c>
      <c r="K137" s="247"/>
      <c r="L137" s="247"/>
      <c r="M137" s="247"/>
      <c r="N137" s="247"/>
      <c r="O137" s="247"/>
      <c r="P137" s="247"/>
      <c r="Q137" s="247"/>
      <c r="R137" s="247"/>
      <c r="S137" s="248"/>
      <c r="T137" s="248"/>
      <c r="U137" s="248"/>
    </row>
    <row r="138" spans="1:21" s="19" customFormat="1" ht="18" customHeight="1">
      <c r="A138" s="92"/>
      <c r="B138" s="92"/>
      <c r="C138" s="92"/>
      <c r="D138" s="92"/>
      <c r="E138" s="92"/>
      <c r="F138" s="92"/>
      <c r="G138" s="123"/>
      <c r="H138" s="136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125"/>
      <c r="T138" s="113"/>
      <c r="U138" s="126"/>
    </row>
    <row r="139" spans="1:21" s="19" customFormat="1" ht="18" customHeight="1">
      <c r="A139" s="18"/>
      <c r="B139" s="18"/>
      <c r="C139" s="18"/>
      <c r="D139" s="18"/>
      <c r="E139" s="18"/>
      <c r="F139" s="18"/>
      <c r="G139" s="29"/>
      <c r="H139" s="137"/>
      <c r="S139" s="30"/>
      <c r="T139" s="30"/>
      <c r="U139" s="42"/>
    </row>
    <row r="140" spans="1:21" s="19" customFormat="1" ht="18" customHeight="1">
      <c r="A140" s="18"/>
      <c r="B140" s="18"/>
      <c r="C140" s="18"/>
      <c r="D140" s="18"/>
      <c r="E140" s="18"/>
      <c r="F140" s="18"/>
      <c r="G140" s="29"/>
      <c r="H140" s="138"/>
      <c r="S140" s="30"/>
      <c r="T140" s="30"/>
      <c r="U140" s="42"/>
    </row>
    <row r="141" spans="1:21" s="19" customFormat="1" ht="18" customHeight="1">
      <c r="A141" s="18"/>
      <c r="B141" s="18"/>
      <c r="C141" s="18"/>
      <c r="D141" s="18"/>
      <c r="E141" s="18"/>
      <c r="F141" s="18"/>
      <c r="G141" s="29"/>
      <c r="H141" s="138"/>
      <c r="S141" s="30"/>
      <c r="T141" s="30"/>
      <c r="U141" s="42"/>
    </row>
    <row r="142" spans="1:21" s="19" customFormat="1" ht="18" customHeight="1">
      <c r="A142" s="18"/>
      <c r="B142" s="18"/>
      <c r="C142" s="18"/>
      <c r="D142" s="18"/>
      <c r="E142" s="18"/>
      <c r="F142" s="18"/>
      <c r="G142" s="29"/>
      <c r="H142" s="138"/>
      <c r="U142" s="24"/>
    </row>
    <row r="143" spans="1:21" s="19" customFormat="1" ht="18" customHeight="1">
      <c r="A143" s="18"/>
      <c r="B143" s="18"/>
      <c r="C143" s="18"/>
      <c r="D143" s="18"/>
      <c r="E143" s="18"/>
      <c r="F143" s="18"/>
      <c r="G143" s="29"/>
      <c r="H143" s="138"/>
      <c r="U143" s="24"/>
    </row>
    <row r="144" spans="1:21" s="19" customFormat="1" ht="18" customHeight="1">
      <c r="A144" s="18"/>
      <c r="B144" s="18"/>
      <c r="C144" s="18"/>
      <c r="D144" s="18"/>
      <c r="E144" s="18"/>
      <c r="F144" s="18"/>
      <c r="G144" s="29"/>
      <c r="H144" s="139"/>
      <c r="U144" s="24"/>
    </row>
    <row r="145" spans="1:21" s="19" customFormat="1" ht="18" customHeight="1">
      <c r="A145" s="18"/>
      <c r="B145" s="18"/>
      <c r="C145" s="18"/>
      <c r="D145" s="18"/>
      <c r="E145" s="18"/>
      <c r="F145" s="18"/>
      <c r="G145" s="29"/>
      <c r="U145" s="24"/>
    </row>
    <row r="146" spans="1:21" ht="18" customHeight="1">
      <c r="G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1:21" ht="18" customHeight="1">
      <c r="G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1:21" ht="18" customHeight="1">
      <c r="G148" s="29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  <row r="149" spans="1:21" ht="18" customHeight="1">
      <c r="G149" s="29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TBFeb23</vt:lpstr>
      <vt:lpstr>TBMar23</vt:lpstr>
      <vt:lpstr>BS</vt:lpstr>
      <vt:lpstr>BS USD</vt:lpstr>
      <vt:lpstr>PL</vt:lpstr>
      <vt:lpstr>PL USD</vt:lpstr>
      <vt:lpstr>BS!Print_Titles</vt:lpstr>
      <vt:lpstr>'BS USD'!Print_Titles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ASUS</cp:lastModifiedBy>
  <cp:lastPrinted>2022-05-19T11:42:00Z</cp:lastPrinted>
  <dcterms:created xsi:type="dcterms:W3CDTF">2022-03-17T02:52:06Z</dcterms:created>
  <dcterms:modified xsi:type="dcterms:W3CDTF">2023-04-21T14:57:52Z</dcterms:modified>
</cp:coreProperties>
</file>