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nko\Sanko - Concrete Vientiane\Jan-Dec 2023 - Sanko Vientiane\"/>
    </mc:Choice>
  </mc:AlternateContent>
  <xr:revisionPtr revIDLastSave="0" documentId="13_ncr:1_{41CF0DB5-C214-46F2-80C3-DD26B06D5371}" xr6:coauthVersionLast="47" xr6:coauthVersionMax="47" xr10:uidLastSave="{00000000-0000-0000-0000-000000000000}"/>
  <bookViews>
    <workbookView xWindow="-108" yWindow="-108" windowWidth="23256" windowHeight="12456" tabRatio="500" firstSheet="2" activeTab="4" xr2:uid="{00000000-000D-0000-FFFF-FFFF00000000}"/>
  </bookViews>
  <sheets>
    <sheet name="TBJan23" sheetId="12" state="hidden" r:id="rId1"/>
    <sheet name="TBFeb23 " sheetId="16" state="hidden" r:id="rId2"/>
    <sheet name="TBMar23" sheetId="17" r:id="rId3"/>
    <sheet name="BS" sheetId="8" r:id="rId4"/>
    <sheet name="BS USD" sheetId="14" r:id="rId5"/>
    <sheet name="PL" sheetId="9" r:id="rId6"/>
    <sheet name="PL USD" sheetId="13" r:id="rId7"/>
  </sheets>
  <definedNames>
    <definedName name="_xlnm._FilterDatabase" localSheetId="1" hidden="1">'TBFeb23 '!$A$7:$H$7</definedName>
    <definedName name="_xlnm._FilterDatabase" localSheetId="0" hidden="1">TBJan23!$A$7:$I$7</definedName>
    <definedName name="_xlnm._FilterDatabase" localSheetId="2" hidden="1">TBMar23!$A$7:$H$7</definedName>
    <definedName name="_xlnm.Print_Titles" localSheetId="3">BS!$1:$4</definedName>
    <definedName name="_xlnm.Print_Titles" localSheetId="4">'BS USD'!$1:$4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0" i="14" l="1"/>
  <c r="U144" i="9"/>
  <c r="J121" i="14"/>
  <c r="J124" i="14" s="1"/>
  <c r="I124" i="14"/>
  <c r="J149" i="13"/>
  <c r="I149" i="13"/>
  <c r="I150" i="13"/>
  <c r="J150" i="13"/>
  <c r="J146" i="13"/>
  <c r="J145" i="13"/>
  <c r="J142" i="13"/>
  <c r="J143" i="13"/>
  <c r="J144" i="13"/>
  <c r="J141" i="13"/>
  <c r="J139" i="13"/>
  <c r="J132" i="13"/>
  <c r="J133" i="13"/>
  <c r="J134" i="13"/>
  <c r="J135" i="13"/>
  <c r="J136" i="13"/>
  <c r="J137" i="13"/>
  <c r="J138" i="13"/>
  <c r="J131" i="13"/>
  <c r="J129" i="13"/>
  <c r="J128" i="13"/>
  <c r="J127" i="13"/>
  <c r="J124" i="13"/>
  <c r="J125" i="13"/>
  <c r="J126" i="13"/>
  <c r="J123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22" i="13"/>
  <c r="J119" i="13"/>
  <c r="J76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U65" i="9"/>
  <c r="U66" i="9"/>
  <c r="U67" i="9"/>
  <c r="J47" i="13"/>
  <c r="J36" i="13"/>
  <c r="J37" i="13"/>
  <c r="J38" i="13"/>
  <c r="J39" i="13"/>
  <c r="J40" i="13"/>
  <c r="J41" i="13"/>
  <c r="J42" i="13"/>
  <c r="J35" i="13"/>
  <c r="J27" i="13"/>
  <c r="J28" i="13"/>
  <c r="J29" i="13"/>
  <c r="J30" i="13"/>
  <c r="J31" i="13"/>
  <c r="J32" i="13"/>
  <c r="J33" i="13"/>
  <c r="J26" i="13"/>
  <c r="J18" i="13"/>
  <c r="J19" i="13"/>
  <c r="J20" i="13"/>
  <c r="J21" i="13"/>
  <c r="J22" i="13"/>
  <c r="J23" i="13"/>
  <c r="J24" i="13"/>
  <c r="J17" i="13"/>
  <c r="J9" i="13"/>
  <c r="J10" i="13"/>
  <c r="J11" i="13"/>
  <c r="J12" i="13"/>
  <c r="J8" i="13"/>
  <c r="J118" i="14"/>
  <c r="J117" i="14"/>
  <c r="J116" i="14"/>
  <c r="J115" i="14"/>
  <c r="J112" i="14"/>
  <c r="J111" i="14"/>
  <c r="J105" i="14"/>
  <c r="J106" i="14"/>
  <c r="J107" i="14"/>
  <c r="J108" i="14"/>
  <c r="J109" i="14"/>
  <c r="J110" i="14"/>
  <c r="J104" i="14"/>
  <c r="J102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78" i="14"/>
  <c r="J24" i="14"/>
  <c r="J73" i="14" s="1"/>
  <c r="I73" i="14"/>
  <c r="J72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59" i="14"/>
  <c r="J57" i="14"/>
  <c r="J55" i="14"/>
  <c r="J56" i="14"/>
  <c r="J54" i="14"/>
  <c r="J52" i="14"/>
  <c r="J48" i="14"/>
  <c r="J49" i="14"/>
  <c r="J50" i="14"/>
  <c r="J51" i="14"/>
  <c r="J43" i="14"/>
  <c r="J44" i="14"/>
  <c r="J45" i="14"/>
  <c r="J46" i="14"/>
  <c r="J47" i="14"/>
  <c r="J42" i="14"/>
  <c r="J40" i="14"/>
  <c r="J32" i="14"/>
  <c r="J33" i="14"/>
  <c r="J34" i="14"/>
  <c r="J35" i="14"/>
  <c r="J36" i="14"/>
  <c r="J37" i="14"/>
  <c r="J38" i="14"/>
  <c r="J39" i="14"/>
  <c r="J31" i="14"/>
  <c r="J29" i="14"/>
  <c r="J27" i="14"/>
  <c r="J28" i="14"/>
  <c r="J26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9" i="14"/>
  <c r="J128" i="8"/>
  <c r="J127" i="8"/>
  <c r="H127" i="8"/>
  <c r="J126" i="8"/>
  <c r="I127" i="8"/>
  <c r="I126" i="8"/>
  <c r="J124" i="8"/>
  <c r="F135" i="17"/>
  <c r="J120" i="13" l="1"/>
  <c r="J67" i="13"/>
  <c r="J43" i="13"/>
  <c r="J34" i="13"/>
  <c r="J44" i="13" s="1"/>
  <c r="J46" i="13" s="1"/>
  <c r="J71" i="13" s="1"/>
  <c r="J25" i="13"/>
  <c r="J13" i="13"/>
  <c r="F134" i="17"/>
  <c r="E134" i="17"/>
  <c r="I124" i="8"/>
  <c r="I148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6" i="9"/>
  <c r="J127" i="9"/>
  <c r="J143" i="9"/>
  <c r="J146" i="9" s="1"/>
  <c r="H107" i="9"/>
  <c r="I107" i="9"/>
  <c r="J77" i="9"/>
  <c r="J71" i="9"/>
  <c r="J65" i="9"/>
  <c r="J66" i="9"/>
  <c r="J67" i="9"/>
  <c r="J54" i="9"/>
  <c r="J55" i="9"/>
  <c r="J56" i="9"/>
  <c r="J49" i="9"/>
  <c r="J50" i="9"/>
  <c r="J51" i="9"/>
  <c r="J52" i="9"/>
  <c r="J53" i="9"/>
  <c r="J57" i="9"/>
  <c r="J58" i="9"/>
  <c r="J59" i="9"/>
  <c r="J60" i="9"/>
  <c r="J61" i="9"/>
  <c r="J62" i="9"/>
  <c r="J63" i="9"/>
  <c r="J64" i="9"/>
  <c r="J48" i="9"/>
  <c r="J28" i="9"/>
  <c r="J29" i="9"/>
  <c r="J30" i="9"/>
  <c r="J31" i="9"/>
  <c r="J32" i="9"/>
  <c r="J33" i="9"/>
  <c r="J27" i="9"/>
  <c r="J26" i="9"/>
  <c r="J134" i="9"/>
  <c r="J135" i="9"/>
  <c r="J136" i="9"/>
  <c r="J137" i="9"/>
  <c r="J138" i="9"/>
  <c r="J139" i="9"/>
  <c r="J133" i="9"/>
  <c r="J11" i="9"/>
  <c r="J9" i="9"/>
  <c r="J10" i="9"/>
  <c r="J12" i="9"/>
  <c r="J8" i="9"/>
  <c r="J15" i="13" l="1"/>
  <c r="J72" i="13"/>
  <c r="J128" i="9"/>
  <c r="J121" i="9"/>
  <c r="U107" i="9"/>
  <c r="J14" i="9"/>
  <c r="J16" i="9" s="1"/>
  <c r="J68" i="9"/>
  <c r="J140" i="9"/>
  <c r="J35" i="9"/>
  <c r="J129" i="9" l="1"/>
  <c r="I72" i="17" l="1"/>
  <c r="J93" i="8" s="1"/>
  <c r="I71" i="17"/>
  <c r="J92" i="8" s="1"/>
  <c r="I64" i="17"/>
  <c r="J80" i="8" s="1"/>
  <c r="I59" i="17"/>
  <c r="J70" i="8" s="1"/>
  <c r="H59" i="17"/>
  <c r="H60" i="17"/>
  <c r="I60" i="17" s="1"/>
  <c r="J115" i="8" s="1"/>
  <c r="H61" i="17"/>
  <c r="I61" i="17" s="1"/>
  <c r="J116" i="8" s="1"/>
  <c r="G59" i="17"/>
  <c r="I56" i="17"/>
  <c r="J67" i="8" s="1"/>
  <c r="I57" i="17"/>
  <c r="J68" i="8" s="1"/>
  <c r="I58" i="17"/>
  <c r="J69" i="8" s="1"/>
  <c r="I55" i="17"/>
  <c r="J66" i="8" s="1"/>
  <c r="I51" i="17"/>
  <c r="J62" i="8" s="1"/>
  <c r="I52" i="17"/>
  <c r="J63" i="8" s="1"/>
  <c r="I130" i="17"/>
  <c r="I128" i="17"/>
  <c r="I96" i="17"/>
  <c r="I97" i="17"/>
  <c r="I98" i="17"/>
  <c r="I99" i="17"/>
  <c r="I100" i="17"/>
  <c r="I109" i="17"/>
  <c r="I110" i="17"/>
  <c r="I111" i="17"/>
  <c r="I112" i="17"/>
  <c r="I113" i="17"/>
  <c r="H125" i="17"/>
  <c r="I125" i="17" s="1"/>
  <c r="H126" i="17"/>
  <c r="I126" i="17" s="1"/>
  <c r="H127" i="17"/>
  <c r="I127" i="17" s="1"/>
  <c r="H128" i="17"/>
  <c r="H129" i="17"/>
  <c r="I129" i="17" s="1"/>
  <c r="H130" i="17"/>
  <c r="H131" i="17"/>
  <c r="I131" i="17" s="1"/>
  <c r="H124" i="17"/>
  <c r="I124" i="17" s="1"/>
  <c r="G89" i="17"/>
  <c r="I89" i="17" s="1"/>
  <c r="G90" i="17"/>
  <c r="I90" i="17" s="1"/>
  <c r="G91" i="17"/>
  <c r="I91" i="17" s="1"/>
  <c r="G92" i="17"/>
  <c r="I92" i="17" s="1"/>
  <c r="G93" i="17"/>
  <c r="I93" i="17" s="1"/>
  <c r="G94" i="17"/>
  <c r="I94" i="17" s="1"/>
  <c r="G95" i="17"/>
  <c r="I95" i="17" s="1"/>
  <c r="G96" i="17"/>
  <c r="G97" i="17"/>
  <c r="G98" i="17"/>
  <c r="G99" i="17"/>
  <c r="G100" i="17"/>
  <c r="G101" i="17"/>
  <c r="I101" i="17" s="1"/>
  <c r="G102" i="17"/>
  <c r="I102" i="17" s="1"/>
  <c r="G103" i="17"/>
  <c r="I103" i="17" s="1"/>
  <c r="G104" i="17"/>
  <c r="I104" i="17" s="1"/>
  <c r="G105" i="17"/>
  <c r="I105" i="17" s="1"/>
  <c r="G106" i="17"/>
  <c r="I106" i="17" s="1"/>
  <c r="G107" i="17"/>
  <c r="I107" i="17" s="1"/>
  <c r="G108" i="17"/>
  <c r="I108" i="17" s="1"/>
  <c r="G109" i="17"/>
  <c r="G110" i="17"/>
  <c r="G111" i="17"/>
  <c r="G112" i="17"/>
  <c r="G113" i="17"/>
  <c r="G114" i="17"/>
  <c r="I114" i="17" s="1"/>
  <c r="G115" i="17"/>
  <c r="I115" i="17" s="1"/>
  <c r="G116" i="17"/>
  <c r="I116" i="17" s="1"/>
  <c r="G117" i="17"/>
  <c r="I117" i="17" s="1"/>
  <c r="G118" i="17"/>
  <c r="I118" i="17" s="1"/>
  <c r="G119" i="17"/>
  <c r="I119" i="17" s="1"/>
  <c r="G120" i="17"/>
  <c r="I120" i="17" s="1"/>
  <c r="G121" i="17"/>
  <c r="I121" i="17" s="1"/>
  <c r="G122" i="17"/>
  <c r="I122" i="17" s="1"/>
  <c r="G123" i="17"/>
  <c r="I123" i="17" s="1"/>
  <c r="G88" i="17"/>
  <c r="I88" i="17" s="1"/>
  <c r="H84" i="17"/>
  <c r="I84" i="17" s="1"/>
  <c r="J107" i="8" s="1"/>
  <c r="H82" i="17"/>
  <c r="I82" i="17" s="1"/>
  <c r="J104" i="8" s="1"/>
  <c r="I73" i="17"/>
  <c r="J95" i="8" s="1"/>
  <c r="H64" i="17"/>
  <c r="H65" i="17"/>
  <c r="I65" i="17" s="1"/>
  <c r="J81" i="8" s="1"/>
  <c r="H66" i="17"/>
  <c r="I66" i="17" s="1"/>
  <c r="J82" i="8" s="1"/>
  <c r="H67" i="17"/>
  <c r="I67" i="17" s="1"/>
  <c r="J83" i="8" s="1"/>
  <c r="H68" i="17"/>
  <c r="I68" i="17" s="1"/>
  <c r="J85" i="8" s="1"/>
  <c r="H69" i="17"/>
  <c r="I69" i="17" s="1"/>
  <c r="J86" i="8" s="1"/>
  <c r="H70" i="17"/>
  <c r="I70" i="17" s="1"/>
  <c r="J91" i="8" s="1"/>
  <c r="H71" i="17"/>
  <c r="H72" i="17"/>
  <c r="H73" i="17"/>
  <c r="H74" i="17"/>
  <c r="I74" i="17" s="1"/>
  <c r="J96" i="8" s="1"/>
  <c r="H75" i="17"/>
  <c r="I75" i="17" s="1"/>
  <c r="J97" i="8" s="1"/>
  <c r="H76" i="17"/>
  <c r="I76" i="17" s="1"/>
  <c r="J98" i="8" s="1"/>
  <c r="H77" i="17"/>
  <c r="H78" i="17"/>
  <c r="I78" i="17" s="1"/>
  <c r="J100" i="8" s="1"/>
  <c r="H79" i="17"/>
  <c r="I79" i="17" s="1"/>
  <c r="J101" i="8" s="1"/>
  <c r="H80" i="17"/>
  <c r="I80" i="17" s="1"/>
  <c r="J109" i="8" s="1"/>
  <c r="H81" i="17"/>
  <c r="I81" i="17" s="1"/>
  <c r="J110" i="8" s="1"/>
  <c r="H63" i="17"/>
  <c r="I63" i="17" s="1"/>
  <c r="H56" i="17"/>
  <c r="H57" i="17"/>
  <c r="H58" i="17"/>
  <c r="H55" i="17"/>
  <c r="G52" i="17"/>
  <c r="G50" i="17"/>
  <c r="I50" i="17" s="1"/>
  <c r="J61" i="8" s="1"/>
  <c r="G45" i="17"/>
  <c r="I45" i="17" s="1"/>
  <c r="J50" i="8" s="1"/>
  <c r="G46" i="17"/>
  <c r="I46" i="17" s="1"/>
  <c r="J54" i="8" s="1"/>
  <c r="G47" i="17"/>
  <c r="I47" i="17" s="1"/>
  <c r="J56" i="8" s="1"/>
  <c r="G44" i="17"/>
  <c r="I44" i="17" s="1"/>
  <c r="J49" i="8" s="1"/>
  <c r="H36" i="17"/>
  <c r="I36" i="17" s="1"/>
  <c r="G10" i="17"/>
  <c r="I10" i="17" s="1"/>
  <c r="J12" i="8" s="1"/>
  <c r="G11" i="17"/>
  <c r="G12" i="17"/>
  <c r="I12" i="17" s="1"/>
  <c r="J14" i="8" s="1"/>
  <c r="G13" i="17"/>
  <c r="I13" i="17" s="1"/>
  <c r="J16" i="8" s="1"/>
  <c r="G14" i="17"/>
  <c r="I14" i="17" s="1"/>
  <c r="J17" i="8" s="1"/>
  <c r="G15" i="17"/>
  <c r="I15" i="17" s="1"/>
  <c r="J20" i="8" s="1"/>
  <c r="G16" i="17"/>
  <c r="I16" i="17" s="1"/>
  <c r="J21" i="8" s="1"/>
  <c r="G17" i="17"/>
  <c r="G18" i="17"/>
  <c r="I18" i="17" s="1"/>
  <c r="J23" i="8" s="1"/>
  <c r="G19" i="17"/>
  <c r="I19" i="17" s="1"/>
  <c r="J26" i="8" s="1"/>
  <c r="G20" i="17"/>
  <c r="I20" i="17" s="1"/>
  <c r="J28" i="8" s="1"/>
  <c r="G21" i="17"/>
  <c r="G22" i="17"/>
  <c r="G23" i="17"/>
  <c r="G24" i="17"/>
  <c r="G25" i="17"/>
  <c r="J40" i="9" s="1"/>
  <c r="G26" i="17"/>
  <c r="J41" i="9" s="1"/>
  <c r="G27" i="17"/>
  <c r="J42" i="9" s="1"/>
  <c r="G9" i="17"/>
  <c r="I9" i="17" s="1"/>
  <c r="J11" i="8" s="1"/>
  <c r="G8" i="17"/>
  <c r="I8" i="17" s="1"/>
  <c r="F132" i="17"/>
  <c r="F138" i="17" s="1"/>
  <c r="E132" i="17"/>
  <c r="E138" i="17" s="1"/>
  <c r="D132" i="17"/>
  <c r="D138" i="17" s="1"/>
  <c r="C132" i="17"/>
  <c r="C138" i="17" s="1"/>
  <c r="G131" i="17"/>
  <c r="H87" i="17"/>
  <c r="I87" i="17" s="1"/>
  <c r="H86" i="17"/>
  <c r="I86" i="17" s="1"/>
  <c r="H85" i="17"/>
  <c r="I85" i="17" s="1"/>
  <c r="H83" i="17"/>
  <c r="I83" i="17" s="1"/>
  <c r="J105" i="8" s="1"/>
  <c r="G63" i="17"/>
  <c r="G62" i="17"/>
  <c r="I62" i="17" s="1"/>
  <c r="G61" i="17"/>
  <c r="G60" i="17"/>
  <c r="G54" i="17"/>
  <c r="I54" i="17" s="1"/>
  <c r="J65" i="8" s="1"/>
  <c r="G53" i="17"/>
  <c r="I53" i="17" s="1"/>
  <c r="J64" i="8" s="1"/>
  <c r="G51" i="17"/>
  <c r="G49" i="17"/>
  <c r="G48" i="17"/>
  <c r="I48" i="17" s="1"/>
  <c r="G43" i="17"/>
  <c r="I43" i="17" s="1"/>
  <c r="G42" i="17"/>
  <c r="G41" i="17"/>
  <c r="I41" i="17" s="1"/>
  <c r="G40" i="17"/>
  <c r="I40" i="17" s="1"/>
  <c r="G39" i="17"/>
  <c r="I39" i="17" s="1"/>
  <c r="G38" i="17"/>
  <c r="I38" i="17" s="1"/>
  <c r="G37" i="17"/>
  <c r="I37" i="17" s="1"/>
  <c r="G35" i="17"/>
  <c r="I35" i="17" s="1"/>
  <c r="G34" i="17"/>
  <c r="I34" i="17" s="1"/>
  <c r="G33" i="17"/>
  <c r="I33" i="17" s="1"/>
  <c r="G32" i="17"/>
  <c r="I32" i="17" s="1"/>
  <c r="G31" i="17"/>
  <c r="I31" i="17" s="1"/>
  <c r="G30" i="17"/>
  <c r="I30" i="17" s="1"/>
  <c r="G29" i="17"/>
  <c r="I29" i="17" s="1"/>
  <c r="G28" i="17"/>
  <c r="I25" i="17"/>
  <c r="J35" i="8" s="1"/>
  <c r="I17" i="17"/>
  <c r="J22" i="8" s="1"/>
  <c r="F174" i="16"/>
  <c r="J10" i="8" l="1"/>
  <c r="J29" i="8"/>
  <c r="J72" i="8"/>
  <c r="J52" i="8"/>
  <c r="J111" i="8"/>
  <c r="J57" i="8"/>
  <c r="J117" i="8"/>
  <c r="I22" i="17"/>
  <c r="J32" i="8" s="1"/>
  <c r="J37" i="9"/>
  <c r="I21" i="17"/>
  <c r="J31" i="8" s="1"/>
  <c r="J36" i="9"/>
  <c r="I26" i="17"/>
  <c r="J36" i="8" s="1"/>
  <c r="I24" i="17"/>
  <c r="J34" i="8" s="1"/>
  <c r="J39" i="9"/>
  <c r="I27" i="17"/>
  <c r="J37" i="8" s="1"/>
  <c r="I23" i="17"/>
  <c r="J33" i="8" s="1"/>
  <c r="J38" i="9"/>
  <c r="I28" i="17"/>
  <c r="J38" i="8" s="1"/>
  <c r="J43" i="9"/>
  <c r="F133" i="17"/>
  <c r="D133" i="17"/>
  <c r="G132" i="17"/>
  <c r="G138" i="17" s="1"/>
  <c r="H132" i="17"/>
  <c r="H138" i="17" s="1"/>
  <c r="I11" i="17"/>
  <c r="J13" i="8" s="1"/>
  <c r="J24" i="8" s="1"/>
  <c r="I77" i="17"/>
  <c r="J99" i="8" s="1"/>
  <c r="J102" i="8" s="1"/>
  <c r="H166" i="16"/>
  <c r="I166" i="16" s="1"/>
  <c r="H167" i="16"/>
  <c r="I167" i="16"/>
  <c r="I114" i="13"/>
  <c r="I116" i="13"/>
  <c r="I117" i="13"/>
  <c r="I119" i="13"/>
  <c r="U145" i="9"/>
  <c r="U13" i="9"/>
  <c r="H118" i="14"/>
  <c r="I148" i="13"/>
  <c r="H134" i="13"/>
  <c r="H135" i="13"/>
  <c r="H138" i="13"/>
  <c r="I132" i="17" l="1"/>
  <c r="J112" i="8"/>
  <c r="J40" i="8"/>
  <c r="J73" i="8" s="1"/>
  <c r="J44" i="9"/>
  <c r="J45" i="9" s="1"/>
  <c r="J47" i="9" s="1"/>
  <c r="J72" i="9" s="1"/>
  <c r="J73" i="9" s="1"/>
  <c r="J130" i="9" s="1"/>
  <c r="J147" i="9" s="1"/>
  <c r="J148" i="9" s="1"/>
  <c r="J120" i="8" s="1"/>
  <c r="J121" i="8" s="1"/>
  <c r="H133" i="17"/>
  <c r="I118" i="14"/>
  <c r="I103" i="14"/>
  <c r="I71" i="14"/>
  <c r="I39" i="14"/>
  <c r="I27" i="14"/>
  <c r="I143" i="13"/>
  <c r="I133" i="13"/>
  <c r="I131" i="13"/>
  <c r="I144" i="13"/>
  <c r="I122" i="13"/>
  <c r="I66" i="13"/>
  <c r="I18" i="13"/>
  <c r="I19" i="13"/>
  <c r="I20" i="13"/>
  <c r="I21" i="13"/>
  <c r="I22" i="13"/>
  <c r="I23" i="13"/>
  <c r="I24" i="13"/>
  <c r="I17" i="13"/>
  <c r="I9" i="13"/>
  <c r="I128" i="8"/>
  <c r="I12" i="9"/>
  <c r="I126" i="9"/>
  <c r="U126" i="9" s="1"/>
  <c r="I135" i="9"/>
  <c r="U135" i="9" s="1"/>
  <c r="I136" i="9"/>
  <c r="U136" i="9" s="1"/>
  <c r="I137" i="9"/>
  <c r="F175" i="16"/>
  <c r="E175" i="16"/>
  <c r="I82" i="9"/>
  <c r="I125" i="9"/>
  <c r="I127" i="9"/>
  <c r="U127" i="9" s="1"/>
  <c r="I124" i="9"/>
  <c r="I119" i="9"/>
  <c r="I102" i="9"/>
  <c r="I143" i="9"/>
  <c r="I146" i="9" s="1"/>
  <c r="I78" i="9"/>
  <c r="I79" i="9"/>
  <c r="I80" i="9"/>
  <c r="I81" i="9"/>
  <c r="I83" i="9"/>
  <c r="I84" i="9"/>
  <c r="I85" i="9"/>
  <c r="I86" i="9"/>
  <c r="I87" i="9"/>
  <c r="I88" i="9"/>
  <c r="I89" i="9"/>
  <c r="I91" i="9"/>
  <c r="I92" i="9"/>
  <c r="I93" i="9"/>
  <c r="I94" i="9"/>
  <c r="I95" i="9"/>
  <c r="I96" i="9"/>
  <c r="I97" i="9"/>
  <c r="I98" i="9"/>
  <c r="I99" i="9"/>
  <c r="I100" i="9"/>
  <c r="I103" i="9"/>
  <c r="I104" i="9"/>
  <c r="I105" i="9"/>
  <c r="I108" i="9"/>
  <c r="I107" i="13" s="1"/>
  <c r="I109" i="9"/>
  <c r="I110" i="9"/>
  <c r="I111" i="9"/>
  <c r="I112" i="9"/>
  <c r="I113" i="9"/>
  <c r="I114" i="9"/>
  <c r="I115" i="9"/>
  <c r="I77" i="9"/>
  <c r="I76" i="13" s="1"/>
  <c r="I71" i="9"/>
  <c r="I62" i="9"/>
  <c r="U62" i="9" s="1"/>
  <c r="I63" i="9"/>
  <c r="U63" i="9" s="1"/>
  <c r="I64" i="9"/>
  <c r="U64" i="9" s="1"/>
  <c r="I55" i="9"/>
  <c r="U55" i="9" s="1"/>
  <c r="I56" i="9"/>
  <c r="I49" i="9"/>
  <c r="I50" i="9"/>
  <c r="I51" i="9"/>
  <c r="I52" i="9"/>
  <c r="I53" i="9"/>
  <c r="I54" i="9"/>
  <c r="I57" i="9"/>
  <c r="I58" i="9"/>
  <c r="I59" i="9"/>
  <c r="I60" i="9"/>
  <c r="I61" i="9"/>
  <c r="I48" i="9"/>
  <c r="I47" i="13" s="1"/>
  <c r="I28" i="9"/>
  <c r="I27" i="13" s="1"/>
  <c r="I29" i="9"/>
  <c r="I28" i="13" s="1"/>
  <c r="I30" i="9"/>
  <c r="I29" i="13" s="1"/>
  <c r="I31" i="9"/>
  <c r="I30" i="13" s="1"/>
  <c r="I32" i="9"/>
  <c r="I31" i="13" s="1"/>
  <c r="I33" i="9"/>
  <c r="I32" i="13" s="1"/>
  <c r="I34" i="9"/>
  <c r="I33" i="13" s="1"/>
  <c r="I26" i="9"/>
  <c r="I139" i="9"/>
  <c r="U139" i="9" s="1"/>
  <c r="I138" i="9"/>
  <c r="I133" i="9"/>
  <c r="I132" i="13" s="1"/>
  <c r="I10" i="9"/>
  <c r="I10" i="13" s="1"/>
  <c r="I11" i="9"/>
  <c r="I11" i="13" s="1"/>
  <c r="H118" i="8"/>
  <c r="I108" i="8"/>
  <c r="I108" i="14" s="1"/>
  <c r="I78" i="8"/>
  <c r="I78" i="14" s="1"/>
  <c r="I43" i="8"/>
  <c r="I43" i="14" s="1"/>
  <c r="I44" i="8"/>
  <c r="I44" i="14" s="1"/>
  <c r="I45" i="8"/>
  <c r="I45" i="14" s="1"/>
  <c r="I46" i="8"/>
  <c r="I46" i="14" s="1"/>
  <c r="I47" i="8"/>
  <c r="I47" i="14" s="1"/>
  <c r="I48" i="8"/>
  <c r="I48" i="14" s="1"/>
  <c r="I42" i="8"/>
  <c r="I42" i="14" s="1"/>
  <c r="I125" i="13" l="1"/>
  <c r="I123" i="13"/>
  <c r="I58" i="13"/>
  <c r="I57" i="13"/>
  <c r="I12" i="13"/>
  <c r="I142" i="13"/>
  <c r="I145" i="13" s="1"/>
  <c r="I56" i="13"/>
  <c r="I53" i="13"/>
  <c r="I134" i="13"/>
  <c r="I52" i="13"/>
  <c r="I126" i="13"/>
  <c r="I124" i="13"/>
  <c r="I51" i="13"/>
  <c r="I49" i="13"/>
  <c r="I93" i="13"/>
  <c r="I78" i="13"/>
  <c r="I105" i="13"/>
  <c r="I77" i="13"/>
  <c r="I103" i="13"/>
  <c r="I102" i="13"/>
  <c r="I99" i="13"/>
  <c r="I101" i="13"/>
  <c r="I113" i="13"/>
  <c r="I98" i="13"/>
  <c r="I86" i="13"/>
  <c r="I85" i="13"/>
  <c r="I63" i="13"/>
  <c r="I112" i="13"/>
  <c r="I97" i="13"/>
  <c r="I84" i="13"/>
  <c r="I62" i="13"/>
  <c r="I50" i="13"/>
  <c r="I138" i="13"/>
  <c r="I108" i="13"/>
  <c r="I80" i="13"/>
  <c r="I79" i="13"/>
  <c r="I106" i="13"/>
  <c r="I90" i="13"/>
  <c r="I55" i="13"/>
  <c r="I89" i="13"/>
  <c r="I54" i="13"/>
  <c r="I87" i="13"/>
  <c r="I96" i="13"/>
  <c r="I137" i="13"/>
  <c r="I110" i="13"/>
  <c r="I95" i="13"/>
  <c r="I83" i="13"/>
  <c r="U82" i="9"/>
  <c r="I81" i="13"/>
  <c r="I60" i="13"/>
  <c r="I48" i="13"/>
  <c r="I136" i="13"/>
  <c r="I92" i="13"/>
  <c r="I91" i="13"/>
  <c r="I88" i="13"/>
  <c r="I118" i="13"/>
  <c r="I111" i="13"/>
  <c r="I61" i="13"/>
  <c r="I109" i="13"/>
  <c r="I94" i="13"/>
  <c r="I82" i="13"/>
  <c r="I59" i="13"/>
  <c r="I135" i="13"/>
  <c r="I25" i="13"/>
  <c r="I68" i="9"/>
  <c r="I121" i="9"/>
  <c r="I140" i="9"/>
  <c r="I128" i="9"/>
  <c r="I127" i="13" l="1"/>
  <c r="I139" i="13"/>
  <c r="I67" i="13"/>
  <c r="I120" i="13"/>
  <c r="I129" i="9"/>
  <c r="I128" i="13" l="1"/>
  <c r="H164" i="16"/>
  <c r="I164" i="16" s="1"/>
  <c r="H165" i="16"/>
  <c r="I165" i="16" s="1"/>
  <c r="H168" i="16"/>
  <c r="I168" i="16" s="1"/>
  <c r="H169" i="16"/>
  <c r="I169" i="16" s="1"/>
  <c r="H170" i="16"/>
  <c r="I170" i="16" s="1"/>
  <c r="H171" i="16"/>
  <c r="I171" i="16" s="1"/>
  <c r="H172" i="16"/>
  <c r="I172" i="16" s="1"/>
  <c r="H163" i="16"/>
  <c r="I163" i="16" s="1"/>
  <c r="I106" i="16"/>
  <c r="I101" i="8" s="1"/>
  <c r="I101" i="14" s="1"/>
  <c r="I68" i="16"/>
  <c r="I60" i="8" s="1"/>
  <c r="I60" i="14" s="1"/>
  <c r="I71" i="16"/>
  <c r="I63" i="8" s="1"/>
  <c r="I63" i="14" s="1"/>
  <c r="I123" i="16"/>
  <c r="I135" i="16"/>
  <c r="I136" i="16"/>
  <c r="I137" i="16"/>
  <c r="I138" i="16"/>
  <c r="I160" i="16"/>
  <c r="I161" i="16"/>
  <c r="I162" i="16"/>
  <c r="G120" i="16"/>
  <c r="I120" i="16" s="1"/>
  <c r="G121" i="16"/>
  <c r="I121" i="16" s="1"/>
  <c r="G122" i="16"/>
  <c r="I122" i="16" s="1"/>
  <c r="G123" i="16"/>
  <c r="G124" i="16"/>
  <c r="I124" i="16" s="1"/>
  <c r="G125" i="16"/>
  <c r="I125" i="16" s="1"/>
  <c r="G126" i="16"/>
  <c r="I126" i="16" s="1"/>
  <c r="G127" i="16"/>
  <c r="I127" i="16" s="1"/>
  <c r="G128" i="16"/>
  <c r="I128" i="16" s="1"/>
  <c r="G129" i="16"/>
  <c r="I129" i="16" s="1"/>
  <c r="G130" i="16"/>
  <c r="I130" i="16" s="1"/>
  <c r="G131" i="16"/>
  <c r="I131" i="16" s="1"/>
  <c r="G132" i="16"/>
  <c r="I132" i="16" s="1"/>
  <c r="G133" i="16"/>
  <c r="I133" i="16" s="1"/>
  <c r="G134" i="16"/>
  <c r="I134" i="16" s="1"/>
  <c r="G135" i="16"/>
  <c r="G136" i="16"/>
  <c r="G137" i="16"/>
  <c r="G138" i="16"/>
  <c r="G139" i="16"/>
  <c r="I139" i="16" s="1"/>
  <c r="G140" i="16"/>
  <c r="I140" i="16" s="1"/>
  <c r="G141" i="16"/>
  <c r="I141" i="16" s="1"/>
  <c r="G142" i="16"/>
  <c r="I142" i="16" s="1"/>
  <c r="G143" i="16"/>
  <c r="I143" i="16" s="1"/>
  <c r="G144" i="16"/>
  <c r="I144" i="16" s="1"/>
  <c r="G145" i="16"/>
  <c r="I145" i="16" s="1"/>
  <c r="G146" i="16"/>
  <c r="I146" i="16" s="1"/>
  <c r="G147" i="16"/>
  <c r="I147" i="16" s="1"/>
  <c r="G148" i="16"/>
  <c r="I148" i="16" s="1"/>
  <c r="G149" i="16"/>
  <c r="I149" i="16" s="1"/>
  <c r="G150" i="16"/>
  <c r="I150" i="16" s="1"/>
  <c r="G151" i="16"/>
  <c r="I151" i="16" s="1"/>
  <c r="G152" i="16"/>
  <c r="I152" i="16" s="1"/>
  <c r="G153" i="16"/>
  <c r="I153" i="16" s="1"/>
  <c r="G154" i="16"/>
  <c r="I154" i="16" s="1"/>
  <c r="G155" i="16"/>
  <c r="I155" i="16" s="1"/>
  <c r="G156" i="16"/>
  <c r="I156" i="16" s="1"/>
  <c r="G157" i="16"/>
  <c r="I157" i="16" s="1"/>
  <c r="G158" i="16"/>
  <c r="I158" i="16" s="1"/>
  <c r="G159" i="16"/>
  <c r="I159" i="16" s="1"/>
  <c r="G160" i="16"/>
  <c r="G161" i="16"/>
  <c r="G162" i="16"/>
  <c r="G119" i="16"/>
  <c r="I119" i="16" s="1"/>
  <c r="G115" i="16"/>
  <c r="I115" i="16" s="1"/>
  <c r="G116" i="16"/>
  <c r="I116" i="16" s="1"/>
  <c r="G117" i="16"/>
  <c r="G118" i="16"/>
  <c r="I118" i="16" s="1"/>
  <c r="G114" i="16"/>
  <c r="I114" i="16" s="1"/>
  <c r="H83" i="16"/>
  <c r="H84" i="16"/>
  <c r="I84" i="16" s="1"/>
  <c r="I79" i="8" s="1"/>
  <c r="H85" i="16"/>
  <c r="I85" i="16" s="1"/>
  <c r="I80" i="8" s="1"/>
  <c r="I80" i="14" s="1"/>
  <c r="H86" i="16"/>
  <c r="I86" i="16" s="1"/>
  <c r="I81" i="8" s="1"/>
  <c r="I81" i="14" s="1"/>
  <c r="H87" i="16"/>
  <c r="I87" i="16" s="1"/>
  <c r="I82" i="8" s="1"/>
  <c r="I82" i="14" s="1"/>
  <c r="H88" i="16"/>
  <c r="I88" i="16" s="1"/>
  <c r="I83" i="8" s="1"/>
  <c r="I83" i="14" s="1"/>
  <c r="H89" i="16"/>
  <c r="I89" i="16" s="1"/>
  <c r="I84" i="8" s="1"/>
  <c r="I84" i="14" s="1"/>
  <c r="H90" i="16"/>
  <c r="I90" i="16" s="1"/>
  <c r="I85" i="8" s="1"/>
  <c r="I85" i="14" s="1"/>
  <c r="H91" i="16"/>
  <c r="I91" i="16" s="1"/>
  <c r="I86" i="8" s="1"/>
  <c r="I86" i="14" s="1"/>
  <c r="H92" i="16"/>
  <c r="I92" i="16" s="1"/>
  <c r="I87" i="8" s="1"/>
  <c r="I87" i="14" s="1"/>
  <c r="H93" i="16"/>
  <c r="I93" i="16" s="1"/>
  <c r="I88" i="8" s="1"/>
  <c r="I88" i="14" s="1"/>
  <c r="H94" i="16"/>
  <c r="I94" i="16" s="1"/>
  <c r="I91" i="8" s="1"/>
  <c r="I91" i="14" s="1"/>
  <c r="H95" i="16"/>
  <c r="I95" i="16" s="1"/>
  <c r="I92" i="8" s="1"/>
  <c r="I92" i="14" s="1"/>
  <c r="H96" i="16"/>
  <c r="I96" i="16" s="1"/>
  <c r="I93" i="8" s="1"/>
  <c r="I93" i="14" s="1"/>
  <c r="H97" i="16"/>
  <c r="I97" i="16" s="1"/>
  <c r="I94" i="8" s="1"/>
  <c r="I94" i="14" s="1"/>
  <c r="H98" i="16"/>
  <c r="I98" i="16" s="1"/>
  <c r="I95" i="8" s="1"/>
  <c r="I95" i="14" s="1"/>
  <c r="H99" i="16"/>
  <c r="I99" i="16" s="1"/>
  <c r="I96" i="8" s="1"/>
  <c r="I96" i="14" s="1"/>
  <c r="H100" i="16"/>
  <c r="I100" i="16" s="1"/>
  <c r="I97" i="8" s="1"/>
  <c r="I97" i="14" s="1"/>
  <c r="H101" i="16"/>
  <c r="I101" i="16" s="1"/>
  <c r="I98" i="8" s="1"/>
  <c r="I98" i="14" s="1"/>
  <c r="H102" i="16"/>
  <c r="I102" i="16" s="1"/>
  <c r="I99" i="8" s="1"/>
  <c r="I99" i="14" s="1"/>
  <c r="H103" i="16"/>
  <c r="I103" i="16" s="1"/>
  <c r="I100" i="8" s="1"/>
  <c r="I100" i="14" s="1"/>
  <c r="H104" i="16"/>
  <c r="I104" i="16" s="1"/>
  <c r="I89" i="8" s="1"/>
  <c r="I89" i="14" s="1"/>
  <c r="H105" i="16"/>
  <c r="I105" i="16" s="1"/>
  <c r="I90" i="8" s="1"/>
  <c r="I90" i="14" s="1"/>
  <c r="H106" i="16"/>
  <c r="H107" i="16"/>
  <c r="I107" i="16" s="1"/>
  <c r="I109" i="8" s="1"/>
  <c r="I109" i="14" s="1"/>
  <c r="H108" i="16"/>
  <c r="I108" i="16" s="1"/>
  <c r="I110" i="8" s="1"/>
  <c r="I110" i="14" s="1"/>
  <c r="H109" i="16"/>
  <c r="I109" i="16" s="1"/>
  <c r="I104" i="8" s="1"/>
  <c r="H110" i="16"/>
  <c r="I110" i="16" s="1"/>
  <c r="I105" i="8" s="1"/>
  <c r="I105" i="14" s="1"/>
  <c r="H111" i="16"/>
  <c r="I111" i="16" s="1"/>
  <c r="I106" i="8" s="1"/>
  <c r="I106" i="14" s="1"/>
  <c r="H112" i="16"/>
  <c r="I112" i="16" s="1"/>
  <c r="I107" i="8" s="1"/>
  <c r="I107" i="14" s="1"/>
  <c r="H113" i="16"/>
  <c r="H82" i="16"/>
  <c r="I82" i="16"/>
  <c r="H78" i="16"/>
  <c r="I78" i="16" s="1"/>
  <c r="I70" i="8" s="1"/>
  <c r="I70" i="14" s="1"/>
  <c r="H79" i="16"/>
  <c r="I79" i="16" s="1"/>
  <c r="I115" i="8" s="1"/>
  <c r="H80" i="16"/>
  <c r="I80" i="16" s="1"/>
  <c r="I116" i="8" s="1"/>
  <c r="I116" i="14" s="1"/>
  <c r="G81" i="16"/>
  <c r="I81" i="16" s="1"/>
  <c r="H75" i="16"/>
  <c r="I75" i="16" s="1"/>
  <c r="I67" i="8" s="1"/>
  <c r="I67" i="14" s="1"/>
  <c r="H76" i="16"/>
  <c r="I76" i="16" s="1"/>
  <c r="I68" i="8" s="1"/>
  <c r="I68" i="14" s="1"/>
  <c r="H77" i="16"/>
  <c r="I77" i="16" s="1"/>
  <c r="I69" i="8" s="1"/>
  <c r="I69" i="14" s="1"/>
  <c r="H74" i="16"/>
  <c r="I74" i="16" s="1"/>
  <c r="I66" i="8" s="1"/>
  <c r="I66" i="14" s="1"/>
  <c r="G10" i="16"/>
  <c r="I10" i="16" s="1"/>
  <c r="I11" i="8" s="1"/>
  <c r="I11" i="14" s="1"/>
  <c r="G11" i="16"/>
  <c r="I11" i="16" s="1"/>
  <c r="I12" i="8" s="1"/>
  <c r="I12" i="14" s="1"/>
  <c r="G12" i="16"/>
  <c r="I12" i="16" s="1"/>
  <c r="I13" i="8" s="1"/>
  <c r="I13" i="14" s="1"/>
  <c r="G13" i="16"/>
  <c r="I13" i="16" s="1"/>
  <c r="I14" i="8" s="1"/>
  <c r="I14" i="14" s="1"/>
  <c r="G14" i="16"/>
  <c r="I14" i="16" s="1"/>
  <c r="I15" i="8" s="1"/>
  <c r="I15" i="14" s="1"/>
  <c r="G15" i="16"/>
  <c r="I15" i="16" s="1"/>
  <c r="I16" i="8" s="1"/>
  <c r="I16" i="14" s="1"/>
  <c r="G16" i="16"/>
  <c r="I16" i="16" s="1"/>
  <c r="I17" i="8" s="1"/>
  <c r="I17" i="14" s="1"/>
  <c r="G17" i="16"/>
  <c r="I17" i="16" s="1"/>
  <c r="I18" i="8" s="1"/>
  <c r="I18" i="14" s="1"/>
  <c r="G18" i="16"/>
  <c r="I18" i="16" s="1"/>
  <c r="I19" i="8" s="1"/>
  <c r="I19" i="14" s="1"/>
  <c r="G19" i="16"/>
  <c r="I19" i="16" s="1"/>
  <c r="I20" i="8" s="1"/>
  <c r="I20" i="14" s="1"/>
  <c r="G20" i="16"/>
  <c r="I20" i="16" s="1"/>
  <c r="I21" i="8" s="1"/>
  <c r="I21" i="14" s="1"/>
  <c r="G21" i="16"/>
  <c r="I21" i="16" s="1"/>
  <c r="I22" i="8" s="1"/>
  <c r="I22" i="14" s="1"/>
  <c r="G22" i="16"/>
  <c r="I22" i="16" s="1"/>
  <c r="I23" i="8" s="1"/>
  <c r="I23" i="14" s="1"/>
  <c r="G23" i="16"/>
  <c r="I23" i="16" s="1"/>
  <c r="G24" i="16"/>
  <c r="I24" i="16" s="1"/>
  <c r="I26" i="8" s="1"/>
  <c r="G25" i="16"/>
  <c r="I25" i="16" s="1"/>
  <c r="I28" i="8" s="1"/>
  <c r="I28" i="14" s="1"/>
  <c r="G26" i="16"/>
  <c r="I36" i="9" s="1"/>
  <c r="G27" i="16"/>
  <c r="I37" i="9" s="1"/>
  <c r="I36" i="13" s="1"/>
  <c r="G28" i="16"/>
  <c r="I38" i="9" s="1"/>
  <c r="I37" i="13" s="1"/>
  <c r="G29" i="16"/>
  <c r="I39" i="9" s="1"/>
  <c r="I38" i="13" s="1"/>
  <c r="G30" i="16"/>
  <c r="I40" i="9" s="1"/>
  <c r="I39" i="13" s="1"/>
  <c r="G31" i="16"/>
  <c r="I41" i="9" s="1"/>
  <c r="I40" i="13" s="1"/>
  <c r="G32" i="16"/>
  <c r="I42" i="9" s="1"/>
  <c r="I41" i="13" s="1"/>
  <c r="G33" i="16"/>
  <c r="I43" i="9" s="1"/>
  <c r="I42" i="13" s="1"/>
  <c r="G34" i="16"/>
  <c r="I34" i="16" s="1"/>
  <c r="G35" i="16"/>
  <c r="I35" i="16" s="1"/>
  <c r="G36" i="16"/>
  <c r="I36" i="16" s="1"/>
  <c r="G37" i="16"/>
  <c r="I37" i="16" s="1"/>
  <c r="G38" i="16"/>
  <c r="I38" i="16" s="1"/>
  <c r="G39" i="16"/>
  <c r="I39" i="16" s="1"/>
  <c r="G40" i="16"/>
  <c r="I40" i="16" s="1"/>
  <c r="G41" i="16"/>
  <c r="I41" i="16" s="1"/>
  <c r="G42" i="16"/>
  <c r="G43" i="16"/>
  <c r="I43" i="16" s="1"/>
  <c r="G44" i="16"/>
  <c r="I44" i="16" s="1"/>
  <c r="G45" i="16"/>
  <c r="I45" i="16" s="1"/>
  <c r="G46" i="16"/>
  <c r="I46" i="16" s="1"/>
  <c r="G47" i="16"/>
  <c r="I47" i="16" s="1"/>
  <c r="G48" i="16"/>
  <c r="I48" i="16" s="1"/>
  <c r="G49" i="16"/>
  <c r="G50" i="16"/>
  <c r="G51" i="16"/>
  <c r="G52" i="16"/>
  <c r="I52" i="16" s="1"/>
  <c r="G53" i="16"/>
  <c r="G54" i="16"/>
  <c r="G55" i="16"/>
  <c r="G56" i="16"/>
  <c r="G57" i="16"/>
  <c r="G58" i="16"/>
  <c r="G59" i="16"/>
  <c r="G60" i="16"/>
  <c r="I60" i="16" s="1"/>
  <c r="I49" i="8" s="1"/>
  <c r="G61" i="16"/>
  <c r="I61" i="16" s="1"/>
  <c r="I50" i="8" s="1"/>
  <c r="I50" i="14" s="1"/>
  <c r="G62" i="16"/>
  <c r="I62" i="16" s="1"/>
  <c r="I54" i="8" s="1"/>
  <c r="G63" i="16"/>
  <c r="I63" i="16" s="1"/>
  <c r="I55" i="8" s="1"/>
  <c r="I55" i="14" s="1"/>
  <c r="G64" i="16"/>
  <c r="I64" i="16" s="1"/>
  <c r="I56" i="8" s="1"/>
  <c r="I56" i="14" s="1"/>
  <c r="G65" i="16"/>
  <c r="I65" i="16" s="1"/>
  <c r="I51" i="8" s="1"/>
  <c r="I51" i="14" s="1"/>
  <c r="G66" i="16"/>
  <c r="I66" i="16" s="1"/>
  <c r="G67" i="16"/>
  <c r="I67" i="16" s="1"/>
  <c r="I59" i="8" s="1"/>
  <c r="G68" i="16"/>
  <c r="G69" i="16"/>
  <c r="I69" i="16" s="1"/>
  <c r="I61" i="8" s="1"/>
  <c r="I61" i="14" s="1"/>
  <c r="G70" i="16"/>
  <c r="I70" i="16" s="1"/>
  <c r="I62" i="8" s="1"/>
  <c r="I62" i="14" s="1"/>
  <c r="G71" i="16"/>
  <c r="G72" i="16"/>
  <c r="I72" i="16" s="1"/>
  <c r="I64" i="8" s="1"/>
  <c r="I64" i="14" s="1"/>
  <c r="G73" i="16"/>
  <c r="I73" i="16" s="1"/>
  <c r="I65" i="8" s="1"/>
  <c r="I65" i="14" s="1"/>
  <c r="G78" i="16"/>
  <c r="G9" i="16"/>
  <c r="I9" i="16" s="1"/>
  <c r="I10" i="8" s="1"/>
  <c r="I10" i="14" s="1"/>
  <c r="G8" i="16"/>
  <c r="F176" i="16"/>
  <c r="F173" i="16"/>
  <c r="E173" i="16"/>
  <c r="D173" i="16"/>
  <c r="C173" i="16"/>
  <c r="D174" i="16" s="1"/>
  <c r="A8" i="16"/>
  <c r="I29" i="16" l="1"/>
  <c r="I34" i="8" s="1"/>
  <c r="I34" i="14" s="1"/>
  <c r="I28" i="16"/>
  <c r="I33" i="8" s="1"/>
  <c r="I33" i="14" s="1"/>
  <c r="I30" i="16"/>
  <c r="I35" i="8" s="1"/>
  <c r="I35" i="14" s="1"/>
  <c r="I31" i="16"/>
  <c r="I36" i="8" s="1"/>
  <c r="I36" i="14" s="1"/>
  <c r="I117" i="8"/>
  <c r="I115" i="14"/>
  <c r="I117" i="14" s="1"/>
  <c r="I54" i="14"/>
  <c r="I57" i="14" s="1"/>
  <c r="I57" i="8"/>
  <c r="I29" i="8"/>
  <c r="I26" i="14"/>
  <c r="I29" i="14" s="1"/>
  <c r="I104" i="14"/>
  <c r="I111" i="14" s="1"/>
  <c r="I111" i="8"/>
  <c r="I49" i="14"/>
  <c r="I52" i="14" s="1"/>
  <c r="I52" i="8"/>
  <c r="I59" i="14"/>
  <c r="I72" i="14" s="1"/>
  <c r="I72" i="8"/>
  <c r="I8" i="9"/>
  <c r="I27" i="9"/>
  <c r="I35" i="13"/>
  <c r="I43" i="13" s="1"/>
  <c r="I44" i="9"/>
  <c r="I27" i="16"/>
  <c r="I32" i="8" s="1"/>
  <c r="I32" i="14" s="1"/>
  <c r="I26" i="16"/>
  <c r="I31" i="8" s="1"/>
  <c r="I79" i="14"/>
  <c r="I102" i="14" s="1"/>
  <c r="I112" i="14" s="1"/>
  <c r="I102" i="8"/>
  <c r="H173" i="16"/>
  <c r="I33" i="16"/>
  <c r="I38" i="8" s="1"/>
  <c r="I38" i="14" s="1"/>
  <c r="I32" i="16"/>
  <c r="I37" i="8" s="1"/>
  <c r="I37" i="14" s="1"/>
  <c r="G173" i="16"/>
  <c r="I8" i="16"/>
  <c r="I112" i="8" l="1"/>
  <c r="I31" i="14"/>
  <c r="I40" i="14" s="1"/>
  <c r="I40" i="8"/>
  <c r="I173" i="16"/>
  <c r="I26" i="13"/>
  <c r="I34" i="13" s="1"/>
  <c r="I44" i="13" s="1"/>
  <c r="I46" i="13" s="1"/>
  <c r="I71" i="13" s="1"/>
  <c r="I35" i="9"/>
  <c r="I45" i="9" s="1"/>
  <c r="I47" i="9" s="1"/>
  <c r="I72" i="9" s="1"/>
  <c r="I8" i="13"/>
  <c r="I13" i="13" s="1"/>
  <c r="I15" i="13" s="1"/>
  <c r="I14" i="9"/>
  <c r="I9" i="8"/>
  <c r="H174" i="16"/>
  <c r="H71" i="14"/>
  <c r="H51" i="14"/>
  <c r="H39" i="14"/>
  <c r="G119" i="14"/>
  <c r="G118" i="14"/>
  <c r="G116" i="14"/>
  <c r="G115" i="14"/>
  <c r="G117" i="14" s="1"/>
  <c r="G105" i="14"/>
  <c r="G106" i="14"/>
  <c r="G108" i="14"/>
  <c r="G109" i="14"/>
  <c r="G110" i="14"/>
  <c r="G104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1" i="14"/>
  <c r="G78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59" i="14"/>
  <c r="G55" i="14"/>
  <c r="G56" i="14"/>
  <c r="G54" i="14"/>
  <c r="G57" i="14" s="1"/>
  <c r="G43" i="14"/>
  <c r="G44" i="14"/>
  <c r="G45" i="14"/>
  <c r="G46" i="14"/>
  <c r="G47" i="14"/>
  <c r="G48" i="14"/>
  <c r="G49" i="14"/>
  <c r="G50" i="14"/>
  <c r="G51" i="14"/>
  <c r="G42" i="14"/>
  <c r="G32" i="14"/>
  <c r="G33" i="14"/>
  <c r="G34" i="14"/>
  <c r="G35" i="14"/>
  <c r="G36" i="14"/>
  <c r="G37" i="14"/>
  <c r="G38" i="14"/>
  <c r="G39" i="14"/>
  <c r="G31" i="14"/>
  <c r="G27" i="14"/>
  <c r="G28" i="14"/>
  <c r="G26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9" i="14"/>
  <c r="S124" i="14"/>
  <c r="R124" i="14"/>
  <c r="Q124" i="14"/>
  <c r="U117" i="14"/>
  <c r="U116" i="14"/>
  <c r="U115" i="14"/>
  <c r="U114" i="14"/>
  <c r="U113" i="14"/>
  <c r="U112" i="14"/>
  <c r="U111" i="14"/>
  <c r="U110" i="14"/>
  <c r="U109" i="14"/>
  <c r="U108" i="14"/>
  <c r="U106" i="14"/>
  <c r="U104" i="14"/>
  <c r="U103" i="14"/>
  <c r="U102" i="14"/>
  <c r="U101" i="14"/>
  <c r="U99" i="14"/>
  <c r="U98" i="14"/>
  <c r="U97" i="14"/>
  <c r="U96" i="14"/>
  <c r="U95" i="14"/>
  <c r="U94" i="14"/>
  <c r="U93" i="14"/>
  <c r="U92" i="14"/>
  <c r="U91" i="14"/>
  <c r="U90" i="14"/>
  <c r="U89" i="14"/>
  <c r="U88" i="14"/>
  <c r="U87" i="14"/>
  <c r="U86" i="14"/>
  <c r="U85" i="14"/>
  <c r="U84" i="14"/>
  <c r="U83" i="14"/>
  <c r="U82" i="14"/>
  <c r="U81" i="14"/>
  <c r="U80" i="14"/>
  <c r="U79" i="14"/>
  <c r="U78" i="14"/>
  <c r="U77" i="14"/>
  <c r="U76" i="14"/>
  <c r="U75" i="14"/>
  <c r="U74" i="14"/>
  <c r="U73" i="14"/>
  <c r="U124" i="14" s="1"/>
  <c r="U72" i="14"/>
  <c r="U71" i="14"/>
  <c r="U70" i="14"/>
  <c r="U69" i="14"/>
  <c r="U68" i="14"/>
  <c r="U67" i="14"/>
  <c r="U66" i="14"/>
  <c r="U65" i="14"/>
  <c r="U64" i="14"/>
  <c r="U63" i="14"/>
  <c r="U62" i="14"/>
  <c r="U61" i="14"/>
  <c r="U60" i="14"/>
  <c r="U59" i="14"/>
  <c r="U58" i="14"/>
  <c r="U57" i="14"/>
  <c r="U56" i="14"/>
  <c r="U55" i="14"/>
  <c r="U54" i="14"/>
  <c r="U53" i="14"/>
  <c r="U52" i="14"/>
  <c r="U51" i="14"/>
  <c r="U50" i="14"/>
  <c r="U49" i="14"/>
  <c r="U48" i="14"/>
  <c r="U47" i="14"/>
  <c r="U46" i="14"/>
  <c r="U45" i="14"/>
  <c r="U44" i="14"/>
  <c r="U43" i="14"/>
  <c r="U42" i="14"/>
  <c r="U41" i="14"/>
  <c r="U40" i="14"/>
  <c r="U39" i="14"/>
  <c r="U38" i="14"/>
  <c r="U37" i="14"/>
  <c r="U36" i="14"/>
  <c r="U35" i="14"/>
  <c r="U34" i="14"/>
  <c r="U33" i="14"/>
  <c r="U32" i="14"/>
  <c r="U31" i="14"/>
  <c r="U30" i="14"/>
  <c r="U29" i="14"/>
  <c r="U28" i="14"/>
  <c r="U27" i="14"/>
  <c r="U26" i="14"/>
  <c r="U24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9" i="14"/>
  <c r="H126" i="8"/>
  <c r="H128" i="8" s="1"/>
  <c r="G127" i="8"/>
  <c r="G126" i="8"/>
  <c r="G128" i="8" s="1"/>
  <c r="G124" i="8"/>
  <c r="T119" i="13"/>
  <c r="T14" i="13"/>
  <c r="H144" i="13"/>
  <c r="T144" i="13" s="1"/>
  <c r="H141" i="13"/>
  <c r="T141" i="13" s="1"/>
  <c r="H131" i="13"/>
  <c r="T131" i="13" s="1"/>
  <c r="H122" i="13"/>
  <c r="T122" i="13" s="1"/>
  <c r="H69" i="13"/>
  <c r="T69" i="13" s="1"/>
  <c r="H68" i="13"/>
  <c r="T68" i="13" s="1"/>
  <c r="H18" i="13"/>
  <c r="T18" i="13" s="1"/>
  <c r="H19" i="13"/>
  <c r="T19" i="13" s="1"/>
  <c r="H20" i="13"/>
  <c r="T20" i="13" s="1"/>
  <c r="H21" i="13"/>
  <c r="T21" i="13" s="1"/>
  <c r="H22" i="13"/>
  <c r="T22" i="13" s="1"/>
  <c r="H23" i="13"/>
  <c r="T23" i="13" s="1"/>
  <c r="H24" i="13"/>
  <c r="T24" i="13" s="1"/>
  <c r="H17" i="13"/>
  <c r="T17" i="13" s="1"/>
  <c r="T75" i="13"/>
  <c r="T16" i="13"/>
  <c r="I72" i="13" l="1"/>
  <c r="I129" i="13" s="1"/>
  <c r="I146" i="13" s="1"/>
  <c r="I9" i="14"/>
  <c r="I24" i="14" s="1"/>
  <c r="I24" i="8"/>
  <c r="I73" i="8" s="1"/>
  <c r="I16" i="9"/>
  <c r="I73" i="9"/>
  <c r="I130" i="9" s="1"/>
  <c r="I147" i="9" s="1"/>
  <c r="G29" i="14"/>
  <c r="T70" i="13"/>
  <c r="T25" i="13"/>
  <c r="G111" i="14"/>
  <c r="G40" i="14"/>
  <c r="G72" i="14"/>
  <c r="G52" i="14"/>
  <c r="G24" i="14"/>
  <c r="G102" i="14"/>
  <c r="G112" i="14" s="1"/>
  <c r="G121" i="14" s="1"/>
  <c r="H70" i="13"/>
  <c r="H25" i="13"/>
  <c r="G73" i="14" l="1"/>
  <c r="G124" i="14" s="1"/>
  <c r="H46" i="9"/>
  <c r="H45" i="13" s="1"/>
  <c r="T45" i="13" s="1"/>
  <c r="E159" i="12" l="1"/>
  <c r="F159" i="12"/>
  <c r="H26" i="9" l="1"/>
  <c r="U26" i="9" s="1"/>
  <c r="H71" i="9" l="1"/>
  <c r="J88" i="12" l="1"/>
  <c r="A8" i="12" l="1"/>
  <c r="H138" i="9" l="1"/>
  <c r="H125" i="9"/>
  <c r="H133" i="9"/>
  <c r="H132" i="13" s="1"/>
  <c r="H143" i="9"/>
  <c r="H124" i="9"/>
  <c r="U124" i="9" s="1"/>
  <c r="H115" i="9"/>
  <c r="H116" i="9"/>
  <c r="H112" i="9"/>
  <c r="H113" i="9"/>
  <c r="H114" i="9"/>
  <c r="H137" i="9"/>
  <c r="H117" i="9"/>
  <c r="H118" i="9"/>
  <c r="H134" i="9"/>
  <c r="H119" i="9"/>
  <c r="H94" i="9"/>
  <c r="H92" i="9"/>
  <c r="H96" i="9"/>
  <c r="H93" i="9"/>
  <c r="H95" i="9"/>
  <c r="H90" i="9"/>
  <c r="H104" i="9"/>
  <c r="H78" i="9"/>
  <c r="H91" i="9"/>
  <c r="H105" i="9"/>
  <c r="H97" i="9"/>
  <c r="H85" i="9"/>
  <c r="H99" i="9"/>
  <c r="H87" i="9"/>
  <c r="H89" i="9"/>
  <c r="H103" i="9"/>
  <c r="H79" i="9"/>
  <c r="H77" i="9"/>
  <c r="H76" i="13" s="1"/>
  <c r="H80" i="9"/>
  <c r="H108" i="9"/>
  <c r="H12" i="9"/>
  <c r="H81" i="9"/>
  <c r="H109" i="9"/>
  <c r="H83" i="9"/>
  <c r="H110" i="9"/>
  <c r="H84" i="9"/>
  <c r="H111" i="9"/>
  <c r="H98" i="9"/>
  <c r="H86" i="9"/>
  <c r="H100" i="9"/>
  <c r="H88" i="9"/>
  <c r="H102" i="9"/>
  <c r="H52" i="9"/>
  <c r="H29" i="9"/>
  <c r="H28" i="13" s="1"/>
  <c r="T28" i="13" s="1"/>
  <c r="H67" i="9"/>
  <c r="H53" i="9"/>
  <c r="H30" i="9"/>
  <c r="H29" i="13" s="1"/>
  <c r="T29" i="13" s="1"/>
  <c r="H54" i="9"/>
  <c r="H48" i="9"/>
  <c r="H47" i="13" s="1"/>
  <c r="H31" i="9"/>
  <c r="H30" i="13" s="1"/>
  <c r="T30" i="13" s="1"/>
  <c r="H9" i="9"/>
  <c r="H9" i="13" s="1"/>
  <c r="T9" i="13" s="1"/>
  <c r="H11" i="9"/>
  <c r="H11" i="13" s="1"/>
  <c r="T11" i="13" s="1"/>
  <c r="H51" i="9"/>
  <c r="H56" i="9"/>
  <c r="H37" i="9"/>
  <c r="H36" i="13" s="1"/>
  <c r="T36" i="13" s="1"/>
  <c r="H32" i="9"/>
  <c r="H31" i="13" s="1"/>
  <c r="T31" i="13" s="1"/>
  <c r="H38" i="9"/>
  <c r="H37" i="13" s="1"/>
  <c r="T37" i="13" s="1"/>
  <c r="H33" i="9"/>
  <c r="H32" i="13" s="1"/>
  <c r="T32" i="13" s="1"/>
  <c r="H39" i="9"/>
  <c r="H38" i="13" s="1"/>
  <c r="T38" i="13" s="1"/>
  <c r="H34" i="9"/>
  <c r="H33" i="13" s="1"/>
  <c r="T33" i="13" s="1"/>
  <c r="H59" i="9"/>
  <c r="H40" i="9"/>
  <c r="H39" i="13" s="1"/>
  <c r="T39" i="13" s="1"/>
  <c r="H27" i="9"/>
  <c r="H26" i="13" s="1"/>
  <c r="H41" i="9"/>
  <c r="H40" i="13" s="1"/>
  <c r="T40" i="13" s="1"/>
  <c r="H61" i="9"/>
  <c r="U61" i="9" s="1"/>
  <c r="H42" i="9"/>
  <c r="H41" i="13" s="1"/>
  <c r="T41" i="13" s="1"/>
  <c r="H43" i="9"/>
  <c r="H42" i="13" s="1"/>
  <c r="T42" i="13" s="1"/>
  <c r="H50" i="9"/>
  <c r="H36" i="9"/>
  <c r="H35" i="13" s="1"/>
  <c r="H57" i="9"/>
  <c r="H60" i="9"/>
  <c r="H49" i="9"/>
  <c r="H28" i="9"/>
  <c r="H27" i="13" s="1"/>
  <c r="T27" i="13" s="1"/>
  <c r="H58" i="9"/>
  <c r="H10" i="9"/>
  <c r="H10" i="13" s="1"/>
  <c r="T10" i="13" s="1"/>
  <c r="H8" i="9"/>
  <c r="H8" i="13" s="1"/>
  <c r="H108" i="8"/>
  <c r="H108" i="14" s="1"/>
  <c r="H60" i="8"/>
  <c r="H60" i="14" s="1"/>
  <c r="H94" i="8"/>
  <c r="H94" i="14" s="1"/>
  <c r="H87" i="8"/>
  <c r="H87" i="14" s="1"/>
  <c r="H88" i="8"/>
  <c r="H88" i="14" s="1"/>
  <c r="H90" i="8"/>
  <c r="H90" i="14" s="1"/>
  <c r="H84" i="8"/>
  <c r="H84" i="14" s="1"/>
  <c r="H99" i="8"/>
  <c r="H99" i="14" s="1"/>
  <c r="H89" i="8"/>
  <c r="H89" i="14" s="1"/>
  <c r="H91" i="8"/>
  <c r="H91" i="14" s="1"/>
  <c r="H78" i="8"/>
  <c r="H78" i="14" s="1"/>
  <c r="H37" i="8"/>
  <c r="H37" i="14" s="1"/>
  <c r="H59" i="8"/>
  <c r="H59" i="14" s="1"/>
  <c r="H55" i="8"/>
  <c r="H55" i="14" s="1"/>
  <c r="H48" i="8"/>
  <c r="H48" i="14" s="1"/>
  <c r="H47" i="8"/>
  <c r="H47" i="14" s="1"/>
  <c r="H45" i="8"/>
  <c r="H45" i="14" s="1"/>
  <c r="H44" i="8"/>
  <c r="H44" i="14" s="1"/>
  <c r="H42" i="8"/>
  <c r="H42" i="14" s="1"/>
  <c r="H46" i="8"/>
  <c r="H46" i="14" s="1"/>
  <c r="H43" i="8"/>
  <c r="H43" i="14" s="1"/>
  <c r="H27" i="8"/>
  <c r="H27" i="14" s="1"/>
  <c r="H19" i="8"/>
  <c r="H19" i="14" s="1"/>
  <c r="H18" i="8"/>
  <c r="H18" i="14" s="1"/>
  <c r="H15" i="8"/>
  <c r="H15" i="14" s="1"/>
  <c r="H98" i="13" l="1"/>
  <c r="T98" i="13" s="1"/>
  <c r="U100" i="9"/>
  <c r="H102" i="13"/>
  <c r="T102" i="13" s="1"/>
  <c r="U104" i="9"/>
  <c r="H112" i="13"/>
  <c r="T112" i="13" s="1"/>
  <c r="U114" i="9"/>
  <c r="H84" i="13"/>
  <c r="T84" i="13" s="1"/>
  <c r="U86" i="9"/>
  <c r="H105" i="13"/>
  <c r="T105" i="13" s="1"/>
  <c r="H88" i="13"/>
  <c r="T88" i="13" s="1"/>
  <c r="U90" i="9"/>
  <c r="H111" i="13"/>
  <c r="T111" i="13" s="1"/>
  <c r="U113" i="9"/>
  <c r="H57" i="13"/>
  <c r="T57" i="13" s="1"/>
  <c r="U58" i="9"/>
  <c r="H96" i="13"/>
  <c r="T96" i="13" s="1"/>
  <c r="U98" i="9"/>
  <c r="H78" i="13"/>
  <c r="T78" i="13" s="1"/>
  <c r="U79" i="9"/>
  <c r="H93" i="13"/>
  <c r="T93" i="13" s="1"/>
  <c r="U95" i="9"/>
  <c r="H110" i="13"/>
  <c r="T110" i="13" s="1"/>
  <c r="U112" i="9"/>
  <c r="H58" i="13"/>
  <c r="T58" i="13" s="1"/>
  <c r="U59" i="9"/>
  <c r="H109" i="13"/>
  <c r="T109" i="13" s="1"/>
  <c r="U111" i="9"/>
  <c r="H101" i="13"/>
  <c r="T101" i="13" s="1"/>
  <c r="U103" i="9"/>
  <c r="H91" i="13"/>
  <c r="T91" i="13" s="1"/>
  <c r="U93" i="9"/>
  <c r="H114" i="13"/>
  <c r="T114" i="13" s="1"/>
  <c r="U116" i="9"/>
  <c r="H48" i="13"/>
  <c r="T48" i="13" s="1"/>
  <c r="U49" i="9"/>
  <c r="H53" i="13"/>
  <c r="T53" i="13" s="1"/>
  <c r="U54" i="9"/>
  <c r="H82" i="13"/>
  <c r="T82" i="13" s="1"/>
  <c r="U84" i="9"/>
  <c r="H87" i="13"/>
  <c r="T87" i="13" s="1"/>
  <c r="U89" i="9"/>
  <c r="H94" i="13"/>
  <c r="T94" i="13" s="1"/>
  <c r="U96" i="9"/>
  <c r="H113" i="13"/>
  <c r="T113" i="13" s="1"/>
  <c r="U115" i="9"/>
  <c r="H59" i="13"/>
  <c r="T59" i="13" s="1"/>
  <c r="U60" i="9"/>
  <c r="H108" i="13"/>
  <c r="T108" i="13" s="1"/>
  <c r="U110" i="9"/>
  <c r="H85" i="13"/>
  <c r="T85" i="13" s="1"/>
  <c r="U87" i="9"/>
  <c r="H90" i="13"/>
  <c r="T90" i="13" s="1"/>
  <c r="U92" i="9"/>
  <c r="H56" i="13"/>
  <c r="T56" i="13" s="1"/>
  <c r="U57" i="9"/>
  <c r="H52" i="13"/>
  <c r="T52" i="13" s="1"/>
  <c r="U53" i="9"/>
  <c r="H81" i="13"/>
  <c r="T81" i="13" s="1"/>
  <c r="U83" i="9"/>
  <c r="H97" i="13"/>
  <c r="T97" i="13" s="1"/>
  <c r="U99" i="9"/>
  <c r="H92" i="13"/>
  <c r="T92" i="13" s="1"/>
  <c r="U94" i="9"/>
  <c r="H66" i="13"/>
  <c r="T66" i="13" s="1"/>
  <c r="H107" i="13"/>
  <c r="T107" i="13" s="1"/>
  <c r="U109" i="9"/>
  <c r="H83" i="13"/>
  <c r="T83" i="13" s="1"/>
  <c r="U85" i="9"/>
  <c r="H118" i="13"/>
  <c r="T118" i="13" s="1"/>
  <c r="U119" i="9"/>
  <c r="H49" i="13"/>
  <c r="T49" i="13" s="1"/>
  <c r="U50" i="9"/>
  <c r="H80" i="13"/>
  <c r="T80" i="13" s="1"/>
  <c r="U81" i="9"/>
  <c r="H95" i="13"/>
  <c r="T95" i="13" s="1"/>
  <c r="U97" i="9"/>
  <c r="H133" i="13"/>
  <c r="U134" i="9"/>
  <c r="H126" i="13"/>
  <c r="T126" i="13" s="1"/>
  <c r="U125" i="9"/>
  <c r="H51" i="13"/>
  <c r="T51" i="13" s="1"/>
  <c r="U52" i="9"/>
  <c r="H103" i="13"/>
  <c r="T103" i="13" s="1"/>
  <c r="U105" i="9"/>
  <c r="H117" i="13"/>
  <c r="T117" i="13" s="1"/>
  <c r="U118" i="9"/>
  <c r="H137" i="13"/>
  <c r="T137" i="13" s="1"/>
  <c r="U138" i="9"/>
  <c r="H55" i="13"/>
  <c r="T55" i="13" s="1"/>
  <c r="U56" i="9"/>
  <c r="H99" i="13"/>
  <c r="T99" i="13" s="1"/>
  <c r="U102" i="9"/>
  <c r="H106" i="13"/>
  <c r="T106" i="13" s="1"/>
  <c r="U108" i="9"/>
  <c r="H89" i="13"/>
  <c r="T89" i="13" s="1"/>
  <c r="U91" i="9"/>
  <c r="H116" i="13"/>
  <c r="T116" i="13" s="1"/>
  <c r="U117" i="9"/>
  <c r="H50" i="13"/>
  <c r="T50" i="13" s="1"/>
  <c r="U51" i="9"/>
  <c r="H86" i="13"/>
  <c r="T86" i="13" s="1"/>
  <c r="U88" i="9"/>
  <c r="H79" i="13"/>
  <c r="T79" i="13" s="1"/>
  <c r="U80" i="9"/>
  <c r="H77" i="13"/>
  <c r="T77" i="13" s="1"/>
  <c r="U78" i="9"/>
  <c r="T138" i="13"/>
  <c r="H136" i="13"/>
  <c r="U137" i="9"/>
  <c r="H12" i="13"/>
  <c r="T12" i="13" s="1"/>
  <c r="U12" i="9"/>
  <c r="H128" i="9"/>
  <c r="H60" i="13"/>
  <c r="T60" i="13" s="1"/>
  <c r="H146" i="9"/>
  <c r="H142" i="13"/>
  <c r="T8" i="13"/>
  <c r="T76" i="13"/>
  <c r="T132" i="13"/>
  <c r="H123" i="13"/>
  <c r="T35" i="13"/>
  <c r="T43" i="13" s="1"/>
  <c r="H43" i="13"/>
  <c r="T26" i="13"/>
  <c r="T34" i="13" s="1"/>
  <c r="H34" i="13"/>
  <c r="T47" i="13"/>
  <c r="H140" i="9"/>
  <c r="H121" i="9"/>
  <c r="H35" i="9"/>
  <c r="H14" i="9"/>
  <c r="H44" i="9"/>
  <c r="H68" i="9"/>
  <c r="J152" i="12"/>
  <c r="J153" i="12"/>
  <c r="J154" i="12"/>
  <c r="J155" i="12"/>
  <c r="J156" i="12"/>
  <c r="J150" i="12"/>
  <c r="J103" i="12"/>
  <c r="H105" i="8" s="1"/>
  <c r="H105" i="14" s="1"/>
  <c r="J104" i="12"/>
  <c r="H106" i="8" s="1"/>
  <c r="H106" i="14" s="1"/>
  <c r="J75" i="12"/>
  <c r="J60" i="12"/>
  <c r="J63" i="12"/>
  <c r="H61" i="8" s="1"/>
  <c r="H61" i="14" s="1"/>
  <c r="J64" i="12"/>
  <c r="H62" i="8" s="1"/>
  <c r="H62" i="14" s="1"/>
  <c r="J65" i="12"/>
  <c r="H63" i="8" s="1"/>
  <c r="H63" i="14" s="1"/>
  <c r="J66" i="12"/>
  <c r="H64" i="8" s="1"/>
  <c r="H64" i="14" s="1"/>
  <c r="J67" i="12"/>
  <c r="H65" i="8" s="1"/>
  <c r="H65" i="14" s="1"/>
  <c r="U30" i="8"/>
  <c r="U41" i="8"/>
  <c r="U53" i="8"/>
  <c r="U58" i="8"/>
  <c r="U74" i="8"/>
  <c r="U75" i="8"/>
  <c r="U76" i="8"/>
  <c r="U77" i="8"/>
  <c r="U103" i="8"/>
  <c r="U113" i="8"/>
  <c r="U114" i="8"/>
  <c r="U143" i="9"/>
  <c r="U142" i="9"/>
  <c r="U133" i="9"/>
  <c r="U37" i="9"/>
  <c r="U38" i="9"/>
  <c r="U39" i="9"/>
  <c r="U40" i="9"/>
  <c r="U41" i="9"/>
  <c r="U42" i="9"/>
  <c r="U43" i="9"/>
  <c r="U36" i="9"/>
  <c r="U28" i="9"/>
  <c r="U29" i="9"/>
  <c r="U30" i="9"/>
  <c r="U31" i="9"/>
  <c r="U32" i="9"/>
  <c r="U33" i="9"/>
  <c r="U34" i="9"/>
  <c r="U27" i="9"/>
  <c r="U19" i="9"/>
  <c r="U20" i="9"/>
  <c r="U21" i="9"/>
  <c r="U22" i="9"/>
  <c r="U23" i="9"/>
  <c r="U24" i="9"/>
  <c r="U25" i="9"/>
  <c r="U18" i="9"/>
  <c r="U46" i="9"/>
  <c r="T13" i="13" l="1"/>
  <c r="T15" i="13" s="1"/>
  <c r="H139" i="13"/>
  <c r="T139" i="13"/>
  <c r="H120" i="13"/>
  <c r="T120" i="13"/>
  <c r="H13" i="13"/>
  <c r="H15" i="13" s="1"/>
  <c r="H16" i="9"/>
  <c r="U14" i="9"/>
  <c r="T44" i="13"/>
  <c r="T46" i="13" s="1"/>
  <c r="H44" i="13"/>
  <c r="H46" i="13" s="1"/>
  <c r="H67" i="13"/>
  <c r="T67" i="13"/>
  <c r="T142" i="13"/>
  <c r="T145" i="13" s="1"/>
  <c r="H145" i="13"/>
  <c r="H129" i="9"/>
  <c r="T123" i="13"/>
  <c r="T127" i="13" s="1"/>
  <c r="H127" i="13"/>
  <c r="H45" i="9"/>
  <c r="H47" i="9" s="1"/>
  <c r="H72" i="9" s="1"/>
  <c r="H73" i="9" s="1"/>
  <c r="U146" i="9"/>
  <c r="U120" i="9"/>
  <c r="U44" i="9"/>
  <c r="U35" i="9"/>
  <c r="U108" i="8"/>
  <c r="R124" i="8"/>
  <c r="T128" i="13" l="1"/>
  <c r="H128" i="13"/>
  <c r="T71" i="13"/>
  <c r="T72" i="13" s="1"/>
  <c r="H71" i="13"/>
  <c r="H72" i="13" s="1"/>
  <c r="H130" i="9"/>
  <c r="H147" i="9" s="1"/>
  <c r="H148" i="9" s="1"/>
  <c r="I120" i="8" s="1"/>
  <c r="I121" i="8" s="1"/>
  <c r="U140" i="9"/>
  <c r="F160" i="12"/>
  <c r="U132" i="9"/>
  <c r="U56" i="8"/>
  <c r="U92" i="8"/>
  <c r="U42" i="8"/>
  <c r="U11" i="9"/>
  <c r="U21" i="8"/>
  <c r="U51" i="8"/>
  <c r="U60" i="8"/>
  <c r="U27" i="8"/>
  <c r="U71" i="8"/>
  <c r="U110" i="8"/>
  <c r="U19" i="8"/>
  <c r="U31" i="8"/>
  <c r="U49" i="8"/>
  <c r="U70" i="8"/>
  <c r="U101" i="8"/>
  <c r="U88" i="8"/>
  <c r="U109" i="8"/>
  <c r="U18" i="8"/>
  <c r="U39" i="8"/>
  <c r="U48" i="8"/>
  <c r="U69" i="8"/>
  <c r="U99" i="8"/>
  <c r="U87" i="8"/>
  <c r="U17" i="8"/>
  <c r="U38" i="8"/>
  <c r="U47" i="8"/>
  <c r="U68" i="8"/>
  <c r="U98" i="8"/>
  <c r="U86" i="8"/>
  <c r="U106" i="8"/>
  <c r="U16" i="8"/>
  <c r="U37" i="8"/>
  <c r="U46" i="8"/>
  <c r="U67" i="8"/>
  <c r="U97" i="8"/>
  <c r="U85" i="8"/>
  <c r="U115" i="8"/>
  <c r="U32" i="8"/>
  <c r="U26" i="8"/>
  <c r="U91" i="8"/>
  <c r="U59" i="8"/>
  <c r="U50" i="8"/>
  <c r="U66" i="8"/>
  <c r="U96" i="8"/>
  <c r="U84" i="8"/>
  <c r="U116" i="8"/>
  <c r="U9" i="8"/>
  <c r="U8" i="9"/>
  <c r="U61" i="8"/>
  <c r="U104" i="8"/>
  <c r="U78" i="8"/>
  <c r="U15" i="8"/>
  <c r="U14" i="8"/>
  <c r="U44" i="8"/>
  <c r="U65" i="8"/>
  <c r="U95" i="8"/>
  <c r="U83" i="8"/>
  <c r="U77" i="9"/>
  <c r="U11" i="8"/>
  <c r="U80" i="8"/>
  <c r="U55" i="8"/>
  <c r="U10" i="9"/>
  <c r="U20" i="8"/>
  <c r="U89" i="8"/>
  <c r="U45" i="8"/>
  <c r="U13" i="8"/>
  <c r="U64" i="8"/>
  <c r="U62" i="8"/>
  <c r="U22" i="8"/>
  <c r="U79" i="8"/>
  <c r="U28" i="8"/>
  <c r="U90" i="8"/>
  <c r="U9" i="9"/>
  <c r="U36" i="8"/>
  <c r="U35" i="8"/>
  <c r="U34" i="8"/>
  <c r="U43" i="8"/>
  <c r="U94" i="8"/>
  <c r="U82" i="8"/>
  <c r="U12" i="8"/>
  <c r="U33" i="8"/>
  <c r="U54" i="8"/>
  <c r="U63" i="8"/>
  <c r="U93" i="8"/>
  <c r="U81" i="8"/>
  <c r="U117" i="8"/>
  <c r="J149" i="12"/>
  <c r="J79" i="12"/>
  <c r="H80" i="8" s="1"/>
  <c r="H80" i="14" s="1"/>
  <c r="J140" i="12"/>
  <c r="J121" i="12"/>
  <c r="J119" i="12"/>
  <c r="J114" i="12"/>
  <c r="J100" i="12"/>
  <c r="H109" i="8" s="1"/>
  <c r="H109" i="14" s="1"/>
  <c r="J82" i="12"/>
  <c r="H83" i="8" s="1"/>
  <c r="H83" i="14" s="1"/>
  <c r="J80" i="12"/>
  <c r="H81" i="8" s="1"/>
  <c r="H81" i="14" s="1"/>
  <c r="J9" i="12"/>
  <c r="H11" i="8" s="1"/>
  <c r="H11" i="14" s="1"/>
  <c r="J10" i="12"/>
  <c r="H12" i="8" s="1"/>
  <c r="H12" i="14" s="1"/>
  <c r="J11" i="12"/>
  <c r="H13" i="8" s="1"/>
  <c r="H13" i="14" s="1"/>
  <c r="J12" i="12"/>
  <c r="H14" i="8" s="1"/>
  <c r="H14" i="14" s="1"/>
  <c r="J14" i="12"/>
  <c r="H16" i="8" s="1"/>
  <c r="H16" i="14" s="1"/>
  <c r="J15" i="12"/>
  <c r="H17" i="8" s="1"/>
  <c r="H17" i="14" s="1"/>
  <c r="J18" i="12"/>
  <c r="H20" i="8" s="1"/>
  <c r="H20" i="14" s="1"/>
  <c r="J19" i="12"/>
  <c r="H21" i="8" s="1"/>
  <c r="H21" i="14" s="1"/>
  <c r="J20" i="12"/>
  <c r="H22" i="8" s="1"/>
  <c r="H22" i="14" s="1"/>
  <c r="J21" i="12"/>
  <c r="H23" i="8" s="1"/>
  <c r="H23" i="14" s="1"/>
  <c r="J23" i="12"/>
  <c r="H26" i="8" s="1"/>
  <c r="H26" i="14" s="1"/>
  <c r="J24" i="12"/>
  <c r="H28" i="8" s="1"/>
  <c r="H28" i="14" s="1"/>
  <c r="J25" i="12"/>
  <c r="H31" i="8" s="1"/>
  <c r="H31" i="14" s="1"/>
  <c r="J26" i="12"/>
  <c r="H32" i="8" s="1"/>
  <c r="H32" i="14" s="1"/>
  <c r="J27" i="12"/>
  <c r="H33" i="8" s="1"/>
  <c r="H33" i="14" s="1"/>
  <c r="J28" i="12"/>
  <c r="H34" i="8" s="1"/>
  <c r="H34" i="14" s="1"/>
  <c r="J29" i="12"/>
  <c r="H35" i="8" s="1"/>
  <c r="H35" i="14" s="1"/>
  <c r="J30" i="12"/>
  <c r="H36" i="8" s="1"/>
  <c r="H36" i="14" s="1"/>
  <c r="J32" i="12"/>
  <c r="H38" i="8" s="1"/>
  <c r="H38" i="14" s="1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55" i="12"/>
  <c r="H49" i="8" s="1"/>
  <c r="H49" i="14" s="1"/>
  <c r="J56" i="12"/>
  <c r="H50" i="8" s="1"/>
  <c r="H50" i="14" s="1"/>
  <c r="J57" i="12"/>
  <c r="H54" i="8" s="1"/>
  <c r="H54" i="14" s="1"/>
  <c r="J59" i="12"/>
  <c r="H56" i="8" s="1"/>
  <c r="H56" i="14" s="1"/>
  <c r="J106" i="12"/>
  <c r="J107" i="12"/>
  <c r="J108" i="12"/>
  <c r="J109" i="12"/>
  <c r="J110" i="12"/>
  <c r="J111" i="12"/>
  <c r="J112" i="12"/>
  <c r="J113" i="12"/>
  <c r="J116" i="12"/>
  <c r="J122" i="12"/>
  <c r="J123" i="12"/>
  <c r="J125" i="12"/>
  <c r="J126" i="12"/>
  <c r="J128" i="12"/>
  <c r="J132" i="12"/>
  <c r="J134" i="12"/>
  <c r="J135" i="12"/>
  <c r="J136" i="12"/>
  <c r="J138" i="12"/>
  <c r="J141" i="12"/>
  <c r="J143" i="12"/>
  <c r="J144" i="12"/>
  <c r="J145" i="12"/>
  <c r="J146" i="12"/>
  <c r="J147" i="12"/>
  <c r="J148" i="12"/>
  <c r="J8" i="12"/>
  <c r="H9" i="8" s="1"/>
  <c r="H9" i="14" s="1"/>
  <c r="J68" i="12"/>
  <c r="H66" i="8" s="1"/>
  <c r="H66" i="14" s="1"/>
  <c r="J70" i="12"/>
  <c r="H68" i="8" s="1"/>
  <c r="H68" i="14" s="1"/>
  <c r="J71" i="12"/>
  <c r="H69" i="8" s="1"/>
  <c r="H69" i="14" s="1"/>
  <c r="J72" i="12"/>
  <c r="H70" i="8" s="1"/>
  <c r="H70" i="14" s="1"/>
  <c r="J73" i="12"/>
  <c r="H115" i="8" s="1"/>
  <c r="H115" i="14" s="1"/>
  <c r="J74" i="12"/>
  <c r="H116" i="8" s="1"/>
  <c r="H116" i="14" s="1"/>
  <c r="J76" i="12"/>
  <c r="J78" i="12"/>
  <c r="H79" i="8" s="1"/>
  <c r="H79" i="14" s="1"/>
  <c r="J81" i="12"/>
  <c r="H82" i="8" s="1"/>
  <c r="H82" i="14" s="1"/>
  <c r="J84" i="12"/>
  <c r="H85" i="8" s="1"/>
  <c r="H85" i="14" s="1"/>
  <c r="J85" i="12"/>
  <c r="H86" i="8" s="1"/>
  <c r="H86" i="14" s="1"/>
  <c r="J89" i="12"/>
  <c r="H92" i="8" s="1"/>
  <c r="H92" i="14" s="1"/>
  <c r="J90" i="12"/>
  <c r="H93" i="8" s="1"/>
  <c r="H93" i="14" s="1"/>
  <c r="J92" i="12"/>
  <c r="H95" i="8" s="1"/>
  <c r="H95" i="14" s="1"/>
  <c r="J93" i="12"/>
  <c r="H96" i="8" s="1"/>
  <c r="H96" i="14" s="1"/>
  <c r="J94" i="12"/>
  <c r="H97" i="8" s="1"/>
  <c r="H97" i="14" s="1"/>
  <c r="J95" i="12"/>
  <c r="H98" i="8" s="1"/>
  <c r="H98" i="14" s="1"/>
  <c r="J99" i="12"/>
  <c r="H101" i="8" s="1"/>
  <c r="H101" i="14" s="1"/>
  <c r="J101" i="12"/>
  <c r="H110" i="8" s="1"/>
  <c r="H110" i="14" s="1"/>
  <c r="J102" i="12"/>
  <c r="H104" i="8" s="1"/>
  <c r="H104" i="14" s="1"/>
  <c r="H111" i="14" s="1"/>
  <c r="E157" i="12"/>
  <c r="D157" i="12"/>
  <c r="C157" i="12"/>
  <c r="T129" i="13" l="1"/>
  <c r="T146" i="13" s="1"/>
  <c r="H129" i="13"/>
  <c r="H146" i="13" s="1"/>
  <c r="H149" i="13" s="1"/>
  <c r="H150" i="13" s="1"/>
  <c r="I120" i="14" s="1"/>
  <c r="H57" i="14"/>
  <c r="H52" i="14"/>
  <c r="H29" i="14"/>
  <c r="H117" i="14"/>
  <c r="H24" i="14"/>
  <c r="H40" i="14"/>
  <c r="H102" i="14"/>
  <c r="H112" i="14" s="1"/>
  <c r="H120" i="8"/>
  <c r="H111" i="8"/>
  <c r="U48" i="9"/>
  <c r="U47" i="9"/>
  <c r="U45" i="9"/>
  <c r="H117" i="8"/>
  <c r="H102" i="8"/>
  <c r="H52" i="8"/>
  <c r="H57" i="8"/>
  <c r="H40" i="8"/>
  <c r="H29" i="8"/>
  <c r="H24" i="8"/>
  <c r="D158" i="12"/>
  <c r="U121" i="9"/>
  <c r="G157" i="12"/>
  <c r="U24" i="8"/>
  <c r="F157" i="12"/>
  <c r="F158" i="12" s="1"/>
  <c r="H120" i="14" l="1"/>
  <c r="H121" i="14" s="1"/>
  <c r="I121" i="14"/>
  <c r="H112" i="8"/>
  <c r="H121" i="8" s="1"/>
  <c r="U68" i="9"/>
  <c r="U16" i="9"/>
  <c r="J69" i="12" l="1"/>
  <c r="Q124" i="8"/>
  <c r="J157" i="12" l="1"/>
  <c r="H67" i="8"/>
  <c r="H72" i="8" l="1"/>
  <c r="H73" i="8" s="1"/>
  <c r="H124" i="8" s="1"/>
  <c r="H67" i="14"/>
  <c r="H72" i="14" s="1"/>
  <c r="H73" i="14" s="1"/>
  <c r="H124" i="14" s="1"/>
  <c r="H157" i="12" l="1"/>
  <c r="I157" i="12"/>
  <c r="I158" i="12" l="1"/>
  <c r="U70" i="9" l="1"/>
  <c r="U69" i="9"/>
  <c r="U76" i="9" l="1"/>
  <c r="U71" i="9"/>
  <c r="U17" i="9"/>
  <c r="U123" i="9" l="1"/>
  <c r="U57" i="8"/>
  <c r="U29" i="8"/>
  <c r="U15" i="9"/>
  <c r="U102" i="8" l="1"/>
  <c r="U111" i="8"/>
  <c r="U52" i="8"/>
  <c r="U128" i="9"/>
  <c r="U72" i="8"/>
  <c r="U40" i="8"/>
  <c r="U112" i="8" l="1"/>
  <c r="U73" i="8"/>
  <c r="U129" i="9"/>
  <c r="U72" i="9"/>
  <c r="U73" i="9" l="1"/>
  <c r="U130" i="9" l="1"/>
  <c r="U147" i="9" l="1"/>
  <c r="S124" i="8" l="1"/>
  <c r="U124" i="8" l="1"/>
</calcChain>
</file>

<file path=xl/sharedStrings.xml><?xml version="1.0" encoding="utf-8"?>
<sst xmlns="http://schemas.openxmlformats.org/spreadsheetml/2006/main" count="1142" uniqueCount="350">
  <si>
    <t>Trial Balance</t>
  </si>
  <si>
    <t>Petit Cash  – KIP</t>
  </si>
  <si>
    <t>Petit Cash  – Bath</t>
  </si>
  <si>
    <t>1021.01</t>
  </si>
  <si>
    <t>Bank accounts  A/c 1751312001 BCEL -KIP</t>
  </si>
  <si>
    <t>Bank accounts in Kip- JDB</t>
  </si>
  <si>
    <t>Bank accounts  BCEL-Baht A/C 5132001</t>
  </si>
  <si>
    <t>Bank accounts - BCEL U$D A/C 51312001</t>
  </si>
  <si>
    <t>Bank accounts -LDB-BAHT A/C 10001585</t>
  </si>
  <si>
    <t>Bank accounts - LDBin  U$D  A/C 10001333</t>
  </si>
  <si>
    <t>Bank accounts in bath JDB</t>
  </si>
  <si>
    <t>Bank accounts - JDB U$D A/C 9991439</t>
  </si>
  <si>
    <t>Bank accounts usd (BANK: Maruhan )</t>
  </si>
  <si>
    <t>Customers – Accounts receivable : Goods</t>
  </si>
  <si>
    <t>Other receivables</t>
  </si>
  <si>
    <t>Stock- Fuel</t>
  </si>
  <si>
    <t>Stock- Sand</t>
  </si>
  <si>
    <t>Stock -Cement</t>
  </si>
  <si>
    <t>Stock - Sika plastomix-705L</t>
  </si>
  <si>
    <t>Stock - Rock</t>
  </si>
  <si>
    <t>Stock - Sika plastocrete-N/200L</t>
  </si>
  <si>
    <t>SCG Cement</t>
  </si>
  <si>
    <t>1331.001</t>
  </si>
  <si>
    <t>Work in process-concrete</t>
  </si>
  <si>
    <t>Finished product-concrete</t>
  </si>
  <si>
    <t>Payment for Broker insurance laos</t>
  </si>
  <si>
    <t>Car Rental (Toyota VIOS )</t>
  </si>
  <si>
    <t>Apartment rental ( Insee Apartment)</t>
  </si>
  <si>
    <t>Internet fee for ETL</t>
  </si>
  <si>
    <t>Payment in Advance of land rent</t>
  </si>
  <si>
    <t>Salaries payment in Advance</t>
  </si>
  <si>
    <t>Prepayments to suppliers</t>
  </si>
  <si>
    <t>State – VAT deductible on goods and services</t>
  </si>
  <si>
    <t>Tangible fixed assets</t>
  </si>
  <si>
    <t>Furniture and office equiptment</t>
  </si>
  <si>
    <t>Buildings</t>
  </si>
  <si>
    <t>Machinery and material</t>
  </si>
  <si>
    <t>Transport equipment</t>
  </si>
  <si>
    <t>Capitalized development costs</t>
  </si>
  <si>
    <t>Depreciation-eguipment</t>
  </si>
  <si>
    <t>Depreciation-Buildings</t>
  </si>
  <si>
    <t>Depreciation-Machinery and equipment</t>
  </si>
  <si>
    <t>Depreciation-Vehicles</t>
  </si>
  <si>
    <t>Long term expenses new set up</t>
  </si>
  <si>
    <t>Subscribed capital – paid</t>
  </si>
  <si>
    <t>Loss carried forward</t>
  </si>
  <si>
    <t xml:space="preserve"> SAKOUN PATHAMMAVONG MS</t>
  </si>
  <si>
    <t>MOTNOIVIENTIANE TRADING CO.,LTD</t>
  </si>
  <si>
    <t>SBL Construction Solution</t>
  </si>
  <si>
    <t>SINO EXPRESS CO.,LTD</t>
  </si>
  <si>
    <t>LAO TELECOM</t>
  </si>
  <si>
    <t>ZICOLAW (LAO) Sole Ltd</t>
  </si>
  <si>
    <t>UNITEL</t>
  </si>
  <si>
    <t>SANKO LAO CO.,LTD</t>
  </si>
  <si>
    <t>Consuiting Service fee</t>
  </si>
  <si>
    <t>STANDARD TRADING SOLE CO.,LTD</t>
  </si>
  <si>
    <t>Tokyo Consulting Firm Sole Co.,Ltd</t>
  </si>
  <si>
    <t>KP Co.,Ltd</t>
  </si>
  <si>
    <t>Suppliers – Fixed assets</t>
  </si>
  <si>
    <t>Employees – Remuneration payable</t>
  </si>
  <si>
    <t>Social security – Employees contribution</t>
  </si>
  <si>
    <t>State – Tax collected by the entity</t>
  </si>
  <si>
    <t>State – VAT collected 7%</t>
  </si>
  <si>
    <t>State – VAT payable</t>
  </si>
  <si>
    <t>Withdrawals from banks or national treasury to petty cash</t>
  </si>
  <si>
    <t>Internal transfer of customers sttlement</t>
  </si>
  <si>
    <t>Finished Products-concrete</t>
  </si>
  <si>
    <t>Electricity expenses</t>
  </si>
  <si>
    <t>Drinking water</t>
  </si>
  <si>
    <t>Car Fuel</t>
  </si>
  <si>
    <t>Office supply</t>
  </si>
  <si>
    <t>Other consummable goods</t>
  </si>
  <si>
    <t>Accounting and Tax Advisory Services</t>
  </si>
  <si>
    <t>Security  safe guard</t>
  </si>
  <si>
    <t>QC consaulting service</t>
  </si>
  <si>
    <t>Apartment</t>
  </si>
  <si>
    <t>Payment Car rent</t>
  </si>
  <si>
    <t>Land rent</t>
  </si>
  <si>
    <t>Office Maintenance</t>
  </si>
  <si>
    <t>Car repair parts</t>
  </si>
  <si>
    <t>Advertising, publications, printing public relations fees</t>
  </si>
  <si>
    <t>Telephone call expenses</t>
  </si>
  <si>
    <t>Internet charges</t>
  </si>
  <si>
    <t>Commissions</t>
  </si>
  <si>
    <t>Travel</t>
  </si>
  <si>
    <t>Guests receipt</t>
  </si>
  <si>
    <t>Food -staff meal</t>
  </si>
  <si>
    <t>Banking fees and similar services</t>
  </si>
  <si>
    <t>Personnel Salaries</t>
  </si>
  <si>
    <t>Social security contribution</t>
  </si>
  <si>
    <t>Other employee expenses</t>
  </si>
  <si>
    <t>Other taxes and fees</t>
  </si>
  <si>
    <t>Fines, grant awarded, gift and donation</t>
  </si>
  <si>
    <t>Other operating expenses</t>
  </si>
  <si>
    <t>Exchange losses</t>
  </si>
  <si>
    <t>Appropriations to depreciation on tangible fixed assets</t>
  </si>
  <si>
    <t>Sales of products - 7% VAT Charged</t>
  </si>
  <si>
    <t>Sales of other services</t>
  </si>
  <si>
    <t>Exchange gains</t>
  </si>
  <si>
    <t>Other financial revenue</t>
  </si>
  <si>
    <t>Total</t>
  </si>
  <si>
    <t>Services Prpducts and goods cost</t>
  </si>
  <si>
    <t>Gross Profit</t>
  </si>
  <si>
    <t>Administrative expenses</t>
  </si>
  <si>
    <t>General subcontracting service</t>
  </si>
  <si>
    <t>Kintone maintenance</t>
  </si>
  <si>
    <t>Rental, leases</t>
  </si>
  <si>
    <t>Factory Maintenance</t>
  </si>
  <si>
    <t>Insurance premium</t>
  </si>
  <si>
    <t>Documentation fees and related charges</t>
  </si>
  <si>
    <t>Non-deductible VAT</t>
  </si>
  <si>
    <t>Fees and stamps</t>
  </si>
  <si>
    <t>Other expenses</t>
  </si>
  <si>
    <t>Operating Profit (Loss)</t>
  </si>
  <si>
    <t>Finance income</t>
  </si>
  <si>
    <t>Rebates, discounts, allowances recievied from payment</t>
  </si>
  <si>
    <t>Income from other financial fixed assets</t>
  </si>
  <si>
    <t>Finance cost</t>
  </si>
  <si>
    <t>Profit or Loss before tax</t>
  </si>
  <si>
    <t>Other comprehensive expenses after tax</t>
  </si>
  <si>
    <t>Other current assets</t>
  </si>
  <si>
    <t>Share capital</t>
  </si>
  <si>
    <t>Electricity</t>
  </si>
  <si>
    <t>SANKO CONCRETELAO CO;LTD</t>
  </si>
  <si>
    <t>Balance Sheet Report</t>
  </si>
  <si>
    <t>ASSETS</t>
  </si>
  <si>
    <t>Current Assets</t>
  </si>
  <si>
    <t>Cash and cash equivalents :-</t>
  </si>
  <si>
    <t>Petit Cash - Dollar</t>
  </si>
  <si>
    <t>Bank accounts - LDB : KIP A/C 10001898</t>
  </si>
  <si>
    <t xml:space="preserve">Total Cash and cash equivalents </t>
  </si>
  <si>
    <t>Account Receivable :-</t>
  </si>
  <si>
    <t>Cheques for collection</t>
  </si>
  <si>
    <t xml:space="preserve">Total Accounts Receivable </t>
  </si>
  <si>
    <t>Inventories :-</t>
  </si>
  <si>
    <t>Stock - SikaPlastomix-F2</t>
  </si>
  <si>
    <t>Total Inventories</t>
  </si>
  <si>
    <t>Other receivables :-</t>
  </si>
  <si>
    <t>Insurance ( TOYOTA Vios )</t>
  </si>
  <si>
    <t>TOYOTA KIA insurane (LANEXANG ASSURANCE)</t>
  </si>
  <si>
    <t>User service ( Lao Development Hub)</t>
  </si>
  <si>
    <t>Total other receivables.</t>
  </si>
  <si>
    <t>Salary payment in advance</t>
  </si>
  <si>
    <t>Employee – Payment in Advance</t>
  </si>
  <si>
    <t>Total current asset</t>
  </si>
  <si>
    <t>Non-current assets (II)</t>
  </si>
  <si>
    <t>Depreciation on tangible fixed assets</t>
  </si>
  <si>
    <t xml:space="preserve">Total non-current assets </t>
  </si>
  <si>
    <t xml:space="preserve">     Total Asset</t>
  </si>
  <si>
    <t>LIABILITIES &amp; EQUITY</t>
  </si>
  <si>
    <t>Liabilities</t>
  </si>
  <si>
    <t>Current Liabilities</t>
  </si>
  <si>
    <t>Account payable :-</t>
  </si>
  <si>
    <t>Suppliers-fuel</t>
  </si>
  <si>
    <t>Suppliers-sand</t>
  </si>
  <si>
    <t>Suppliers-cement</t>
  </si>
  <si>
    <t>Suppliers-Sika plastomix</t>
  </si>
  <si>
    <t>Suppliers-Rock</t>
  </si>
  <si>
    <t>SINO EXPRESS Co., Litd</t>
  </si>
  <si>
    <t>Suppliers – Rendering services</t>
  </si>
  <si>
    <t>Suppliers-Electricity</t>
  </si>
  <si>
    <t>Suppliers-water</t>
  </si>
  <si>
    <t>Suppliers-Security Service</t>
  </si>
  <si>
    <t>Suppliers-Accounting</t>
  </si>
  <si>
    <t>Suppliers – Goods and services - Bills payable</t>
  </si>
  <si>
    <t>Supplier:  Telephone</t>
  </si>
  <si>
    <t>SANKO LAO CO.,LTD ( Mr. Nishu)</t>
  </si>
  <si>
    <t>Total account payable</t>
  </si>
  <si>
    <t>Other account payable :-</t>
  </si>
  <si>
    <t>Total other account payable</t>
  </si>
  <si>
    <t xml:space="preserve">Total liabilities </t>
  </si>
  <si>
    <t>Capital and Reserves</t>
  </si>
  <si>
    <t>Drawings account</t>
  </si>
  <si>
    <t>Total Share capital</t>
  </si>
  <si>
    <t>Retained Earnings</t>
  </si>
  <si>
    <t>Profit and Loss</t>
  </si>
  <si>
    <t xml:space="preserve">As of </t>
  </si>
  <si>
    <t>Ordinary Income/Expense</t>
  </si>
  <si>
    <t>Income</t>
  </si>
  <si>
    <t>Sales Concrete</t>
  </si>
  <si>
    <t>Sale Revenue</t>
  </si>
  <si>
    <t>Sales of goods for resale</t>
  </si>
  <si>
    <t>Sales of product inside Sez</t>
  </si>
  <si>
    <t>Total Sales Concrete</t>
  </si>
  <si>
    <t>Sales discount</t>
  </si>
  <si>
    <t>Total Income</t>
  </si>
  <si>
    <t>Cost of Goods Sold</t>
  </si>
  <si>
    <t>Beginning balance of rawmaterials - Fuel</t>
  </si>
  <si>
    <t>Beginning balance of rawmaterials - Sand</t>
  </si>
  <si>
    <t>Beginning balance of rawmaterials -Cement</t>
  </si>
  <si>
    <t>Beginning balance of rawmaterials - Sika plastomix-705L</t>
  </si>
  <si>
    <t>Beginning balance of rawmaterials - Rock</t>
  </si>
  <si>
    <t>Profit on foreign exchange - Sika plastocrete-N/200L</t>
  </si>
  <si>
    <t>Total Beginning balance of rawmaterials</t>
  </si>
  <si>
    <t>Purchase - Fuel</t>
  </si>
  <si>
    <t>Purchase - Sand</t>
  </si>
  <si>
    <t>Purchase -Cement</t>
  </si>
  <si>
    <t>Purchase - Sika plastomix-705L</t>
  </si>
  <si>
    <t>Purchase - Rock</t>
  </si>
  <si>
    <t>Purchase - Sika plastocrete-N/200L</t>
  </si>
  <si>
    <t>Total Purchase rawmaterials</t>
  </si>
  <si>
    <t>Ending balance- Fuel</t>
  </si>
  <si>
    <t>Ending balance- Sand</t>
  </si>
  <si>
    <t>Ending balance -Cement</t>
  </si>
  <si>
    <t>Ending balance - Sika plastomix-705L</t>
  </si>
  <si>
    <t>Ending balance - Rock</t>
  </si>
  <si>
    <t>Ending balance - Sika plastocrete-N/200L</t>
  </si>
  <si>
    <t>Total Ending balance rawmaterials</t>
  </si>
  <si>
    <t xml:space="preserve"> Total Rawmatirials used</t>
  </si>
  <si>
    <t xml:space="preserve"> Total Direct materials</t>
  </si>
  <si>
    <t>Food Employees</t>
  </si>
  <si>
    <t>Vehicles , equipment and machine repared</t>
  </si>
  <si>
    <t>Water Supply</t>
  </si>
  <si>
    <t>Salaries and Benefits</t>
  </si>
  <si>
    <t>Depreciation</t>
  </si>
  <si>
    <t>Total Overhead</t>
  </si>
  <si>
    <t>Exchange rate in cost of Goods</t>
  </si>
  <si>
    <t>Total Other cost</t>
  </si>
  <si>
    <t>Total COST</t>
  </si>
  <si>
    <t>Expense</t>
  </si>
  <si>
    <t>Account consulting fees</t>
  </si>
  <si>
    <t>Legal Consutant</t>
  </si>
  <si>
    <t>Management consulting fee</t>
  </si>
  <si>
    <t>Holiday pay</t>
  </si>
  <si>
    <t>Total General, administrative expense</t>
  </si>
  <si>
    <t>Lossed on disposal of fixed assets</t>
  </si>
  <si>
    <t>Total Other expense</t>
  </si>
  <si>
    <t>Total expenses</t>
  </si>
  <si>
    <t>Total Financial incom</t>
  </si>
  <si>
    <t>Interest expense</t>
  </si>
  <si>
    <t>Total Financial cost</t>
  </si>
  <si>
    <t xml:space="preserve">Beginning </t>
  </si>
  <si>
    <t>Movement</t>
  </si>
  <si>
    <t>Ending balance</t>
  </si>
  <si>
    <t>Lao-China co-Operation Ltd-  Water supply</t>
  </si>
  <si>
    <t>Lao-China co-Operation Ltd-   Electricity</t>
  </si>
  <si>
    <t>603.01</t>
  </si>
  <si>
    <t>584</t>
  </si>
  <si>
    <t>582</t>
  </si>
  <si>
    <t>432.01</t>
  </si>
  <si>
    <t>1365.01</t>
  </si>
  <si>
    <t>Rent  Fee</t>
  </si>
  <si>
    <t>Tire</t>
  </si>
  <si>
    <t>office: Room Rental for H. Migita</t>
  </si>
  <si>
    <t>Intangible fixed assets</t>
  </si>
  <si>
    <t>Transportation</t>
  </si>
  <si>
    <t>Engine Oil,Cement</t>
  </si>
  <si>
    <t>Suppliers – Tangible fixed assets</t>
  </si>
  <si>
    <t>Others payable</t>
  </si>
  <si>
    <t>Adjustment Raw material used</t>
  </si>
  <si>
    <t>Account name</t>
  </si>
  <si>
    <t>Account code</t>
  </si>
  <si>
    <t>631.01</t>
  </si>
  <si>
    <t>Total =&gt;</t>
  </si>
  <si>
    <t>Net Change</t>
  </si>
  <si>
    <t>Dec 2022</t>
  </si>
  <si>
    <t>Profit for the financial year</t>
  </si>
  <si>
    <t>Petty Cash  – KIP</t>
  </si>
  <si>
    <t>Petty Cash  – Bath</t>
  </si>
  <si>
    <t>Petty Cash - Dollar</t>
  </si>
  <si>
    <t>Bank accounts A/c 1751312001 BCEL-LAK</t>
  </si>
  <si>
    <t>Bank accounts JDB-LAK</t>
  </si>
  <si>
    <t>Bank accounts - BCEL USD A/C 51312001</t>
  </si>
  <si>
    <t>Bank accounts JDB-bath</t>
  </si>
  <si>
    <t>Bank accounts JDB-USD A/C 9991439</t>
  </si>
  <si>
    <t>Bank accounts Maruhan-USD-12D</t>
  </si>
  <si>
    <t>Bank account JDB- USD-TC12D</t>
  </si>
  <si>
    <t xml:space="preserve"> Food Employees (factory)</t>
  </si>
  <si>
    <t xml:space="preserve"> Vehicles , equipment and machine repared</t>
  </si>
  <si>
    <t xml:space="preserve"> Electricity</t>
  </si>
  <si>
    <t xml:space="preserve"> Water Supply (Factory)</t>
  </si>
  <si>
    <t>1331.05</t>
  </si>
  <si>
    <t xml:space="preserve"> Salaries and Benefits (Factory)</t>
  </si>
  <si>
    <t>1331.06</t>
  </si>
  <si>
    <t xml:space="preserve"> Depreciation</t>
  </si>
  <si>
    <t>1331.09</t>
  </si>
  <si>
    <t xml:space="preserve"> Social Security (Factory)</t>
  </si>
  <si>
    <t>1331.11</t>
  </si>
  <si>
    <t>Service expense (Factory)</t>
  </si>
  <si>
    <t>1331.12</t>
  </si>
  <si>
    <t>Drinking water (Factory)</t>
  </si>
  <si>
    <t>1331.15</t>
  </si>
  <si>
    <t>Factory supply</t>
  </si>
  <si>
    <t>1331.16</t>
  </si>
  <si>
    <t>Car Fuel of Operator</t>
  </si>
  <si>
    <t>1331.17</t>
  </si>
  <si>
    <t>1331.18</t>
  </si>
  <si>
    <t>581</t>
  </si>
  <si>
    <t>Deposit in bank or national treasury</t>
  </si>
  <si>
    <t>583</t>
  </si>
  <si>
    <t>Bank-to-bank or to national treasury transfers</t>
  </si>
  <si>
    <t>614</t>
  </si>
  <si>
    <t>Maintenance and repairs</t>
  </si>
  <si>
    <t>Transport</t>
  </si>
  <si>
    <t>Personnel wages</t>
  </si>
  <si>
    <t>Bonus and allowance staff</t>
  </si>
  <si>
    <t>636.01</t>
  </si>
  <si>
    <t>711</t>
  </si>
  <si>
    <t>Sales of residual products</t>
  </si>
  <si>
    <t>768.01</t>
  </si>
  <si>
    <t xml:space="preserve">Other financial revenue From SKL </t>
  </si>
  <si>
    <t>Of Month 01/2023</t>
  </si>
  <si>
    <t>Profit (Loss) for the Year 2022</t>
  </si>
  <si>
    <t xml:space="preserve">Profit (Loss) for the Current Year </t>
  </si>
  <si>
    <t>Corpration Income Tax</t>
    <phoneticPr fontId="4"/>
  </si>
  <si>
    <t>Exchange rate</t>
  </si>
  <si>
    <t>Profit for the Month</t>
  </si>
  <si>
    <t xml:space="preserve">Retained Earnings </t>
  </si>
  <si>
    <t xml:space="preserve">Profit (Loss) for Current Year </t>
  </si>
  <si>
    <t>1011.01</t>
  </si>
  <si>
    <t>1331.20</t>
  </si>
  <si>
    <t>1331.22</t>
  </si>
  <si>
    <t>business trip allowance</t>
  </si>
  <si>
    <t>166.01</t>
  </si>
  <si>
    <t>Petty Csh -LAK</t>
  </si>
  <si>
    <t>1331.10</t>
  </si>
  <si>
    <t>Material for kitchen room</t>
  </si>
  <si>
    <t>uniform employee factory</t>
  </si>
  <si>
    <t>1331.21</t>
  </si>
  <si>
    <t>Commissions fee</t>
  </si>
  <si>
    <t>Thaohoungheaung co.,ltd</t>
  </si>
  <si>
    <t>583.01</t>
  </si>
  <si>
    <t>Exchange Bank-to-bank</t>
  </si>
  <si>
    <t>Waste expenses</t>
  </si>
  <si>
    <t>648.01</t>
  </si>
  <si>
    <t>Other Taxes and fees</t>
  </si>
  <si>
    <t>658.01</t>
  </si>
  <si>
    <t>768.02</t>
  </si>
  <si>
    <t>Revenue from advance payment other for SKL</t>
  </si>
  <si>
    <t>711.01</t>
  </si>
  <si>
    <t>711.02</t>
  </si>
  <si>
    <t>Sale Assets</t>
  </si>
  <si>
    <t>Adjust Exchange rate as Malee info</t>
  </si>
  <si>
    <t>Of Month 03/2023</t>
  </si>
  <si>
    <t>1331.23</t>
  </si>
  <si>
    <t>1331.24</t>
  </si>
  <si>
    <t>166</t>
  </si>
  <si>
    <t>622</t>
  </si>
  <si>
    <t>624.01</t>
  </si>
  <si>
    <t>656</t>
  </si>
  <si>
    <t>658</t>
  </si>
  <si>
    <t>Medical check annually</t>
  </si>
  <si>
    <t>Transport Finish Products</t>
  </si>
  <si>
    <t>Legal consultant</t>
  </si>
  <si>
    <t>commissions</t>
  </si>
  <si>
    <t>Other financial revenue From</t>
  </si>
  <si>
    <t>Of Month Mar 2023</t>
  </si>
  <si>
    <t>Mar 2023</t>
  </si>
  <si>
    <t>Year ended on 31/03/2023</t>
  </si>
  <si>
    <t>Update from Malee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</si>
</sst>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B1mmm\-yy"/>
    <numFmt numFmtId="166" formatCode="_ * #,##0_ ;_ * \-#,##0_ ;_ * &quot;-&quot;_ ;_ @_ "/>
    <numFmt numFmtId="167" formatCode="_(* #,##0_);_(* \(#,##0\);_(* &quot;-&quot;??_);_(@_)"/>
  </numFmts>
  <fonts count="42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0"/>
      <color indexed="8"/>
      <name val="Cambria"/>
      <family val="3"/>
      <charset val="128"/>
      <scheme val="major"/>
    </font>
    <font>
      <sz val="10"/>
      <color indexed="8"/>
      <name val="Cambria"/>
      <family val="3"/>
      <charset val="128"/>
      <scheme val="major"/>
    </font>
    <font>
      <b/>
      <sz val="12"/>
      <color indexed="8"/>
      <name val="Cambria"/>
      <family val="3"/>
      <charset val="128"/>
      <scheme val="major"/>
    </font>
    <font>
      <sz val="12"/>
      <color indexed="8"/>
      <name val="Cambria"/>
      <family val="3"/>
      <charset val="128"/>
      <scheme val="major"/>
    </font>
    <font>
      <b/>
      <sz val="12"/>
      <color rgb="FF000000"/>
      <name val="Cambria"/>
      <family val="3"/>
      <charset val="128"/>
      <scheme val="major"/>
    </font>
    <font>
      <sz val="12"/>
      <color rgb="FFFF0000"/>
      <name val="Cambria"/>
      <family val="3"/>
      <charset val="128"/>
      <scheme val="major"/>
    </font>
    <font>
      <sz val="14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0"/>
      <name val="Cambria"/>
      <family val="3"/>
      <charset val="128"/>
      <scheme val="major"/>
    </font>
    <font>
      <sz val="10"/>
      <color indexed="8"/>
      <name val="Calibri"/>
      <family val="2"/>
      <scheme val="minor"/>
    </font>
    <font>
      <sz val="8"/>
      <name val="Arial"/>
      <family val="2"/>
    </font>
    <font>
      <b/>
      <sz val="10"/>
      <color indexed="8"/>
      <name val="Calibri"/>
      <family val="2"/>
      <scheme val="minor"/>
    </font>
    <font>
      <b/>
      <sz val="10"/>
      <color indexed="8"/>
      <name val="Cambria"/>
      <family val="1"/>
      <scheme val="maj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indexed="8"/>
      <name val="Cambria"/>
      <family val="3"/>
      <charset val="128"/>
      <scheme val="major"/>
    </font>
    <font>
      <b/>
      <sz val="12"/>
      <color rgb="FF000000"/>
      <name val="Calibri"/>
      <family val="2"/>
    </font>
    <font>
      <b/>
      <sz val="11"/>
      <color indexed="8"/>
      <name val="Cambria"/>
      <family val="3"/>
      <charset val="128"/>
      <scheme val="major"/>
    </font>
    <font>
      <sz val="9"/>
      <color indexed="8"/>
      <name val="Cambria"/>
      <family val="3"/>
      <charset val="128"/>
      <scheme val="major"/>
    </font>
    <font>
      <sz val="12"/>
      <color rgb="FFFF0000"/>
      <name val="Calibri"/>
      <family val="2"/>
    </font>
    <font>
      <sz val="8"/>
      <name val="ARIAL"/>
      <charset val="1"/>
    </font>
    <font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0" tint="-0.34998626667073579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theme="0" tint="-0.34998626667073579"/>
      </top>
      <bottom style="hair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hair">
        <color indexed="64"/>
      </bottom>
      <diagonal/>
    </border>
  </borders>
  <cellStyleXfs count="20">
    <xf numFmtId="0" fontId="0" fillId="0" borderId="0">
      <alignment vertical="top"/>
    </xf>
    <xf numFmtId="43" fontId="2" fillId="0" borderId="0" applyFont="0" applyFill="0" applyBorder="0" applyAlignment="0" applyProtection="0">
      <alignment vertical="top"/>
    </xf>
    <xf numFmtId="43" fontId="3" fillId="0" borderId="0" applyFont="0" applyFill="0" applyBorder="0" applyAlignment="0" applyProtection="0">
      <alignment vertical="top"/>
    </xf>
    <xf numFmtId="43" fontId="3" fillId="0" borderId="0" applyFont="0" applyFill="0" applyBorder="0" applyAlignment="0" applyProtection="0">
      <alignment vertical="top"/>
    </xf>
    <xf numFmtId="43" fontId="2" fillId="0" borderId="0" applyFont="0" applyFill="0" applyBorder="0" applyAlignment="0" applyProtection="0">
      <alignment vertical="top"/>
    </xf>
    <xf numFmtId="43" fontId="3" fillId="0" borderId="0" applyFont="0" applyFill="0" applyBorder="0" applyAlignment="0" applyProtection="0">
      <alignment vertical="top"/>
    </xf>
    <xf numFmtId="43" fontId="3" fillId="0" borderId="0" applyFont="0" applyFill="0" applyBorder="0" applyAlignment="0" applyProtection="0">
      <alignment vertical="top"/>
    </xf>
    <xf numFmtId="43" fontId="2" fillId="0" borderId="0" applyFont="0" applyFill="0" applyBorder="0" applyAlignment="0" applyProtection="0">
      <alignment vertical="top"/>
    </xf>
    <xf numFmtId="43" fontId="5" fillId="0" borderId="0" applyFont="0" applyFill="0" applyBorder="0" applyAlignment="0" applyProtection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2" fillId="0" borderId="0">
      <alignment vertical="top"/>
    </xf>
    <xf numFmtId="0" fontId="3" fillId="0" borderId="0">
      <alignment vertical="top"/>
    </xf>
    <xf numFmtId="0" fontId="4" fillId="0" borderId="0"/>
    <xf numFmtId="0" fontId="2" fillId="0" borderId="0">
      <alignment vertical="top"/>
    </xf>
    <xf numFmtId="0" fontId="2" fillId="0" borderId="0">
      <alignment vertical="top"/>
    </xf>
    <xf numFmtId="0" fontId="4" fillId="0" borderId="0"/>
    <xf numFmtId="0" fontId="6" fillId="0" borderId="0"/>
    <xf numFmtId="164" fontId="4" fillId="0" borderId="0" applyFont="0" applyFill="0" applyBorder="0" applyAlignment="0" applyProtection="0"/>
    <xf numFmtId="0" fontId="1" fillId="0" borderId="0"/>
  </cellStyleXfs>
  <cellXfs count="261">
    <xf numFmtId="0" fontId="0" fillId="0" borderId="0" xfId="0">
      <alignment vertical="top"/>
    </xf>
    <xf numFmtId="0" fontId="7" fillId="0" borderId="0" xfId="10" applyFont="1">
      <alignment vertical="top"/>
    </xf>
    <xf numFmtId="0" fontId="8" fillId="0" borderId="0" xfId="10" applyFont="1">
      <alignment vertical="top"/>
    </xf>
    <xf numFmtId="43" fontId="8" fillId="0" borderId="0" xfId="3" applyFont="1">
      <alignment vertical="top"/>
    </xf>
    <xf numFmtId="43" fontId="8" fillId="0" borderId="0" xfId="3" applyFont="1" applyFill="1">
      <alignment vertical="top"/>
    </xf>
    <xf numFmtId="0" fontId="9" fillId="0" borderId="0" xfId="10" applyFont="1" applyAlignment="1">
      <alignment vertical="top" readingOrder="1"/>
    </xf>
    <xf numFmtId="0" fontId="7" fillId="0" borderId="0" xfId="10" applyFont="1" applyAlignment="1">
      <alignment horizontal="left" vertical="top"/>
    </xf>
    <xf numFmtId="43" fontId="9" fillId="0" borderId="0" xfId="3" applyFont="1" applyAlignment="1">
      <alignment horizontal="left" vertical="top" readingOrder="1"/>
    </xf>
    <xf numFmtId="0" fontId="9" fillId="0" borderId="0" xfId="10" applyFont="1" applyAlignment="1">
      <alignment horizontal="left" vertical="top" readingOrder="1"/>
    </xf>
    <xf numFmtId="43" fontId="8" fillId="0" borderId="0" xfId="3" applyFont="1" applyBorder="1">
      <alignment vertical="top"/>
    </xf>
    <xf numFmtId="165" fontId="7" fillId="0" borderId="0" xfId="10" applyNumberFormat="1" applyFont="1">
      <alignment vertical="top"/>
    </xf>
    <xf numFmtId="4" fontId="7" fillId="0" borderId="1" xfId="3" applyNumberFormat="1" applyFont="1" applyFill="1" applyBorder="1">
      <alignment vertical="top"/>
    </xf>
    <xf numFmtId="4" fontId="8" fillId="0" borderId="0" xfId="10" applyNumberFormat="1" applyFont="1">
      <alignment vertical="top"/>
    </xf>
    <xf numFmtId="4" fontId="7" fillId="0" borderId="2" xfId="3" applyNumberFormat="1" applyFont="1" applyFill="1" applyBorder="1">
      <alignment vertical="top"/>
    </xf>
    <xf numFmtId="4" fontId="7" fillId="0" borderId="1" xfId="3" applyNumberFormat="1" applyFont="1" applyFill="1" applyBorder="1" applyAlignment="1">
      <alignment vertical="top" wrapText="1"/>
    </xf>
    <xf numFmtId="0" fontId="8" fillId="0" borderId="0" xfId="10" applyFont="1" applyAlignment="1">
      <alignment horizontal="left" vertical="top"/>
    </xf>
    <xf numFmtId="4" fontId="8" fillId="0" borderId="0" xfId="3" applyNumberFormat="1" applyFont="1" applyFill="1">
      <alignment vertical="top"/>
    </xf>
    <xf numFmtId="0" fontId="9" fillId="0" borderId="0" xfId="10" applyFont="1" applyAlignment="1"/>
    <xf numFmtId="0" fontId="10" fillId="0" borderId="0" xfId="10" applyFont="1" applyAlignment="1"/>
    <xf numFmtId="43" fontId="10" fillId="0" borderId="0" xfId="3" applyFont="1" applyAlignment="1"/>
    <xf numFmtId="43" fontId="10" fillId="0" borderId="0" xfId="3" applyFont="1" applyFill="1" applyBorder="1" applyAlignment="1"/>
    <xf numFmtId="0" fontId="10" fillId="3" borderId="0" xfId="10" applyFont="1" applyFill="1" applyAlignment="1"/>
    <xf numFmtId="49" fontId="9" fillId="0" borderId="0" xfId="10" applyNumberFormat="1" applyFont="1" applyAlignment="1"/>
    <xf numFmtId="49" fontId="9" fillId="0" borderId="0" xfId="3" applyNumberFormat="1" applyFont="1" applyFill="1" applyBorder="1" applyAlignment="1">
      <alignment horizontal="right"/>
    </xf>
    <xf numFmtId="43" fontId="10" fillId="0" borderId="0" xfId="3" applyFont="1" applyFill="1" applyAlignment="1"/>
    <xf numFmtId="43" fontId="9" fillId="0" borderId="1" xfId="3" applyFont="1" applyFill="1" applyBorder="1" applyAlignment="1"/>
    <xf numFmtId="43" fontId="11" fillId="4" borderId="1" xfId="3" applyFont="1" applyFill="1" applyBorder="1" applyAlignment="1"/>
    <xf numFmtId="43" fontId="11" fillId="0" borderId="1" xfId="3" applyFont="1" applyFill="1" applyBorder="1" applyAlignment="1"/>
    <xf numFmtId="43" fontId="9" fillId="0" borderId="3" xfId="3" applyFont="1" applyFill="1" applyBorder="1" applyAlignment="1"/>
    <xf numFmtId="39" fontId="10" fillId="0" borderId="0" xfId="10" applyNumberFormat="1" applyFont="1" applyAlignment="1"/>
    <xf numFmtId="43" fontId="12" fillId="0" borderId="0" xfId="3" applyFont="1" applyAlignment="1"/>
    <xf numFmtId="0" fontId="13" fillId="0" borderId="0" xfId="0" applyFont="1">
      <alignment vertical="top"/>
    </xf>
    <xf numFmtId="0" fontId="13" fillId="0" borderId="0" xfId="0" applyFont="1" applyAlignment="1">
      <alignment vertical="top" wrapText="1" readingOrder="1"/>
    </xf>
    <xf numFmtId="43" fontId="13" fillId="0" borderId="0" xfId="1" applyFont="1">
      <alignment vertical="top"/>
    </xf>
    <xf numFmtId="43" fontId="13" fillId="0" borderId="0" xfId="1" applyFont="1" applyAlignment="1">
      <alignment vertical="top" wrapText="1" readingOrder="1"/>
    </xf>
    <xf numFmtId="0" fontId="13" fillId="0" borderId="5" xfId="0" applyFont="1" applyBorder="1">
      <alignment vertical="top"/>
    </xf>
    <xf numFmtId="0" fontId="13" fillId="5" borderId="5" xfId="0" applyFont="1" applyFill="1" applyBorder="1">
      <alignment vertical="top"/>
    </xf>
    <xf numFmtId="0" fontId="14" fillId="0" borderId="0" xfId="0" applyFont="1" applyAlignment="1">
      <alignment horizontal="left" vertical="top" readingOrder="1"/>
    </xf>
    <xf numFmtId="0" fontId="14" fillId="0" borderId="0" xfId="0" applyFont="1" applyAlignment="1">
      <alignment vertical="top" readingOrder="1"/>
    </xf>
    <xf numFmtId="39" fontId="7" fillId="0" borderId="4" xfId="10" applyNumberFormat="1" applyFont="1" applyBorder="1" applyAlignment="1">
      <alignment wrapText="1"/>
    </xf>
    <xf numFmtId="4" fontId="7" fillId="0" borderId="1" xfId="3" applyNumberFormat="1" applyFont="1" applyFill="1" applyBorder="1" applyAlignment="1">
      <alignment wrapText="1"/>
    </xf>
    <xf numFmtId="43" fontId="8" fillId="0" borderId="0" xfId="10" applyNumberFormat="1" applyFont="1">
      <alignment vertical="top"/>
    </xf>
    <xf numFmtId="43" fontId="13" fillId="0" borderId="5" xfId="1" applyFont="1" applyBorder="1">
      <alignment vertical="top"/>
    </xf>
    <xf numFmtId="43" fontId="13" fillId="0" borderId="0" xfId="0" applyNumberFormat="1" applyFont="1">
      <alignment vertical="top"/>
    </xf>
    <xf numFmtId="43" fontId="16" fillId="0" borderId="0" xfId="1" applyFont="1">
      <alignment vertical="top"/>
    </xf>
    <xf numFmtId="43" fontId="12" fillId="0" borderId="0" xfId="3" applyFont="1" applyFill="1" applyAlignment="1"/>
    <xf numFmtId="43" fontId="17" fillId="0" borderId="0" xfId="1" applyFont="1" applyAlignment="1">
      <alignment vertical="top" wrapText="1" readingOrder="1"/>
    </xf>
    <xf numFmtId="43" fontId="17" fillId="0" borderId="0" xfId="1" applyFont="1">
      <alignment vertical="top"/>
    </xf>
    <xf numFmtId="43" fontId="17" fillId="0" borderId="5" xfId="1" applyFont="1" applyBorder="1">
      <alignment vertical="top"/>
    </xf>
    <xf numFmtId="4" fontId="18" fillId="0" borderId="0" xfId="10" applyNumberFormat="1" applyFont="1">
      <alignment vertical="top"/>
    </xf>
    <xf numFmtId="0" fontId="13" fillId="0" borderId="5" xfId="0" applyFont="1" applyBorder="1" applyAlignment="1">
      <alignment horizontal="center" vertical="center"/>
    </xf>
    <xf numFmtId="43" fontId="13" fillId="0" borderId="5" xfId="1" applyFont="1" applyBorder="1" applyAlignment="1">
      <alignment horizontal="center" vertical="center"/>
    </xf>
    <xf numFmtId="43" fontId="17" fillId="0" borderId="5" xfId="1" applyFont="1" applyBorder="1" applyAlignment="1">
      <alignment horizontal="center" vertical="center"/>
    </xf>
    <xf numFmtId="43" fontId="17" fillId="5" borderId="5" xfId="1" applyFont="1" applyFill="1" applyBorder="1" applyAlignment="1">
      <alignment horizontal="center" vertical="center"/>
    </xf>
    <xf numFmtId="43" fontId="17" fillId="3" borderId="5" xfId="1" applyFont="1" applyFill="1" applyBorder="1" applyAlignment="1">
      <alignment horizontal="center" vertical="top"/>
    </xf>
    <xf numFmtId="0" fontId="15" fillId="0" borderId="0" xfId="0" applyFont="1" applyAlignment="1">
      <alignment vertical="top" wrapText="1"/>
    </xf>
    <xf numFmtId="4" fontId="7" fillId="6" borderId="2" xfId="3" applyNumberFormat="1" applyFont="1" applyFill="1" applyBorder="1">
      <alignment vertical="top"/>
    </xf>
    <xf numFmtId="4" fontId="8" fillId="2" borderId="0" xfId="3" applyNumberFormat="1" applyFont="1" applyFill="1">
      <alignment vertical="top"/>
    </xf>
    <xf numFmtId="49" fontId="9" fillId="3" borderId="0" xfId="10" applyNumberFormat="1" applyFont="1" applyFill="1" applyAlignment="1">
      <alignment horizontal="center"/>
    </xf>
    <xf numFmtId="43" fontId="22" fillId="0" borderId="0" xfId="10" applyNumberFormat="1" applyFont="1">
      <alignment vertical="top"/>
    </xf>
    <xf numFmtId="43" fontId="17" fillId="7" borderId="0" xfId="1" applyFont="1" applyFill="1">
      <alignment vertical="top"/>
    </xf>
    <xf numFmtId="43" fontId="8" fillId="6" borderId="0" xfId="10" applyNumberFormat="1" applyFont="1" applyFill="1">
      <alignment vertical="top"/>
    </xf>
    <xf numFmtId="43" fontId="8" fillId="6" borderId="0" xfId="3" applyFont="1" applyFill="1">
      <alignment vertical="top"/>
    </xf>
    <xf numFmtId="43" fontId="22" fillId="6" borderId="0" xfId="10" applyNumberFormat="1" applyFont="1" applyFill="1">
      <alignment vertical="top"/>
    </xf>
    <xf numFmtId="4" fontId="8" fillId="6" borderId="0" xfId="3" applyNumberFormat="1" applyFont="1" applyFill="1">
      <alignment vertical="top"/>
    </xf>
    <xf numFmtId="0" fontId="24" fillId="0" borderId="9" xfId="0" applyFont="1" applyBorder="1" applyAlignment="1">
      <alignment vertical="top" wrapText="1"/>
    </xf>
    <xf numFmtId="43" fontId="24" fillId="0" borderId="9" xfId="1" applyFont="1" applyFill="1" applyBorder="1" applyAlignment="1">
      <alignment vertical="top" wrapText="1"/>
    </xf>
    <xf numFmtId="43" fontId="24" fillId="0" borderId="9" xfId="1" applyFont="1" applyFill="1" applyBorder="1">
      <alignment vertical="top"/>
    </xf>
    <xf numFmtId="43" fontId="25" fillId="0" borderId="10" xfId="1" applyFont="1" applyFill="1" applyBorder="1" applyAlignment="1">
      <alignment vertical="top" wrapText="1"/>
    </xf>
    <xf numFmtId="43" fontId="25" fillId="0" borderId="10" xfId="1" applyFont="1" applyBorder="1" applyAlignment="1">
      <alignment vertical="top" wrapText="1"/>
    </xf>
    <xf numFmtId="43" fontId="25" fillId="0" borderId="10" xfId="1" applyFont="1" applyFill="1" applyBorder="1">
      <alignment vertical="top"/>
    </xf>
    <xf numFmtId="0" fontId="24" fillId="0" borderId="6" xfId="0" applyFont="1" applyBorder="1" applyAlignment="1">
      <alignment horizontal="left" vertical="top" wrapText="1"/>
    </xf>
    <xf numFmtId="0" fontId="24" fillId="0" borderId="6" xfId="0" applyFont="1" applyBorder="1" applyAlignment="1">
      <alignment vertical="top" wrapText="1"/>
    </xf>
    <xf numFmtId="43" fontId="24" fillId="0" borderId="6" xfId="1" applyFont="1" applyFill="1" applyBorder="1" applyAlignment="1">
      <alignment vertical="top" wrapText="1"/>
    </xf>
    <xf numFmtId="43" fontId="24" fillId="0" borderId="6" xfId="1" applyFont="1" applyFill="1" applyBorder="1">
      <alignment vertical="top"/>
    </xf>
    <xf numFmtId="43" fontId="25" fillId="0" borderId="11" xfId="1" applyFont="1" applyFill="1" applyBorder="1" applyAlignment="1">
      <alignment vertical="top" wrapText="1"/>
    </xf>
    <xf numFmtId="43" fontId="25" fillId="0" borderId="11" xfId="1" applyFont="1" applyBorder="1" applyAlignment="1">
      <alignment vertical="top" wrapText="1"/>
    </xf>
    <xf numFmtId="43" fontId="25" fillId="0" borderId="11" xfId="1" applyFont="1" applyFill="1" applyBorder="1">
      <alignment vertical="top"/>
    </xf>
    <xf numFmtId="0" fontId="24" fillId="0" borderId="6" xfId="0" applyFont="1" applyBorder="1">
      <alignment vertical="top"/>
    </xf>
    <xf numFmtId="0" fontId="24" fillId="0" borderId="6" xfId="0" quotePrefix="1" applyFont="1" applyBorder="1" applyAlignment="1">
      <alignment horizontal="left" vertical="top" wrapText="1"/>
    </xf>
    <xf numFmtId="0" fontId="24" fillId="0" borderId="7" xfId="0" applyFont="1" applyBorder="1" applyAlignment="1">
      <alignment vertical="top" wrapText="1"/>
    </xf>
    <xf numFmtId="43" fontId="24" fillId="0" borderId="7" xfId="1" applyFont="1" applyFill="1" applyBorder="1" applyAlignment="1">
      <alignment vertical="top" wrapText="1"/>
    </xf>
    <xf numFmtId="43" fontId="24" fillId="0" borderId="7" xfId="1" applyFont="1" applyFill="1" applyBorder="1">
      <alignment vertical="top"/>
    </xf>
    <xf numFmtId="43" fontId="25" fillId="0" borderId="13" xfId="1" applyFont="1" applyFill="1" applyBorder="1" applyAlignment="1">
      <alignment vertical="top" wrapText="1"/>
    </xf>
    <xf numFmtId="43" fontId="25" fillId="0" borderId="13" xfId="1" applyFont="1" applyFill="1" applyBorder="1">
      <alignment vertical="top"/>
    </xf>
    <xf numFmtId="0" fontId="24" fillId="0" borderId="6" xfId="0" applyFont="1" applyBorder="1" applyAlignment="1">
      <alignment vertical="center"/>
    </xf>
    <xf numFmtId="43" fontId="24" fillId="0" borderId="6" xfId="1" applyFont="1" applyFill="1" applyBorder="1" applyAlignment="1">
      <alignment horizontal="center" vertical="center"/>
    </xf>
    <xf numFmtId="39" fontId="24" fillId="0" borderId="6" xfId="0" applyNumberFormat="1" applyFont="1" applyBorder="1">
      <alignment vertical="top"/>
    </xf>
    <xf numFmtId="0" fontId="24" fillId="0" borderId="8" xfId="0" applyFont="1" applyBorder="1">
      <alignment vertical="top"/>
    </xf>
    <xf numFmtId="43" fontId="24" fillId="0" borderId="8" xfId="1" applyFont="1" applyFill="1" applyBorder="1">
      <alignment vertical="top"/>
    </xf>
    <xf numFmtId="0" fontId="19" fillId="0" borderId="0" xfId="10" applyFont="1" applyAlignment="1">
      <alignment horizontal="left" vertical="top" wrapText="1"/>
    </xf>
    <xf numFmtId="0" fontId="19" fillId="0" borderId="0" xfId="10" applyFont="1" applyAlignment="1">
      <alignment vertical="top" wrapText="1"/>
    </xf>
    <xf numFmtId="43" fontId="19" fillId="0" borderId="0" xfId="3" applyFont="1" applyBorder="1" applyAlignment="1">
      <alignment vertical="top" wrapText="1"/>
    </xf>
    <xf numFmtId="4" fontId="19" fillId="0" borderId="0" xfId="10" applyNumberFormat="1" applyFont="1" applyAlignment="1">
      <alignment vertical="top" wrapText="1"/>
    </xf>
    <xf numFmtId="43" fontId="19" fillId="0" borderId="0" xfId="3" applyFont="1" applyFill="1">
      <alignment vertical="top"/>
    </xf>
    <xf numFmtId="0" fontId="19" fillId="0" borderId="0" xfId="10" applyFont="1">
      <alignment vertical="top"/>
    </xf>
    <xf numFmtId="0" fontId="21" fillId="0" borderId="0" xfId="10" applyFont="1">
      <alignment vertical="top"/>
    </xf>
    <xf numFmtId="43" fontId="19" fillId="0" borderId="0" xfId="3" applyFont="1" applyBorder="1">
      <alignment vertical="top"/>
    </xf>
    <xf numFmtId="4" fontId="21" fillId="0" borderId="1" xfId="3" applyNumberFormat="1" applyFont="1" applyFill="1" applyBorder="1">
      <alignment vertical="top"/>
    </xf>
    <xf numFmtId="43" fontId="19" fillId="0" borderId="0" xfId="3" applyFont="1" applyFill="1" applyBorder="1">
      <alignment vertical="top"/>
    </xf>
    <xf numFmtId="4" fontId="21" fillId="0" borderId="0" xfId="3" applyNumberFormat="1" applyFont="1" applyFill="1" applyBorder="1">
      <alignment vertical="top"/>
    </xf>
    <xf numFmtId="4" fontId="19" fillId="0" borderId="0" xfId="3" applyNumberFormat="1" applyFont="1" applyFill="1">
      <alignment vertical="top"/>
    </xf>
    <xf numFmtId="0" fontId="21" fillId="0" borderId="0" xfId="10" applyFont="1" applyAlignment="1">
      <alignment horizontal="left" vertical="top"/>
    </xf>
    <xf numFmtId="0" fontId="26" fillId="0" borderId="0" xfId="0" applyFont="1" applyAlignment="1">
      <alignment vertical="top" wrapText="1"/>
    </xf>
    <xf numFmtId="0" fontId="21" fillId="0" borderId="0" xfId="10" applyFont="1" applyAlignment="1">
      <alignment vertical="top" wrapText="1"/>
    </xf>
    <xf numFmtId="4" fontId="21" fillId="0" borderId="1" xfId="3" applyNumberFormat="1" applyFont="1" applyFill="1" applyBorder="1" applyAlignment="1">
      <alignment vertical="top" wrapText="1"/>
    </xf>
    <xf numFmtId="4" fontId="21" fillId="0" borderId="1" xfId="3" applyNumberFormat="1" applyFont="1" applyFill="1" applyBorder="1" applyAlignment="1">
      <alignment wrapText="1"/>
    </xf>
    <xf numFmtId="0" fontId="19" fillId="0" borderId="0" xfId="10" applyFont="1" applyAlignment="1">
      <alignment horizontal="left" vertical="top"/>
    </xf>
    <xf numFmtId="4" fontId="19" fillId="0" borderId="0" xfId="3" applyNumberFormat="1" applyFont="1" applyFill="1" applyAlignment="1">
      <alignment vertical="top" wrapText="1"/>
    </xf>
    <xf numFmtId="39" fontId="21" fillId="0" borderId="4" xfId="10" applyNumberFormat="1" applyFont="1" applyBorder="1" applyAlignment="1">
      <alignment vertical="top" wrapText="1"/>
    </xf>
    <xf numFmtId="43" fontId="19" fillId="0" borderId="0" xfId="3" applyFont="1">
      <alignment vertical="top"/>
    </xf>
    <xf numFmtId="4" fontId="19" fillId="0" borderId="0" xfId="10" applyNumberFormat="1" applyFont="1">
      <alignment vertical="top"/>
    </xf>
    <xf numFmtId="0" fontId="23" fillId="0" borderId="0" xfId="0" applyFont="1" applyAlignment="1">
      <alignment vertical="top" wrapText="1"/>
    </xf>
    <xf numFmtId="43" fontId="25" fillId="6" borderId="11" xfId="1" applyFont="1" applyFill="1" applyBorder="1" applyAlignment="1">
      <alignment vertical="top" wrapText="1"/>
    </xf>
    <xf numFmtId="4" fontId="7" fillId="5" borderId="2" xfId="3" applyNumberFormat="1" applyFont="1" applyFill="1" applyBorder="1">
      <alignment vertical="top"/>
    </xf>
    <xf numFmtId="39" fontId="7" fillId="5" borderId="4" xfId="10" applyNumberFormat="1" applyFont="1" applyFill="1" applyBorder="1" applyAlignment="1">
      <alignment wrapText="1"/>
    </xf>
    <xf numFmtId="17" fontId="9" fillId="0" borderId="0" xfId="3" applyNumberFormat="1" applyFont="1" applyFill="1" applyBorder="1" applyAlignment="1">
      <alignment horizontal="right"/>
    </xf>
    <xf numFmtId="0" fontId="27" fillId="0" borderId="0" xfId="10" applyFont="1" applyAlignment="1"/>
    <xf numFmtId="0" fontId="28" fillId="0" borderId="0" xfId="10" applyFont="1" applyAlignment="1"/>
    <xf numFmtId="43" fontId="28" fillId="0" borderId="0" xfId="3" applyFont="1" applyAlignment="1"/>
    <xf numFmtId="43" fontId="28" fillId="0" borderId="0" xfId="3" applyFont="1" applyFill="1" applyBorder="1" applyAlignment="1"/>
    <xf numFmtId="0" fontId="28" fillId="3" borderId="0" xfId="10" applyFont="1" applyFill="1" applyAlignment="1"/>
    <xf numFmtId="0" fontId="27" fillId="0" borderId="0" xfId="10" applyFont="1" applyAlignment="1">
      <alignment horizontal="left"/>
    </xf>
    <xf numFmtId="43" fontId="28" fillId="3" borderId="0" xfId="3" applyFont="1" applyFill="1" applyAlignment="1"/>
    <xf numFmtId="43" fontId="27" fillId="4" borderId="1" xfId="3" applyFont="1" applyFill="1" applyBorder="1" applyAlignment="1"/>
    <xf numFmtId="43" fontId="28" fillId="3" borderId="0" xfId="6" applyFont="1" applyFill="1" applyAlignment="1"/>
    <xf numFmtId="43" fontId="27" fillId="0" borderId="2" xfId="3" applyFont="1" applyFill="1" applyBorder="1" applyAlignment="1"/>
    <xf numFmtId="43" fontId="27" fillId="3" borderId="2" xfId="3" applyFont="1" applyFill="1" applyBorder="1" applyAlignment="1"/>
    <xf numFmtId="0" fontId="28" fillId="0" borderId="0" xfId="10" applyFont="1" applyAlignment="1">
      <alignment horizontal="left"/>
    </xf>
    <xf numFmtId="166" fontId="29" fillId="0" borderId="0" xfId="17" applyNumberFormat="1" applyFont="1"/>
    <xf numFmtId="166" fontId="28" fillId="0" borderId="0" xfId="16" applyNumberFormat="1" applyFont="1" applyAlignment="1">
      <alignment horizontal="left"/>
    </xf>
    <xf numFmtId="43" fontId="28" fillId="0" borderId="0" xfId="3" applyFont="1" applyAlignment="1">
      <alignment horizontal="left"/>
    </xf>
    <xf numFmtId="43" fontId="29" fillId="4" borderId="1" xfId="3" applyFont="1" applyFill="1" applyBorder="1" applyAlignment="1"/>
    <xf numFmtId="1" fontId="28" fillId="0" borderId="0" xfId="10" applyNumberFormat="1" applyFont="1" applyAlignment="1"/>
    <xf numFmtId="43" fontId="29" fillId="0" borderId="1" xfId="3" applyFont="1" applyFill="1" applyBorder="1" applyAlignment="1"/>
    <xf numFmtId="166" fontId="30" fillId="0" borderId="0" xfId="17" applyNumberFormat="1" applyFont="1"/>
    <xf numFmtId="43" fontId="28" fillId="0" borderId="0" xfId="6" applyFont="1" applyFill="1" applyAlignment="1"/>
    <xf numFmtId="43" fontId="31" fillId="0" borderId="0" xfId="3" applyFont="1" applyFill="1" applyAlignment="1"/>
    <xf numFmtId="43" fontId="28" fillId="0" borderId="0" xfId="3" applyFont="1" applyFill="1" applyAlignment="1"/>
    <xf numFmtId="43" fontId="28" fillId="6" borderId="0" xfId="3" applyFont="1" applyFill="1" applyAlignment="1"/>
    <xf numFmtId="43" fontId="31" fillId="0" borderId="0" xfId="3" applyFont="1" applyFill="1" applyBorder="1" applyAlignment="1"/>
    <xf numFmtId="43" fontId="28" fillId="0" borderId="0" xfId="3" applyFont="1" applyFill="1" applyAlignment="1">
      <alignment vertical="top" wrapText="1" readingOrder="1"/>
    </xf>
    <xf numFmtId="43" fontId="28" fillId="2" borderId="0" xfId="3" applyFont="1" applyFill="1" applyAlignment="1"/>
    <xf numFmtId="4" fontId="28" fillId="0" borderId="0" xfId="3" applyNumberFormat="1" applyFont="1" applyAlignment="1"/>
    <xf numFmtId="4" fontId="32" fillId="0" borderId="1" xfId="3" applyNumberFormat="1" applyFont="1" applyFill="1" applyBorder="1" applyAlignment="1"/>
    <xf numFmtId="43" fontId="27" fillId="0" borderId="3" xfId="3" applyFont="1" applyFill="1" applyBorder="1" applyAlignment="1"/>
    <xf numFmtId="43" fontId="27" fillId="3" borderId="1" xfId="3" applyFont="1" applyFill="1" applyBorder="1" applyAlignment="1"/>
    <xf numFmtId="43" fontId="27" fillId="0" borderId="1" xfId="3" applyFont="1" applyFill="1" applyBorder="1" applyAlignment="1"/>
    <xf numFmtId="39" fontId="28" fillId="0" borderId="0" xfId="10" applyNumberFormat="1" applyFont="1" applyAlignment="1"/>
    <xf numFmtId="43" fontId="33" fillId="0" borderId="0" xfId="3" applyFont="1" applyAlignment="1"/>
    <xf numFmtId="43" fontId="33" fillId="0" borderId="0" xfId="3" applyFont="1" applyFill="1" applyAlignment="1"/>
    <xf numFmtId="43" fontId="34" fillId="0" borderId="0" xfId="3" applyFont="1" applyFill="1" applyAlignment="1"/>
    <xf numFmtId="0" fontId="19" fillId="0" borderId="14" xfId="10" applyFont="1" applyBorder="1" applyAlignment="1">
      <alignment horizontal="left" vertical="top" wrapText="1"/>
    </xf>
    <xf numFmtId="0" fontId="24" fillId="0" borderId="14" xfId="0" applyFont="1" applyBorder="1" applyAlignment="1">
      <alignment horizontal="left" vertical="top" wrapText="1"/>
    </xf>
    <xf numFmtId="0" fontId="19" fillId="0" borderId="15" xfId="10" applyFont="1" applyBorder="1" applyAlignment="1">
      <alignment horizontal="left" vertical="top" wrapText="1"/>
    </xf>
    <xf numFmtId="3" fontId="8" fillId="0" borderId="0" xfId="10" applyNumberFormat="1" applyFont="1" applyAlignment="1">
      <alignment horizontal="left" vertical="top"/>
    </xf>
    <xf numFmtId="43" fontId="28" fillId="6" borderId="16" xfId="3" applyFont="1" applyFill="1" applyBorder="1" applyAlignment="1"/>
    <xf numFmtId="43" fontId="28" fillId="0" borderId="0" xfId="1" applyFont="1" applyAlignment="1"/>
    <xf numFmtId="43" fontId="9" fillId="5" borderId="1" xfId="3" applyFont="1" applyFill="1" applyBorder="1" applyAlignment="1"/>
    <xf numFmtId="43" fontId="27" fillId="6" borderId="1" xfId="3" applyFont="1" applyFill="1" applyBorder="1" applyAlignment="1"/>
    <xf numFmtId="0" fontId="28" fillId="0" borderId="0" xfId="10" applyFont="1" applyAlignment="1">
      <alignment horizontal="left" vertical="top"/>
    </xf>
    <xf numFmtId="0" fontId="28" fillId="0" borderId="17" xfId="10" applyFont="1" applyBorder="1" applyAlignment="1">
      <alignment horizontal="left" vertical="top"/>
    </xf>
    <xf numFmtId="0" fontId="24" fillId="0" borderId="6" xfId="0" applyFont="1" applyBorder="1" applyAlignment="1">
      <alignment horizontal="left" vertical="top"/>
    </xf>
    <xf numFmtId="43" fontId="9" fillId="0" borderId="2" xfId="3" applyFont="1" applyFill="1" applyBorder="1" applyAlignment="1"/>
    <xf numFmtId="43" fontId="28" fillId="6" borderId="18" xfId="3" applyFont="1" applyFill="1" applyBorder="1" applyAlignment="1"/>
    <xf numFmtId="43" fontId="17" fillId="6" borderId="18" xfId="1" applyFont="1" applyFill="1" applyBorder="1">
      <alignment vertical="top"/>
    </xf>
    <xf numFmtId="43" fontId="10" fillId="6" borderId="18" xfId="3" applyFont="1" applyFill="1" applyBorder="1" applyAlignment="1"/>
    <xf numFmtId="43" fontId="10" fillId="0" borderId="19" xfId="3" applyFont="1" applyBorder="1" applyAlignment="1"/>
    <xf numFmtId="4" fontId="19" fillId="6" borderId="3" xfId="3" applyNumberFormat="1" applyFont="1" applyFill="1" applyBorder="1">
      <alignment vertical="top"/>
    </xf>
    <xf numFmtId="43" fontId="19" fillId="6" borderId="0" xfId="3" applyFont="1" applyFill="1">
      <alignment vertical="top"/>
    </xf>
    <xf numFmtId="43" fontId="35" fillId="0" borderId="0" xfId="3" applyFont="1" applyAlignment="1"/>
    <xf numFmtId="49" fontId="36" fillId="0" borderId="0" xfId="19" applyNumberFormat="1" applyFont="1"/>
    <xf numFmtId="43" fontId="10" fillId="8" borderId="0" xfId="3" applyFont="1" applyFill="1" applyAlignment="1"/>
    <xf numFmtId="43" fontId="12" fillId="8" borderId="0" xfId="3" applyFont="1" applyFill="1" applyAlignment="1"/>
    <xf numFmtId="43" fontId="10" fillId="3" borderId="0" xfId="3" applyFont="1" applyFill="1" applyAlignment="1"/>
    <xf numFmtId="43" fontId="12" fillId="3" borderId="0" xfId="3" applyFont="1" applyFill="1" applyAlignment="1"/>
    <xf numFmtId="43" fontId="34" fillId="8" borderId="18" xfId="1" applyFont="1" applyFill="1" applyBorder="1">
      <alignment vertical="top"/>
    </xf>
    <xf numFmtId="43" fontId="19" fillId="0" borderId="3" xfId="3" applyFont="1" applyFill="1" applyBorder="1">
      <alignment vertical="top"/>
    </xf>
    <xf numFmtId="4" fontId="19" fillId="0" borderId="3" xfId="3" applyNumberFormat="1" applyFont="1" applyFill="1" applyBorder="1">
      <alignment vertical="top"/>
    </xf>
    <xf numFmtId="4" fontId="8" fillId="0" borderId="3" xfId="3" applyNumberFormat="1" applyFont="1" applyFill="1" applyBorder="1">
      <alignment vertical="top"/>
    </xf>
    <xf numFmtId="43" fontId="19" fillId="8" borderId="0" xfId="1" applyFont="1" applyFill="1">
      <alignment vertical="top"/>
    </xf>
    <xf numFmtId="43" fontId="19" fillId="8" borderId="0" xfId="3" applyFont="1" applyFill="1">
      <alignment vertical="top"/>
    </xf>
    <xf numFmtId="43" fontId="8" fillId="8" borderId="0" xfId="1" applyFont="1" applyFill="1">
      <alignment vertical="top"/>
    </xf>
    <xf numFmtId="43" fontId="8" fillId="8" borderId="0" xfId="3" applyFont="1" applyFill="1">
      <alignment vertical="top"/>
    </xf>
    <xf numFmtId="43" fontId="19" fillId="0" borderId="0" xfId="1" applyFont="1" applyAlignment="1">
      <alignment vertical="top" wrapText="1"/>
    </xf>
    <xf numFmtId="43" fontId="19" fillId="6" borderId="0" xfId="1" applyFont="1" applyFill="1">
      <alignment vertical="top"/>
    </xf>
    <xf numFmtId="43" fontId="8" fillId="6" borderId="0" xfId="1" applyFont="1" applyFill="1">
      <alignment vertical="top"/>
    </xf>
    <xf numFmtId="0" fontId="8" fillId="6" borderId="0" xfId="10" applyFont="1" applyFill="1">
      <alignment vertical="top"/>
    </xf>
    <xf numFmtId="0" fontId="8" fillId="6" borderId="0" xfId="10" applyFont="1" applyFill="1" applyAlignment="1">
      <alignment horizontal="right" vertical="top"/>
    </xf>
    <xf numFmtId="0" fontId="24" fillId="0" borderId="20" xfId="0" applyFont="1" applyBorder="1" applyAlignment="1">
      <alignment vertical="top" wrapText="1"/>
    </xf>
    <xf numFmtId="43" fontId="24" fillId="0" borderId="20" xfId="1" applyFont="1" applyFill="1" applyBorder="1" applyAlignment="1">
      <alignment vertical="top" wrapText="1"/>
    </xf>
    <xf numFmtId="43" fontId="24" fillId="0" borderId="20" xfId="1" applyFont="1" applyFill="1" applyBorder="1">
      <alignment vertical="top"/>
    </xf>
    <xf numFmtId="0" fontId="19" fillId="0" borderId="21" xfId="10" applyFont="1" applyBorder="1" applyAlignment="1">
      <alignment horizontal="left" vertical="top" wrapText="1"/>
    </xf>
    <xf numFmtId="0" fontId="28" fillId="0" borderId="22" xfId="10" applyFont="1" applyBorder="1" applyAlignment="1">
      <alignment horizontal="left" vertical="top"/>
    </xf>
    <xf numFmtId="0" fontId="24" fillId="0" borderId="7" xfId="0" applyFont="1" applyBorder="1">
      <alignment vertical="top"/>
    </xf>
    <xf numFmtId="0" fontId="24" fillId="0" borderId="23" xfId="0" applyFont="1" applyBorder="1">
      <alignment vertical="top"/>
    </xf>
    <xf numFmtId="43" fontId="24" fillId="0" borderId="23" xfId="1" applyFont="1" applyFill="1" applyBorder="1">
      <alignment vertical="top"/>
    </xf>
    <xf numFmtId="43" fontId="24" fillId="0" borderId="6" xfId="1" applyFont="1" applyBorder="1">
      <alignment vertical="top"/>
    </xf>
    <xf numFmtId="43" fontId="13" fillId="9" borderId="0" xfId="0" applyNumberFormat="1" applyFont="1" applyFill="1">
      <alignment vertical="top"/>
    </xf>
    <xf numFmtId="43" fontId="19" fillId="0" borderId="0" xfId="1" applyFont="1" applyFill="1">
      <alignment vertical="top"/>
    </xf>
    <xf numFmtId="43" fontId="13" fillId="5" borderId="0" xfId="0" applyNumberFormat="1" applyFont="1" applyFill="1">
      <alignment vertical="top"/>
    </xf>
    <xf numFmtId="43" fontId="13" fillId="10" borderId="0" xfId="0" applyNumberFormat="1" applyFont="1" applyFill="1">
      <alignment vertical="top"/>
    </xf>
    <xf numFmtId="0" fontId="19" fillId="0" borderId="0" xfId="0" applyFont="1" applyAlignment="1">
      <alignment vertical="top" wrapText="1"/>
    </xf>
    <xf numFmtId="43" fontId="25" fillId="10" borderId="11" xfId="1" applyFont="1" applyFill="1" applyBorder="1" applyAlignment="1">
      <alignment vertical="top" wrapText="1"/>
    </xf>
    <xf numFmtId="43" fontId="25" fillId="7" borderId="11" xfId="1" applyFont="1" applyFill="1" applyBorder="1" applyAlignment="1">
      <alignment vertical="top" wrapText="1"/>
    </xf>
    <xf numFmtId="43" fontId="28" fillId="6" borderId="0" xfId="3" applyFont="1" applyFill="1" applyBorder="1" applyAlignment="1"/>
    <xf numFmtId="43" fontId="37" fillId="0" borderId="1" xfId="3" applyFont="1" applyFill="1" applyBorder="1" applyAlignment="1"/>
    <xf numFmtId="43" fontId="28" fillId="8" borderId="0" xfId="3" applyFont="1" applyFill="1" applyAlignment="1"/>
    <xf numFmtId="43" fontId="10" fillId="6" borderId="0" xfId="3" applyFont="1" applyFill="1" applyAlignment="1"/>
    <xf numFmtId="43" fontId="27" fillId="6" borderId="3" xfId="3" applyFont="1" applyFill="1" applyBorder="1" applyAlignment="1"/>
    <xf numFmtId="43" fontId="27" fillId="3" borderId="18" xfId="3" applyFont="1" applyFill="1" applyBorder="1" applyAlignment="1"/>
    <xf numFmtId="1" fontId="38" fillId="0" borderId="0" xfId="10" applyNumberFormat="1" applyFont="1">
      <alignment vertical="top"/>
    </xf>
    <xf numFmtId="167" fontId="38" fillId="0" borderId="0" xfId="3" applyNumberFormat="1" applyFont="1" applyFill="1">
      <alignment vertical="top"/>
    </xf>
    <xf numFmtId="167" fontId="38" fillId="0" borderId="0" xfId="3" applyNumberFormat="1" applyFont="1">
      <alignment vertical="top"/>
    </xf>
    <xf numFmtId="43" fontId="27" fillId="0" borderId="0" xfId="3" applyFont="1" applyAlignment="1"/>
    <xf numFmtId="43" fontId="27" fillId="4" borderId="2" xfId="3" applyFont="1" applyFill="1" applyBorder="1" applyAlignment="1"/>
    <xf numFmtId="43" fontId="28" fillId="6" borderId="0" xfId="6" applyFont="1" applyFill="1" applyAlignment="1"/>
    <xf numFmtId="43" fontId="27" fillId="4" borderId="12" xfId="3" applyFont="1" applyFill="1" applyBorder="1" applyAlignment="1"/>
    <xf numFmtId="43" fontId="27" fillId="6" borderId="12" xfId="3" applyFont="1" applyFill="1" applyBorder="1" applyAlignment="1"/>
    <xf numFmtId="43" fontId="27" fillId="5" borderId="1" xfId="3" applyFont="1" applyFill="1" applyBorder="1" applyAlignment="1"/>
    <xf numFmtId="0" fontId="28" fillId="2" borderId="0" xfId="10" applyFont="1" applyFill="1" applyAlignment="1">
      <alignment horizontal="left"/>
    </xf>
    <xf numFmtId="43" fontId="25" fillId="0" borderId="24" xfId="1" applyFont="1" applyFill="1" applyBorder="1" applyAlignment="1">
      <alignment vertical="top" wrapText="1"/>
    </xf>
    <xf numFmtId="43" fontId="25" fillId="7" borderId="10" xfId="1" applyFont="1" applyFill="1" applyBorder="1" applyAlignment="1">
      <alignment vertical="top" wrapText="1"/>
    </xf>
    <xf numFmtId="43" fontId="25" fillId="5" borderId="11" xfId="1" applyFont="1" applyFill="1" applyBorder="1" applyAlignment="1">
      <alignment vertical="top" wrapText="1"/>
    </xf>
    <xf numFmtId="43" fontId="25" fillId="6" borderId="10" xfId="1" applyFont="1" applyFill="1" applyBorder="1" applyAlignment="1">
      <alignment vertical="top" wrapText="1"/>
    </xf>
    <xf numFmtId="43" fontId="25" fillId="6" borderId="13" xfId="1" applyFont="1" applyFill="1" applyBorder="1" applyAlignment="1">
      <alignment vertical="top" wrapText="1"/>
    </xf>
    <xf numFmtId="43" fontId="25" fillId="6" borderId="24" xfId="1" applyFont="1" applyFill="1" applyBorder="1" applyAlignment="1">
      <alignment vertical="top" wrapText="1"/>
    </xf>
    <xf numFmtId="43" fontId="24" fillId="6" borderId="6" xfId="1" applyFont="1" applyFill="1" applyBorder="1" applyAlignment="1">
      <alignment horizontal="center" vertical="center"/>
    </xf>
    <xf numFmtId="39" fontId="24" fillId="6" borderId="6" xfId="0" applyNumberFormat="1" applyFont="1" applyFill="1" applyBorder="1">
      <alignment vertical="top"/>
    </xf>
    <xf numFmtId="43" fontId="24" fillId="6" borderId="7" xfId="1" applyFont="1" applyFill="1" applyBorder="1">
      <alignment vertical="top"/>
    </xf>
    <xf numFmtId="43" fontId="24" fillId="6" borderId="23" xfId="1" applyFont="1" applyFill="1" applyBorder="1">
      <alignment vertical="top"/>
    </xf>
    <xf numFmtId="43" fontId="13" fillId="6" borderId="0" xfId="0" applyNumberFormat="1" applyFont="1" applyFill="1">
      <alignment vertical="top"/>
    </xf>
    <xf numFmtId="43" fontId="13" fillId="8" borderId="0" xfId="0" applyNumberFormat="1" applyFont="1" applyFill="1">
      <alignment vertical="top"/>
    </xf>
    <xf numFmtId="43" fontId="39" fillId="6" borderId="11" xfId="1" applyFont="1" applyFill="1" applyBorder="1" applyAlignment="1">
      <alignment vertical="top" wrapText="1"/>
    </xf>
    <xf numFmtId="167" fontId="35" fillId="0" borderId="0" xfId="3" applyNumberFormat="1" applyFont="1" applyAlignment="1"/>
    <xf numFmtId="167" fontId="35" fillId="0" borderId="0" xfId="3" applyNumberFormat="1" applyFont="1" applyFill="1" applyBorder="1" applyAlignment="1"/>
    <xf numFmtId="43" fontId="25" fillId="8" borderId="11" xfId="1" applyFont="1" applyFill="1" applyBorder="1" applyAlignment="1">
      <alignment vertical="top" wrapText="1"/>
    </xf>
    <xf numFmtId="0" fontId="19" fillId="7" borderId="14" xfId="10" applyFont="1" applyFill="1" applyBorder="1" applyAlignment="1">
      <alignment horizontal="left" vertical="top" wrapText="1"/>
    </xf>
    <xf numFmtId="0" fontId="24" fillId="7" borderId="6" xfId="0" applyFont="1" applyFill="1" applyBorder="1" applyAlignment="1">
      <alignment horizontal="left" vertical="top" wrapText="1"/>
    </xf>
    <xf numFmtId="43" fontId="39" fillId="5" borderId="11" xfId="1" applyFont="1" applyFill="1" applyBorder="1" applyAlignment="1">
      <alignment vertical="top" wrapText="1"/>
    </xf>
    <xf numFmtId="43" fontId="25" fillId="11" borderId="11" xfId="1" applyFont="1" applyFill="1" applyBorder="1" applyAlignment="1">
      <alignment vertical="top" wrapText="1"/>
    </xf>
    <xf numFmtId="43" fontId="17" fillId="5" borderId="0" xfId="1" applyFont="1" applyFill="1">
      <alignment vertical="top"/>
    </xf>
    <xf numFmtId="43" fontId="39" fillId="0" borderId="11" xfId="1" applyFont="1" applyFill="1" applyBorder="1">
      <alignment vertical="top"/>
    </xf>
    <xf numFmtId="43" fontId="16" fillId="5" borderId="0" xfId="0" applyNumberFormat="1" applyFont="1" applyFill="1">
      <alignment vertical="top"/>
    </xf>
    <xf numFmtId="39" fontId="7" fillId="5" borderId="2" xfId="10" applyNumberFormat="1" applyFont="1" applyFill="1" applyBorder="1" applyAlignment="1">
      <alignment wrapText="1"/>
    </xf>
    <xf numFmtId="43" fontId="13" fillId="12" borderId="0" xfId="0" applyNumberFormat="1" applyFont="1" applyFill="1">
      <alignment vertical="top"/>
    </xf>
    <xf numFmtId="43" fontId="41" fillId="0" borderId="0" xfId="3" applyFont="1" applyFill="1">
      <alignment vertical="top"/>
    </xf>
    <xf numFmtId="0" fontId="21" fillId="5" borderId="0" xfId="10" applyFont="1" applyFill="1" applyAlignment="1">
      <alignment horizontal="left" vertical="top"/>
    </xf>
    <xf numFmtId="43" fontId="19" fillId="5" borderId="0" xfId="3" applyFont="1" applyFill="1" applyBorder="1">
      <alignment vertical="top"/>
    </xf>
    <xf numFmtId="0" fontId="19" fillId="5" borderId="0" xfId="10" applyFont="1" applyFill="1">
      <alignment vertical="top"/>
    </xf>
    <xf numFmtId="4" fontId="21" fillId="5" borderId="2" xfId="3" applyNumberFormat="1" applyFont="1" applyFill="1" applyBorder="1">
      <alignment vertical="top"/>
    </xf>
    <xf numFmtId="43" fontId="13" fillId="5" borderId="0" xfId="1" applyFont="1" applyFill="1">
      <alignment vertical="top"/>
    </xf>
    <xf numFmtId="0" fontId="13" fillId="0" borderId="0" xfId="0" applyFont="1" applyAlignment="1">
      <alignment horizontal="right" vertical="top"/>
    </xf>
    <xf numFmtId="43" fontId="9" fillId="5" borderId="2" xfId="3" applyFont="1" applyFill="1" applyBorder="1" applyAlignment="1"/>
    <xf numFmtId="43" fontId="19" fillId="5" borderId="0" xfId="1" applyFont="1" applyFill="1">
      <alignment vertical="top"/>
    </xf>
    <xf numFmtId="43" fontId="19" fillId="5" borderId="0" xfId="3" applyFont="1" applyFill="1">
      <alignment vertical="top"/>
    </xf>
    <xf numFmtId="43" fontId="13" fillId="5" borderId="5" xfId="1" applyFont="1" applyFill="1" applyBorder="1" applyAlignment="1">
      <alignment horizontal="center" vertical="top"/>
    </xf>
    <xf numFmtId="43" fontId="17" fillId="5" borderId="5" xfId="1" applyFont="1" applyFill="1" applyBorder="1" applyAlignment="1">
      <alignment horizontal="center" vertical="top"/>
    </xf>
    <xf numFmtId="0" fontId="19" fillId="0" borderId="0" xfId="10" applyFont="1" applyAlignment="1">
      <alignment horizontal="left" vertical="top" wrapText="1"/>
    </xf>
    <xf numFmtId="3" fontId="8" fillId="0" borderId="0" xfId="10" applyNumberFormat="1" applyFont="1" applyAlignment="1">
      <alignment horizontal="left" vertical="top"/>
    </xf>
    <xf numFmtId="0" fontId="8" fillId="0" borderId="0" xfId="10" applyFont="1" applyAlignment="1">
      <alignment horizontal="left" vertical="top"/>
    </xf>
  </cellXfs>
  <cellStyles count="20">
    <cellStyle name="Comma" xfId="1" builtinId="3"/>
    <cellStyle name="Comma 2" xfId="2" xr:uid="{00000000-0005-0000-0000-000001000000}"/>
    <cellStyle name="Comma 2 2" xfId="3" xr:uid="{00000000-0005-0000-0000-000002000000}"/>
    <cellStyle name="Comma 2 3" xfId="4" xr:uid="{00000000-0005-0000-0000-000003000000}"/>
    <cellStyle name="Comma 3" xfId="5" xr:uid="{00000000-0005-0000-0000-000004000000}"/>
    <cellStyle name="Comma 3 2" xfId="6" xr:uid="{00000000-0005-0000-0000-000005000000}"/>
    <cellStyle name="Comma 3 3" xfId="7" xr:uid="{00000000-0005-0000-0000-000006000000}"/>
    <cellStyle name="Comma 3 4" xfId="18" xr:uid="{B03E615B-DE03-4229-BB76-F667A6EF2AFE}"/>
    <cellStyle name="Comma 4" xfId="8" xr:uid="{00000000-0005-0000-0000-000007000000}"/>
    <cellStyle name="Normal" xfId="0" builtinId="0"/>
    <cellStyle name="Normal 18" xfId="19" xr:uid="{A07C77DC-6E6E-42D7-BEE8-34D147EFC4B1}"/>
    <cellStyle name="Normal 2" xfId="9" xr:uid="{00000000-0005-0000-0000-000009000000}"/>
    <cellStyle name="Normal 2 2" xfId="10" xr:uid="{00000000-0005-0000-0000-00000A000000}"/>
    <cellStyle name="Normal 2 3" xfId="11" xr:uid="{00000000-0005-0000-0000-00000B000000}"/>
    <cellStyle name="Normal 3" xfId="12" xr:uid="{00000000-0005-0000-0000-00000C000000}"/>
    <cellStyle name="Normal 3 2" xfId="13" xr:uid="{00000000-0005-0000-0000-00000D000000}"/>
    <cellStyle name="Normal 3 3" xfId="14" xr:uid="{00000000-0005-0000-0000-00000E000000}"/>
    <cellStyle name="Normal 4" xfId="15" xr:uid="{00000000-0005-0000-0000-00000F000000}"/>
    <cellStyle name="Normal_Book12" xfId="16" xr:uid="{00000000-0005-0000-0000-000010000000}"/>
    <cellStyle name="標準 2" xfId="17" xr:uid="{00000000-0005-0000-0000-000011000000}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60"/>
  <sheetViews>
    <sheetView showGridLines="0" showOutlineSymbols="0" topLeftCell="A147" zoomScale="70" zoomScaleNormal="70" workbookViewId="0">
      <selection activeCell="F155" sqref="F155"/>
    </sheetView>
  </sheetViews>
  <sheetFormatPr defaultColWidth="6.6640625" defaultRowHeight="31.2" customHeight="1"/>
  <cols>
    <col min="1" max="1" width="22.33203125" style="31" customWidth="1"/>
    <col min="2" max="2" width="56.6640625" style="31" customWidth="1"/>
    <col min="3" max="4" width="27.44140625" style="33" customWidth="1"/>
    <col min="5" max="9" width="27.44140625" style="47" customWidth="1"/>
    <col min="10" max="10" width="28.33203125" style="31" customWidth="1"/>
    <col min="11" max="16384" width="6.6640625" style="31"/>
  </cols>
  <sheetData>
    <row r="2" spans="1:10" ht="31.2" customHeight="1">
      <c r="A2" s="37" t="s">
        <v>0</v>
      </c>
      <c r="C2" s="34"/>
      <c r="D2" s="34"/>
      <c r="E2" s="46"/>
      <c r="F2" s="46"/>
      <c r="G2" s="46"/>
      <c r="H2" s="46"/>
    </row>
    <row r="3" spans="1:10" ht="31.2" customHeight="1">
      <c r="A3" s="38" t="s">
        <v>301</v>
      </c>
      <c r="C3" s="34"/>
      <c r="D3" s="34"/>
      <c r="E3" s="46"/>
      <c r="F3" s="46"/>
      <c r="G3" s="46"/>
      <c r="H3" s="46"/>
    </row>
    <row r="4" spans="1:10" ht="31.2" customHeight="1">
      <c r="C4" s="34"/>
      <c r="D4" s="34"/>
      <c r="E4" s="46"/>
      <c r="F4" s="46"/>
      <c r="G4" s="46"/>
      <c r="H4" s="46"/>
    </row>
    <row r="5" spans="1:10" ht="31.2" customHeight="1">
      <c r="A5" s="32"/>
      <c r="D5" s="34"/>
      <c r="F5" s="46"/>
      <c r="G5" s="46"/>
      <c r="I5" s="46"/>
    </row>
    <row r="6" spans="1:10" ht="31.2" customHeight="1">
      <c r="A6" s="36" t="s">
        <v>251</v>
      </c>
      <c r="B6" s="36" t="s">
        <v>250</v>
      </c>
      <c r="C6" s="256" t="s">
        <v>231</v>
      </c>
      <c r="D6" s="256"/>
      <c r="E6" s="257" t="s">
        <v>232</v>
      </c>
      <c r="F6" s="257"/>
      <c r="G6" s="54" t="s">
        <v>254</v>
      </c>
      <c r="H6" s="257" t="s">
        <v>233</v>
      </c>
      <c r="I6" s="257"/>
    </row>
    <row r="7" spans="1:10" ht="31.2" customHeight="1">
      <c r="A7" s="35"/>
      <c r="B7" s="35"/>
      <c r="C7" s="42"/>
      <c r="D7" s="42"/>
      <c r="E7" s="48"/>
      <c r="F7" s="48"/>
      <c r="G7" s="48"/>
      <c r="H7" s="48"/>
      <c r="I7" s="48"/>
    </row>
    <row r="8" spans="1:10" ht="31.2" customHeight="1">
      <c r="A8" s="90">
        <f>BS!C9</f>
        <v>1011</v>
      </c>
      <c r="B8" s="65" t="s">
        <v>257</v>
      </c>
      <c r="C8" s="66">
        <v>6685000</v>
      </c>
      <c r="D8" s="67">
        <v>0</v>
      </c>
      <c r="E8" s="68">
        <v>71485000</v>
      </c>
      <c r="F8" s="68">
        <v>73642500</v>
      </c>
      <c r="G8" s="69">
        <v>-2157500</v>
      </c>
      <c r="H8" s="68">
        <v>4527500</v>
      </c>
      <c r="I8" s="70">
        <v>0</v>
      </c>
      <c r="J8" s="43">
        <f>H8</f>
        <v>4527500</v>
      </c>
    </row>
    <row r="9" spans="1:10" ht="31.2" customHeight="1">
      <c r="A9" s="152">
        <v>1012.01</v>
      </c>
      <c r="B9" s="72" t="s">
        <v>258</v>
      </c>
      <c r="C9" s="73">
        <v>50388</v>
      </c>
      <c r="D9" s="74">
        <v>0</v>
      </c>
      <c r="E9" s="75">
        <v>1632</v>
      </c>
      <c r="F9" s="75">
        <v>0</v>
      </c>
      <c r="G9" s="76">
        <v>1632</v>
      </c>
      <c r="H9" s="75">
        <v>52020</v>
      </c>
      <c r="I9" s="77">
        <v>0</v>
      </c>
      <c r="J9" s="43">
        <f t="shared" ref="J9:J67" si="0">H9</f>
        <v>52020</v>
      </c>
    </row>
    <row r="10" spans="1:10" ht="31.2" customHeight="1">
      <c r="A10" s="152">
        <v>1012.02</v>
      </c>
      <c r="B10" s="72" t="s">
        <v>259</v>
      </c>
      <c r="C10" s="73">
        <v>18491595</v>
      </c>
      <c r="D10" s="74">
        <v>0</v>
      </c>
      <c r="E10" s="75">
        <v>0</v>
      </c>
      <c r="F10" s="75">
        <v>464340</v>
      </c>
      <c r="G10" s="76">
        <v>-464340</v>
      </c>
      <c r="H10" s="75">
        <v>18027255</v>
      </c>
      <c r="I10" s="77">
        <v>0</v>
      </c>
      <c r="J10" s="43">
        <f t="shared" si="0"/>
        <v>18027255</v>
      </c>
    </row>
    <row r="11" spans="1:10" ht="31.2" customHeight="1">
      <c r="A11" s="152">
        <v>1021.01</v>
      </c>
      <c r="B11" s="78" t="s">
        <v>260</v>
      </c>
      <c r="C11" s="73">
        <v>446493412.01999998</v>
      </c>
      <c r="D11" s="74">
        <v>0</v>
      </c>
      <c r="E11" s="75">
        <v>1454032750</v>
      </c>
      <c r="F11" s="75">
        <v>1124652304.04</v>
      </c>
      <c r="G11" s="76">
        <v>329380445.96000004</v>
      </c>
      <c r="H11" s="75">
        <v>775873857.98000002</v>
      </c>
      <c r="I11" s="77">
        <v>0</v>
      </c>
      <c r="J11" s="43">
        <f t="shared" si="0"/>
        <v>775873857.98000002</v>
      </c>
    </row>
    <row r="12" spans="1:10" ht="31.2" customHeight="1">
      <c r="A12" s="152">
        <v>1021.02</v>
      </c>
      <c r="B12" s="72" t="s">
        <v>261</v>
      </c>
      <c r="C12" s="73">
        <v>11210420</v>
      </c>
      <c r="D12" s="74">
        <v>0</v>
      </c>
      <c r="E12" s="75">
        <v>0</v>
      </c>
      <c r="F12" s="75">
        <v>0</v>
      </c>
      <c r="G12" s="76">
        <v>0</v>
      </c>
      <c r="H12" s="75">
        <v>11210420</v>
      </c>
      <c r="I12" s="77">
        <v>0</v>
      </c>
      <c r="J12" s="43">
        <f t="shared" si="0"/>
        <v>11210420</v>
      </c>
    </row>
    <row r="13" spans="1:10" ht="31.2" customHeight="1">
      <c r="A13" s="152">
        <v>1021.03</v>
      </c>
      <c r="B13" s="72" t="s">
        <v>129</v>
      </c>
      <c r="C13" s="73"/>
      <c r="D13" s="74"/>
      <c r="E13" s="75"/>
      <c r="F13" s="75"/>
      <c r="G13" s="76"/>
      <c r="H13" s="75"/>
      <c r="I13" s="77"/>
      <c r="J13" s="43"/>
    </row>
    <row r="14" spans="1:10" ht="31.2" customHeight="1">
      <c r="A14" s="71">
        <v>1022.01</v>
      </c>
      <c r="B14" s="72" t="s">
        <v>6</v>
      </c>
      <c r="C14" s="73">
        <v>996669586.38</v>
      </c>
      <c r="D14" s="74">
        <v>0</v>
      </c>
      <c r="E14" s="75">
        <v>586985866.32000005</v>
      </c>
      <c r="F14" s="75">
        <v>1182647715.9000001</v>
      </c>
      <c r="G14" s="76">
        <v>-595661849.58000004</v>
      </c>
      <c r="H14" s="75">
        <v>401007736.79999995</v>
      </c>
      <c r="I14" s="77">
        <v>0</v>
      </c>
      <c r="J14" s="43">
        <f t="shared" si="0"/>
        <v>401007736.79999995</v>
      </c>
    </row>
    <row r="15" spans="1:10" ht="31.2" customHeight="1">
      <c r="A15" s="71">
        <v>1022.02</v>
      </c>
      <c r="B15" s="72" t="s">
        <v>262</v>
      </c>
      <c r="C15" s="73">
        <v>1622154769.8499999</v>
      </c>
      <c r="D15" s="74">
        <v>0</v>
      </c>
      <c r="E15" s="75">
        <v>166119038.94999999</v>
      </c>
      <c r="F15" s="75">
        <v>886319967.96000004</v>
      </c>
      <c r="G15" s="76">
        <v>-720200929.00999999</v>
      </c>
      <c r="H15" s="75">
        <v>901953840.83999979</v>
      </c>
      <c r="I15" s="77">
        <v>0</v>
      </c>
      <c r="J15" s="43">
        <f t="shared" si="0"/>
        <v>901953840.83999979</v>
      </c>
    </row>
    <row r="16" spans="1:10" ht="31.2" customHeight="1">
      <c r="A16" s="71">
        <v>1022.03</v>
      </c>
      <c r="B16" s="72" t="s">
        <v>8</v>
      </c>
      <c r="C16" s="73"/>
      <c r="D16" s="74"/>
      <c r="E16" s="75"/>
      <c r="F16" s="75"/>
      <c r="G16" s="76"/>
      <c r="H16" s="75"/>
      <c r="I16" s="77"/>
      <c r="J16" s="43"/>
    </row>
    <row r="17" spans="1:10" ht="31.2" customHeight="1">
      <c r="A17" s="71">
        <v>1022.04</v>
      </c>
      <c r="B17" s="72" t="s">
        <v>9</v>
      </c>
      <c r="C17" s="73"/>
      <c r="D17" s="74"/>
      <c r="E17" s="75"/>
      <c r="F17" s="75"/>
      <c r="G17" s="76"/>
      <c r="H17" s="75"/>
      <c r="I17" s="77"/>
      <c r="J17" s="43"/>
    </row>
    <row r="18" spans="1:10" ht="31.2" customHeight="1">
      <c r="A18" s="71">
        <v>1022.05</v>
      </c>
      <c r="B18" s="72" t="s">
        <v>263</v>
      </c>
      <c r="C18" s="74">
        <v>132218378.76000001</v>
      </c>
      <c r="D18" s="73">
        <v>0</v>
      </c>
      <c r="E18" s="75">
        <v>4282376.6399999997</v>
      </c>
      <c r="F18" s="75">
        <v>0</v>
      </c>
      <c r="G18" s="76">
        <v>4282376.6399999997</v>
      </c>
      <c r="H18" s="75">
        <v>136500755.40000001</v>
      </c>
      <c r="I18" s="77">
        <v>0</v>
      </c>
      <c r="J18" s="43">
        <f t="shared" si="0"/>
        <v>136500755.40000001</v>
      </c>
    </row>
    <row r="19" spans="1:10" ht="31.2" customHeight="1">
      <c r="A19" s="71">
        <v>1022.06</v>
      </c>
      <c r="B19" s="72" t="s">
        <v>264</v>
      </c>
      <c r="C19" s="73">
        <v>1227737.73</v>
      </c>
      <c r="D19" s="74">
        <v>0</v>
      </c>
      <c r="E19" s="75">
        <v>846350</v>
      </c>
      <c r="F19" s="75">
        <v>250880.56</v>
      </c>
      <c r="G19" s="76">
        <v>595469.43999999994</v>
      </c>
      <c r="H19" s="75">
        <v>1823207.17</v>
      </c>
      <c r="I19" s="77">
        <v>0</v>
      </c>
      <c r="J19" s="43">
        <f t="shared" si="0"/>
        <v>1823207.17</v>
      </c>
    </row>
    <row r="20" spans="1:10" ht="31.2" customHeight="1">
      <c r="A20" s="71">
        <v>1022.07</v>
      </c>
      <c r="B20" s="72" t="s">
        <v>265</v>
      </c>
      <c r="C20" s="73">
        <v>3619838240</v>
      </c>
      <c r="D20" s="74">
        <v>0</v>
      </c>
      <c r="E20" s="75">
        <v>0</v>
      </c>
      <c r="F20" s="75">
        <v>90981915</v>
      </c>
      <c r="G20" s="76">
        <v>-90981915</v>
      </c>
      <c r="H20" s="75">
        <v>3528856325</v>
      </c>
      <c r="I20" s="77">
        <v>0</v>
      </c>
      <c r="J20" s="43">
        <f t="shared" si="0"/>
        <v>3528856325</v>
      </c>
    </row>
    <row r="21" spans="1:10" ht="31.2" customHeight="1">
      <c r="A21" s="71">
        <v>1022.08</v>
      </c>
      <c r="B21" s="72" t="s">
        <v>266</v>
      </c>
      <c r="C21" s="73">
        <v>0</v>
      </c>
      <c r="D21" s="74">
        <v>0</v>
      </c>
      <c r="E21" s="75">
        <v>677080000</v>
      </c>
      <c r="F21" s="75">
        <v>0</v>
      </c>
      <c r="G21" s="76">
        <v>677080000</v>
      </c>
      <c r="H21" s="75">
        <v>677080000</v>
      </c>
      <c r="I21" s="77">
        <v>0</v>
      </c>
      <c r="J21" s="43">
        <f t="shared" si="0"/>
        <v>677080000</v>
      </c>
    </row>
    <row r="22" spans="1:10" ht="31.2" customHeight="1">
      <c r="A22" s="153">
        <v>1134</v>
      </c>
      <c r="B22" s="72" t="s">
        <v>132</v>
      </c>
      <c r="C22" s="73"/>
      <c r="D22" s="74"/>
      <c r="E22" s="75"/>
      <c r="F22" s="75"/>
      <c r="G22" s="76"/>
      <c r="H22" s="75"/>
      <c r="I22" s="77"/>
      <c r="J22" s="43"/>
    </row>
    <row r="23" spans="1:10" ht="31.2" customHeight="1">
      <c r="A23" s="154">
        <v>1211</v>
      </c>
      <c r="B23" s="72" t="s">
        <v>13</v>
      </c>
      <c r="C23" s="73">
        <v>1214743436.3199999</v>
      </c>
      <c r="D23" s="74">
        <v>0</v>
      </c>
      <c r="E23" s="75">
        <v>3525343950.5799999</v>
      </c>
      <c r="F23" s="75">
        <v>1603364037.5499997</v>
      </c>
      <c r="G23" s="76">
        <v>1921979913.0300002</v>
      </c>
      <c r="H23" s="75">
        <v>3136723349.3499999</v>
      </c>
      <c r="I23" s="77">
        <v>0</v>
      </c>
      <c r="J23" s="43">
        <f t="shared" si="0"/>
        <v>3136723349.3499999</v>
      </c>
    </row>
    <row r="24" spans="1:10" ht="31.2" customHeight="1">
      <c r="A24" s="152">
        <v>124.01</v>
      </c>
      <c r="B24" s="72" t="s">
        <v>14</v>
      </c>
      <c r="C24" s="73">
        <v>78955989.359999999</v>
      </c>
      <c r="D24" s="74">
        <v>0</v>
      </c>
      <c r="E24" s="75">
        <v>3345000</v>
      </c>
      <c r="F24" s="75">
        <v>54126000</v>
      </c>
      <c r="G24" s="76">
        <v>-50781000</v>
      </c>
      <c r="H24" s="75">
        <v>28174989.359999999</v>
      </c>
      <c r="I24" s="77">
        <v>0</v>
      </c>
      <c r="J24" s="43">
        <f t="shared" si="0"/>
        <v>28174989.359999999</v>
      </c>
    </row>
    <row r="25" spans="1:10" ht="31.2" customHeight="1">
      <c r="A25" s="152">
        <v>1311.01</v>
      </c>
      <c r="B25" s="72" t="s">
        <v>15</v>
      </c>
      <c r="C25" s="74">
        <v>84288750</v>
      </c>
      <c r="D25" s="73">
        <v>0</v>
      </c>
      <c r="E25" s="75">
        <v>211415400</v>
      </c>
      <c r="F25" s="75">
        <v>180839395.5</v>
      </c>
      <c r="G25" s="76">
        <v>30576004.5</v>
      </c>
      <c r="H25" s="75">
        <v>114864754.5</v>
      </c>
      <c r="I25" s="77">
        <v>0</v>
      </c>
      <c r="J25" s="43">
        <f t="shared" si="0"/>
        <v>114864754.5</v>
      </c>
    </row>
    <row r="26" spans="1:10" ht="31.2" customHeight="1">
      <c r="A26" s="152">
        <v>1311.02</v>
      </c>
      <c r="B26" s="72" t="s">
        <v>16</v>
      </c>
      <c r="C26" s="73">
        <v>40971199.909999996</v>
      </c>
      <c r="D26" s="74">
        <v>0</v>
      </c>
      <c r="E26" s="75">
        <v>194389562</v>
      </c>
      <c r="F26" s="75">
        <v>180115390.47999999</v>
      </c>
      <c r="G26" s="76">
        <v>14274171.520000011</v>
      </c>
      <c r="H26" s="75">
        <v>55245371.430000007</v>
      </c>
      <c r="I26" s="77">
        <v>0</v>
      </c>
      <c r="J26" s="43">
        <f t="shared" si="0"/>
        <v>55245371.430000007</v>
      </c>
    </row>
    <row r="27" spans="1:10" ht="31.2" customHeight="1">
      <c r="A27" s="152">
        <v>1311.03</v>
      </c>
      <c r="B27" s="72" t="s">
        <v>17</v>
      </c>
      <c r="C27" s="73">
        <v>93782556.519999996</v>
      </c>
      <c r="D27" s="74">
        <v>0</v>
      </c>
      <c r="E27" s="75">
        <v>659145186.39999998</v>
      </c>
      <c r="F27" s="75">
        <v>670732085.24000001</v>
      </c>
      <c r="G27" s="76">
        <v>-11586898.840000033</v>
      </c>
      <c r="H27" s="75">
        <v>82195657.679999948</v>
      </c>
      <c r="I27" s="77">
        <v>0</v>
      </c>
      <c r="J27" s="43">
        <f t="shared" si="0"/>
        <v>82195657.679999948</v>
      </c>
    </row>
    <row r="28" spans="1:10" ht="31.2" customHeight="1">
      <c r="A28" s="152">
        <v>1311.04</v>
      </c>
      <c r="B28" s="72" t="s">
        <v>18</v>
      </c>
      <c r="C28" s="73">
        <v>3218657</v>
      </c>
      <c r="D28" s="74">
        <v>0</v>
      </c>
      <c r="E28" s="75">
        <v>84764248</v>
      </c>
      <c r="F28" s="75">
        <v>74077500</v>
      </c>
      <c r="G28" s="76">
        <v>10686748</v>
      </c>
      <c r="H28" s="75">
        <v>13905405</v>
      </c>
      <c r="I28" s="77">
        <v>0</v>
      </c>
      <c r="J28" s="43">
        <f t="shared" si="0"/>
        <v>13905405</v>
      </c>
    </row>
    <row r="29" spans="1:10" ht="31.2" customHeight="1">
      <c r="A29" s="152">
        <v>1311.05</v>
      </c>
      <c r="B29" s="72" t="s">
        <v>19</v>
      </c>
      <c r="C29" s="73">
        <v>39822081</v>
      </c>
      <c r="D29" s="74">
        <v>0</v>
      </c>
      <c r="E29" s="75">
        <v>544157397</v>
      </c>
      <c r="F29" s="75">
        <v>479203446</v>
      </c>
      <c r="G29" s="76">
        <v>64953951</v>
      </c>
      <c r="H29" s="75">
        <v>104776032</v>
      </c>
      <c r="I29" s="77">
        <v>0</v>
      </c>
      <c r="J29" s="43">
        <f t="shared" si="0"/>
        <v>104776032</v>
      </c>
    </row>
    <row r="30" spans="1:10" ht="31.2" customHeight="1">
      <c r="A30" s="152">
        <v>1311.06</v>
      </c>
      <c r="B30" s="72" t="s">
        <v>20</v>
      </c>
      <c r="C30" s="73">
        <v>20377499.300000001</v>
      </c>
      <c r="D30" s="74">
        <v>0</v>
      </c>
      <c r="E30" s="75">
        <v>28710001</v>
      </c>
      <c r="F30" s="75">
        <v>35062500</v>
      </c>
      <c r="G30" s="76">
        <v>-6352499</v>
      </c>
      <c r="H30" s="75">
        <v>14025000.299999997</v>
      </c>
      <c r="I30" s="77">
        <v>0</v>
      </c>
      <c r="J30" s="43">
        <f t="shared" si="0"/>
        <v>14025000.299999997</v>
      </c>
    </row>
    <row r="31" spans="1:10" ht="31.2" customHeight="1">
      <c r="A31" s="152">
        <v>1311.07</v>
      </c>
      <c r="B31" s="72" t="s">
        <v>135</v>
      </c>
      <c r="C31" s="73"/>
      <c r="D31" s="74"/>
      <c r="E31" s="75"/>
      <c r="F31" s="75"/>
      <c r="G31" s="76"/>
      <c r="H31" s="75"/>
      <c r="I31" s="77"/>
      <c r="J31" s="43"/>
    </row>
    <row r="32" spans="1:10" ht="31.2" customHeight="1">
      <c r="A32" s="152">
        <v>1311.08</v>
      </c>
      <c r="B32" s="72" t="s">
        <v>21</v>
      </c>
      <c r="C32" s="73">
        <v>133516836.31999999</v>
      </c>
      <c r="D32" s="74">
        <v>0</v>
      </c>
      <c r="E32" s="75">
        <v>548986924.90999997</v>
      </c>
      <c r="F32" s="75">
        <v>504648876</v>
      </c>
      <c r="G32" s="76">
        <v>44338048.909999967</v>
      </c>
      <c r="H32" s="75">
        <v>177854885.22999999</v>
      </c>
      <c r="I32" s="77">
        <v>0</v>
      </c>
      <c r="J32" s="43">
        <f t="shared" si="0"/>
        <v>177854885.22999999</v>
      </c>
    </row>
    <row r="33" spans="1:10" ht="31.2" customHeight="1">
      <c r="A33" s="71" t="s">
        <v>22</v>
      </c>
      <c r="B33" s="72" t="s">
        <v>23</v>
      </c>
      <c r="C33" s="73">
        <v>0</v>
      </c>
      <c r="D33" s="74">
        <v>0</v>
      </c>
      <c r="E33" s="75">
        <v>2530338656.0299997</v>
      </c>
      <c r="F33" s="75">
        <v>2530338656.0300002</v>
      </c>
      <c r="G33" s="76">
        <v>0</v>
      </c>
      <c r="H33" s="75">
        <v>0</v>
      </c>
      <c r="I33" s="77">
        <v>4.76837158203125E-7</v>
      </c>
      <c r="J33" s="43">
        <f t="shared" si="0"/>
        <v>0</v>
      </c>
    </row>
    <row r="34" spans="1:10" ht="31.2" customHeight="1">
      <c r="A34" s="71">
        <v>1331.01</v>
      </c>
      <c r="B34" s="72" t="s">
        <v>267</v>
      </c>
      <c r="C34" s="73">
        <v>0</v>
      </c>
      <c r="D34" s="74">
        <v>0</v>
      </c>
      <c r="E34" s="75">
        <v>12600000</v>
      </c>
      <c r="F34" s="75">
        <v>12600000</v>
      </c>
      <c r="G34" s="76">
        <v>0</v>
      </c>
      <c r="H34" s="75">
        <v>0</v>
      </c>
      <c r="I34" s="77">
        <v>0</v>
      </c>
      <c r="J34" s="43">
        <f t="shared" si="0"/>
        <v>0</v>
      </c>
    </row>
    <row r="35" spans="1:10" ht="31.2" customHeight="1">
      <c r="A35" s="71">
        <v>1331.02</v>
      </c>
      <c r="B35" s="72" t="s">
        <v>268</v>
      </c>
      <c r="C35" s="73">
        <v>0</v>
      </c>
      <c r="D35" s="74">
        <v>0</v>
      </c>
      <c r="E35" s="75">
        <v>69439550</v>
      </c>
      <c r="F35" s="75">
        <v>69439550</v>
      </c>
      <c r="G35" s="76">
        <v>0</v>
      </c>
      <c r="H35" s="75">
        <v>0</v>
      </c>
      <c r="I35" s="77">
        <v>0</v>
      </c>
      <c r="J35" s="43">
        <f t="shared" si="0"/>
        <v>0</v>
      </c>
    </row>
    <row r="36" spans="1:10" ht="31.2" customHeight="1">
      <c r="A36" s="71">
        <v>1331.03</v>
      </c>
      <c r="B36" s="72" t="s">
        <v>269</v>
      </c>
      <c r="C36" s="73">
        <v>0</v>
      </c>
      <c r="D36" s="74">
        <v>0</v>
      </c>
      <c r="E36" s="75">
        <v>2251842.2400000002</v>
      </c>
      <c r="F36" s="75">
        <v>2251842.2400000002</v>
      </c>
      <c r="G36" s="76">
        <v>0</v>
      </c>
      <c r="H36" s="75">
        <v>0</v>
      </c>
      <c r="I36" s="77">
        <v>0</v>
      </c>
      <c r="J36" s="43">
        <f t="shared" si="0"/>
        <v>0</v>
      </c>
    </row>
    <row r="37" spans="1:10" ht="31.2" customHeight="1">
      <c r="A37" s="71">
        <v>1331.04</v>
      </c>
      <c r="B37" s="72" t="s">
        <v>270</v>
      </c>
      <c r="C37" s="74">
        <v>0</v>
      </c>
      <c r="D37" s="73">
        <v>0</v>
      </c>
      <c r="E37" s="75">
        <v>2793144.8</v>
      </c>
      <c r="F37" s="75">
        <v>2793144.8</v>
      </c>
      <c r="G37" s="76">
        <v>0</v>
      </c>
      <c r="H37" s="75">
        <v>0</v>
      </c>
      <c r="I37" s="77">
        <v>0</v>
      </c>
      <c r="J37" s="43">
        <f t="shared" si="0"/>
        <v>0</v>
      </c>
    </row>
    <row r="38" spans="1:10" ht="31.2" customHeight="1">
      <c r="A38" s="71" t="s">
        <v>271</v>
      </c>
      <c r="B38" s="72" t="s">
        <v>272</v>
      </c>
      <c r="C38" s="73">
        <v>0</v>
      </c>
      <c r="D38" s="74">
        <v>0</v>
      </c>
      <c r="E38" s="75">
        <v>133780634.84</v>
      </c>
      <c r="F38" s="75">
        <v>133780634.84</v>
      </c>
      <c r="G38" s="76">
        <v>0</v>
      </c>
      <c r="H38" s="75">
        <v>0</v>
      </c>
      <c r="I38" s="77">
        <v>0</v>
      </c>
      <c r="J38" s="43">
        <f t="shared" si="0"/>
        <v>0</v>
      </c>
    </row>
    <row r="39" spans="1:10" ht="31.2" customHeight="1">
      <c r="A39" s="71" t="s">
        <v>273</v>
      </c>
      <c r="B39" s="72" t="s">
        <v>274</v>
      </c>
      <c r="C39" s="73">
        <v>0</v>
      </c>
      <c r="D39" s="74">
        <v>0</v>
      </c>
      <c r="E39" s="75">
        <v>39348972.259999998</v>
      </c>
      <c r="F39" s="75">
        <v>39348972.259999998</v>
      </c>
      <c r="G39" s="76">
        <v>0</v>
      </c>
      <c r="H39" s="75">
        <v>0</v>
      </c>
      <c r="I39" s="77">
        <v>0</v>
      </c>
      <c r="J39" s="43">
        <f t="shared" si="0"/>
        <v>0</v>
      </c>
    </row>
    <row r="40" spans="1:10" ht="31.2" customHeight="1">
      <c r="A40" s="71" t="s">
        <v>275</v>
      </c>
      <c r="B40" s="72" t="s">
        <v>276</v>
      </c>
      <c r="C40" s="73">
        <v>0</v>
      </c>
      <c r="D40" s="74">
        <v>0</v>
      </c>
      <c r="E40" s="75">
        <v>5957100</v>
      </c>
      <c r="F40" s="75">
        <v>5957100</v>
      </c>
      <c r="G40" s="76">
        <v>0</v>
      </c>
      <c r="H40" s="75">
        <v>0</v>
      </c>
      <c r="I40" s="77">
        <v>0</v>
      </c>
      <c r="J40" s="43">
        <f t="shared" si="0"/>
        <v>0</v>
      </c>
    </row>
    <row r="41" spans="1:10" ht="31.2" customHeight="1">
      <c r="A41" s="71" t="s">
        <v>277</v>
      </c>
      <c r="B41" s="72" t="s">
        <v>278</v>
      </c>
      <c r="C41" s="74">
        <v>0</v>
      </c>
      <c r="D41" s="74">
        <v>0</v>
      </c>
      <c r="E41" s="75">
        <v>66896000</v>
      </c>
      <c r="F41" s="75">
        <v>66896000</v>
      </c>
      <c r="G41" s="76">
        <v>0</v>
      </c>
      <c r="H41" s="75">
        <v>0</v>
      </c>
      <c r="I41" s="77">
        <v>0</v>
      </c>
      <c r="J41" s="43">
        <f t="shared" si="0"/>
        <v>0</v>
      </c>
    </row>
    <row r="42" spans="1:10" ht="31.2" customHeight="1">
      <c r="A42" s="71" t="s">
        <v>279</v>
      </c>
      <c r="B42" s="72" t="s">
        <v>280</v>
      </c>
      <c r="C42" s="73">
        <v>0</v>
      </c>
      <c r="D42" s="74">
        <v>0</v>
      </c>
      <c r="E42" s="75">
        <v>600000</v>
      </c>
      <c r="F42" s="75">
        <v>600000</v>
      </c>
      <c r="G42" s="76">
        <v>0</v>
      </c>
      <c r="H42" s="75">
        <v>0</v>
      </c>
      <c r="I42" s="77">
        <v>0</v>
      </c>
      <c r="J42" s="43">
        <f t="shared" si="0"/>
        <v>0</v>
      </c>
    </row>
    <row r="43" spans="1:10" ht="31.2" customHeight="1">
      <c r="A43" s="71" t="s">
        <v>281</v>
      </c>
      <c r="B43" s="72" t="s">
        <v>282</v>
      </c>
      <c r="C43" s="73">
        <v>0</v>
      </c>
      <c r="D43" s="74">
        <v>0</v>
      </c>
      <c r="E43" s="75">
        <v>5802122.9000000004</v>
      </c>
      <c r="F43" s="75">
        <v>5802122.9000000004</v>
      </c>
      <c r="G43" s="76">
        <v>0</v>
      </c>
      <c r="H43" s="75">
        <v>0</v>
      </c>
      <c r="I43" s="77">
        <v>0</v>
      </c>
      <c r="J43" s="43">
        <f t="shared" si="0"/>
        <v>0</v>
      </c>
    </row>
    <row r="44" spans="1:10" ht="31.2" customHeight="1">
      <c r="A44" s="71" t="s">
        <v>283</v>
      </c>
      <c r="B44" s="72" t="s">
        <v>284</v>
      </c>
      <c r="C44" s="74">
        <v>0</v>
      </c>
      <c r="D44" s="73">
        <v>0</v>
      </c>
      <c r="E44" s="75">
        <v>20000</v>
      </c>
      <c r="F44" s="75">
        <v>20000</v>
      </c>
      <c r="G44" s="76">
        <v>0</v>
      </c>
      <c r="H44" s="75">
        <v>0</v>
      </c>
      <c r="I44" s="77">
        <v>0</v>
      </c>
      <c r="J44" s="43">
        <f t="shared" si="0"/>
        <v>0</v>
      </c>
    </row>
    <row r="45" spans="1:10" ht="31.2" customHeight="1">
      <c r="A45" s="71" t="s">
        <v>285</v>
      </c>
      <c r="B45" s="72" t="s">
        <v>246</v>
      </c>
      <c r="C45" s="74">
        <v>0</v>
      </c>
      <c r="D45" s="73">
        <v>0</v>
      </c>
      <c r="E45" s="113">
        <v>3570000</v>
      </c>
      <c r="F45" s="75">
        <v>3570000</v>
      </c>
      <c r="G45" s="76">
        <v>0</v>
      </c>
      <c r="H45" s="75">
        <v>0</v>
      </c>
      <c r="I45" s="77">
        <v>0</v>
      </c>
      <c r="J45" s="43">
        <f t="shared" si="0"/>
        <v>0</v>
      </c>
    </row>
    <row r="46" spans="1:10" ht="31.2" customHeight="1">
      <c r="A46" s="71" t="s">
        <v>286</v>
      </c>
      <c r="B46" s="72" t="s">
        <v>242</v>
      </c>
      <c r="C46" s="73">
        <v>0</v>
      </c>
      <c r="D46" s="74">
        <v>0</v>
      </c>
      <c r="E46" s="113">
        <v>19380000</v>
      </c>
      <c r="F46" s="75">
        <v>19380000</v>
      </c>
      <c r="G46" s="76">
        <v>0</v>
      </c>
      <c r="H46" s="75">
        <v>0</v>
      </c>
      <c r="I46" s="77">
        <v>0</v>
      </c>
      <c r="J46" s="43">
        <f t="shared" si="0"/>
        <v>0</v>
      </c>
    </row>
    <row r="47" spans="1:10" ht="31.2" customHeight="1">
      <c r="A47" s="71" t="s">
        <v>240</v>
      </c>
      <c r="B47" s="72" t="s">
        <v>24</v>
      </c>
      <c r="C47" s="73">
        <v>0</v>
      </c>
      <c r="D47" s="74">
        <v>0</v>
      </c>
      <c r="E47" s="75">
        <v>2485934268.7600002</v>
      </c>
      <c r="F47" s="75">
        <v>2485934268.7600002</v>
      </c>
      <c r="G47" s="76">
        <v>0</v>
      </c>
      <c r="H47" s="75">
        <v>0</v>
      </c>
      <c r="I47" s="77">
        <v>0</v>
      </c>
      <c r="J47" s="43">
        <f t="shared" si="0"/>
        <v>0</v>
      </c>
    </row>
    <row r="48" spans="1:10" ht="31.2" customHeight="1">
      <c r="A48" s="71">
        <v>146.01</v>
      </c>
      <c r="B48" s="72" t="s">
        <v>25</v>
      </c>
      <c r="C48" s="73"/>
      <c r="D48" s="74"/>
      <c r="E48" s="75"/>
      <c r="F48" s="75"/>
      <c r="G48" s="76"/>
      <c r="H48" s="75"/>
      <c r="I48" s="77"/>
      <c r="J48" s="43"/>
    </row>
    <row r="49" spans="1:10" ht="31.2" customHeight="1">
      <c r="A49" s="71">
        <v>146.02000000000001</v>
      </c>
      <c r="B49" s="72" t="s">
        <v>138</v>
      </c>
      <c r="C49" s="73"/>
      <c r="D49" s="74"/>
      <c r="E49" s="75"/>
      <c r="F49" s="75"/>
      <c r="G49" s="76"/>
      <c r="H49" s="75"/>
      <c r="I49" s="77"/>
      <c r="J49" s="43"/>
    </row>
    <row r="50" spans="1:10" ht="31.2" customHeight="1">
      <c r="A50" s="71">
        <v>146.03</v>
      </c>
      <c r="B50" s="72" t="s">
        <v>139</v>
      </c>
      <c r="C50" s="73"/>
      <c r="D50" s="74"/>
      <c r="E50" s="75"/>
      <c r="F50" s="75"/>
      <c r="G50" s="76"/>
      <c r="H50" s="75"/>
      <c r="I50" s="77"/>
      <c r="J50" s="43"/>
    </row>
    <row r="51" spans="1:10" ht="31.2" customHeight="1">
      <c r="A51" s="71">
        <v>146.04</v>
      </c>
      <c r="B51" s="72" t="s">
        <v>140</v>
      </c>
      <c r="C51" s="73"/>
      <c r="D51" s="74"/>
      <c r="E51" s="75"/>
      <c r="F51" s="75"/>
      <c r="G51" s="76"/>
      <c r="H51" s="75"/>
      <c r="I51" s="77"/>
      <c r="J51" s="43"/>
    </row>
    <row r="52" spans="1:10" ht="31.2" customHeight="1">
      <c r="A52" s="71">
        <v>146.05000000000001</v>
      </c>
      <c r="B52" s="72" t="s">
        <v>26</v>
      </c>
      <c r="C52" s="73"/>
      <c r="D52" s="74"/>
      <c r="E52" s="75"/>
      <c r="F52" s="75"/>
      <c r="G52" s="76"/>
      <c r="H52" s="75"/>
      <c r="I52" s="77"/>
      <c r="J52" s="43"/>
    </row>
    <row r="53" spans="1:10" ht="31.2" customHeight="1">
      <c r="A53" s="71">
        <v>146.06</v>
      </c>
      <c r="B53" s="72" t="s">
        <v>27</v>
      </c>
      <c r="C53" s="73"/>
      <c r="D53" s="74"/>
      <c r="E53" s="75"/>
      <c r="F53" s="75"/>
      <c r="G53" s="76"/>
      <c r="H53" s="75"/>
      <c r="I53" s="77"/>
      <c r="J53" s="43"/>
    </row>
    <row r="54" spans="1:10" ht="31.2" customHeight="1">
      <c r="A54" s="71">
        <v>146.07</v>
      </c>
      <c r="B54" s="72" t="s">
        <v>28</v>
      </c>
      <c r="C54" s="73"/>
      <c r="D54" s="74"/>
      <c r="E54" s="75"/>
      <c r="F54" s="75"/>
      <c r="G54" s="76"/>
      <c r="H54" s="75"/>
      <c r="I54" s="77"/>
      <c r="J54" s="43"/>
    </row>
    <row r="55" spans="1:10" ht="31.2" customHeight="1">
      <c r="A55" s="71">
        <v>146.08000000000001</v>
      </c>
      <c r="B55" s="72" t="s">
        <v>29</v>
      </c>
      <c r="C55" s="73">
        <v>1134716846.54</v>
      </c>
      <c r="D55" s="74">
        <v>0</v>
      </c>
      <c r="E55" s="75">
        <v>0</v>
      </c>
      <c r="F55" s="75">
        <v>57388113.880000003</v>
      </c>
      <c r="G55" s="76">
        <v>-57388113.880000003</v>
      </c>
      <c r="H55" s="75">
        <v>1077328732.6599998</v>
      </c>
      <c r="I55" s="77">
        <v>0</v>
      </c>
      <c r="J55" s="43">
        <f t="shared" si="0"/>
        <v>1077328732.6599998</v>
      </c>
    </row>
    <row r="56" spans="1:10" ht="31.2" customHeight="1">
      <c r="A56" s="71">
        <v>146.09</v>
      </c>
      <c r="B56" s="72" t="s">
        <v>243</v>
      </c>
      <c r="C56" s="73">
        <v>74182549.349999994</v>
      </c>
      <c r="D56" s="74">
        <v>0</v>
      </c>
      <c r="E56" s="75">
        <v>0</v>
      </c>
      <c r="F56" s="75">
        <v>13915658.550000001</v>
      </c>
      <c r="G56" s="76">
        <v>-13915658.550000001</v>
      </c>
      <c r="H56" s="75">
        <v>60266890.799999997</v>
      </c>
      <c r="I56" s="77">
        <v>0</v>
      </c>
      <c r="J56" s="43">
        <f t="shared" si="0"/>
        <v>60266890.799999997</v>
      </c>
    </row>
    <row r="57" spans="1:10" ht="31.2" customHeight="1">
      <c r="A57" s="71">
        <v>1601.01</v>
      </c>
      <c r="B57" s="72" t="s">
        <v>30</v>
      </c>
      <c r="C57" s="73">
        <v>72427584</v>
      </c>
      <c r="D57" s="74">
        <v>0</v>
      </c>
      <c r="E57" s="75">
        <v>0</v>
      </c>
      <c r="F57" s="75">
        <v>0</v>
      </c>
      <c r="G57" s="76">
        <v>0</v>
      </c>
      <c r="H57" s="75">
        <v>72427584</v>
      </c>
      <c r="I57" s="77">
        <v>0</v>
      </c>
      <c r="J57" s="43">
        <f t="shared" si="0"/>
        <v>72427584</v>
      </c>
    </row>
    <row r="58" spans="1:10" ht="31.2" customHeight="1">
      <c r="A58" s="71">
        <v>1601</v>
      </c>
      <c r="B58" s="72" t="s">
        <v>143</v>
      </c>
      <c r="C58" s="73"/>
      <c r="D58" s="74"/>
      <c r="E58" s="75"/>
      <c r="F58" s="75"/>
      <c r="G58" s="76"/>
      <c r="H58" s="75"/>
      <c r="I58" s="77"/>
      <c r="J58" s="43"/>
    </row>
    <row r="59" spans="1:10" ht="31.2" customHeight="1">
      <c r="A59" s="71">
        <v>1611</v>
      </c>
      <c r="B59" s="72" t="s">
        <v>31</v>
      </c>
      <c r="C59" s="74">
        <v>15676816.98</v>
      </c>
      <c r="D59" s="73">
        <v>0</v>
      </c>
      <c r="E59" s="75">
        <v>0</v>
      </c>
      <c r="F59" s="75">
        <v>0</v>
      </c>
      <c r="G59" s="76">
        <v>0</v>
      </c>
      <c r="H59" s="75">
        <v>15676816.98</v>
      </c>
      <c r="I59" s="77">
        <v>0</v>
      </c>
      <c r="J59" s="43">
        <f t="shared" si="0"/>
        <v>15676816.98</v>
      </c>
    </row>
    <row r="60" spans="1:10" ht="31.2" customHeight="1">
      <c r="A60" s="71">
        <v>166</v>
      </c>
      <c r="B60" s="72" t="s">
        <v>32</v>
      </c>
      <c r="C60" s="74">
        <v>0</v>
      </c>
      <c r="D60" s="73">
        <v>0</v>
      </c>
      <c r="E60" s="75">
        <v>101016887.38</v>
      </c>
      <c r="F60" s="75">
        <v>101016887.38</v>
      </c>
      <c r="G60" s="76">
        <v>0</v>
      </c>
      <c r="H60" s="75">
        <v>0</v>
      </c>
      <c r="I60" s="77">
        <v>0</v>
      </c>
      <c r="J60" s="43">
        <f t="shared" si="0"/>
        <v>0</v>
      </c>
    </row>
    <row r="61" spans="1:10" ht="31.2" customHeight="1">
      <c r="A61" s="71">
        <v>231</v>
      </c>
      <c r="B61" s="72" t="s">
        <v>33</v>
      </c>
      <c r="C61" s="74"/>
      <c r="D61" s="73"/>
      <c r="E61" s="75"/>
      <c r="F61" s="75"/>
      <c r="G61" s="76"/>
      <c r="H61" s="75"/>
      <c r="I61" s="77"/>
      <c r="J61" s="43"/>
    </row>
    <row r="62" spans="1:10" ht="31.2" customHeight="1">
      <c r="A62" s="71">
        <v>232</v>
      </c>
      <c r="B62" s="72" t="s">
        <v>244</v>
      </c>
      <c r="C62" s="74"/>
      <c r="D62" s="73"/>
      <c r="E62" s="75"/>
      <c r="F62" s="75"/>
      <c r="G62" s="76"/>
      <c r="H62" s="75"/>
      <c r="I62" s="77"/>
      <c r="J62" s="43"/>
    </row>
    <row r="63" spans="1:10" ht="31.2" customHeight="1">
      <c r="A63" s="71">
        <v>2411</v>
      </c>
      <c r="B63" s="72" t="s">
        <v>34</v>
      </c>
      <c r="C63" s="74">
        <v>143926479.06999999</v>
      </c>
      <c r="D63" s="73">
        <v>0</v>
      </c>
      <c r="E63" s="75">
        <v>11433000</v>
      </c>
      <c r="F63" s="75">
        <v>0</v>
      </c>
      <c r="G63" s="76">
        <v>11433000</v>
      </c>
      <c r="H63" s="75">
        <v>155359479.06999999</v>
      </c>
      <c r="I63" s="77">
        <v>0</v>
      </c>
      <c r="J63" s="43">
        <f t="shared" si="0"/>
        <v>155359479.06999999</v>
      </c>
    </row>
    <row r="64" spans="1:10" ht="31.2" customHeight="1">
      <c r="A64" s="71">
        <v>2412</v>
      </c>
      <c r="B64" s="72" t="s">
        <v>35</v>
      </c>
      <c r="C64" s="74">
        <v>2343164204.29</v>
      </c>
      <c r="D64" s="73">
        <v>0</v>
      </c>
      <c r="E64" s="75">
        <v>0</v>
      </c>
      <c r="F64" s="75">
        <v>0</v>
      </c>
      <c r="G64" s="76">
        <v>0</v>
      </c>
      <c r="H64" s="75">
        <v>2343164204.29</v>
      </c>
      <c r="I64" s="77">
        <v>0</v>
      </c>
      <c r="J64" s="43">
        <f t="shared" si="0"/>
        <v>2343164204.29</v>
      </c>
    </row>
    <row r="65" spans="1:10" ht="31.2" customHeight="1">
      <c r="A65" s="71">
        <v>2413</v>
      </c>
      <c r="B65" s="72" t="s">
        <v>36</v>
      </c>
      <c r="C65" s="74">
        <v>3149994248</v>
      </c>
      <c r="D65" s="73">
        <v>0</v>
      </c>
      <c r="E65" s="75">
        <v>0</v>
      </c>
      <c r="F65" s="75">
        <v>0</v>
      </c>
      <c r="G65" s="76">
        <v>0</v>
      </c>
      <c r="H65" s="75">
        <v>3149994248</v>
      </c>
      <c r="I65" s="77">
        <v>0</v>
      </c>
      <c r="J65" s="43">
        <f t="shared" si="0"/>
        <v>3149994248</v>
      </c>
    </row>
    <row r="66" spans="1:10" ht="31.2" customHeight="1">
      <c r="A66" s="79">
        <v>2414</v>
      </c>
      <c r="B66" s="72" t="s">
        <v>37</v>
      </c>
      <c r="C66" s="74">
        <v>5186562006</v>
      </c>
      <c r="D66" s="73">
        <v>0</v>
      </c>
      <c r="E66" s="75">
        <v>0</v>
      </c>
      <c r="F66" s="75">
        <v>0</v>
      </c>
      <c r="G66" s="76">
        <v>0</v>
      </c>
      <c r="H66" s="75">
        <v>5186562006</v>
      </c>
      <c r="I66" s="77">
        <v>0</v>
      </c>
      <c r="J66" s="43">
        <f t="shared" si="0"/>
        <v>5186562006</v>
      </c>
    </row>
    <row r="67" spans="1:10" ht="31.2" customHeight="1">
      <c r="A67" s="71">
        <v>2421</v>
      </c>
      <c r="B67" s="72" t="s">
        <v>38</v>
      </c>
      <c r="C67" s="73">
        <v>10103000</v>
      </c>
      <c r="D67" s="74">
        <v>0</v>
      </c>
      <c r="E67" s="75">
        <v>0</v>
      </c>
      <c r="F67" s="75">
        <v>0</v>
      </c>
      <c r="G67" s="76">
        <v>0</v>
      </c>
      <c r="H67" s="75">
        <v>10103000</v>
      </c>
      <c r="I67" s="77">
        <v>0</v>
      </c>
      <c r="J67" s="43">
        <f t="shared" si="0"/>
        <v>10103000</v>
      </c>
    </row>
    <row r="68" spans="1:10" ht="31.2" customHeight="1">
      <c r="A68" s="71">
        <v>28411</v>
      </c>
      <c r="B68" s="72" t="s">
        <v>39</v>
      </c>
      <c r="C68" s="73">
        <v>0</v>
      </c>
      <c r="D68" s="74">
        <v>45485136</v>
      </c>
      <c r="E68" s="75">
        <v>0</v>
      </c>
      <c r="F68" s="75">
        <v>1294662</v>
      </c>
      <c r="G68" s="76">
        <v>-1294662</v>
      </c>
      <c r="H68" s="75">
        <v>0</v>
      </c>
      <c r="I68" s="77">
        <v>46779798</v>
      </c>
      <c r="J68" s="43">
        <f t="shared" ref="J68:J104" si="1">-I68</f>
        <v>-46779798</v>
      </c>
    </row>
    <row r="69" spans="1:10" ht="31.2" customHeight="1">
      <c r="A69" s="71">
        <v>28412</v>
      </c>
      <c r="B69" s="72" t="s">
        <v>40</v>
      </c>
      <c r="C69" s="74">
        <v>0</v>
      </c>
      <c r="D69" s="73">
        <v>265149727</v>
      </c>
      <c r="E69" s="75">
        <v>0</v>
      </c>
      <c r="F69" s="75">
        <v>5009694</v>
      </c>
      <c r="G69" s="76">
        <v>-5009694</v>
      </c>
      <c r="H69" s="75">
        <v>0</v>
      </c>
      <c r="I69" s="77">
        <v>270159421</v>
      </c>
      <c r="J69" s="43">
        <f t="shared" si="1"/>
        <v>-270159421</v>
      </c>
    </row>
    <row r="70" spans="1:10" ht="31.2" customHeight="1">
      <c r="A70" s="71">
        <v>28413</v>
      </c>
      <c r="B70" s="72" t="s">
        <v>41</v>
      </c>
      <c r="C70" s="74">
        <v>0</v>
      </c>
      <c r="D70" s="73">
        <v>1936627144</v>
      </c>
      <c r="E70" s="75">
        <v>0</v>
      </c>
      <c r="F70" s="75">
        <v>23708112</v>
      </c>
      <c r="G70" s="76">
        <v>-23708112</v>
      </c>
      <c r="H70" s="75">
        <v>0</v>
      </c>
      <c r="I70" s="77">
        <v>1960335256</v>
      </c>
      <c r="J70" s="43">
        <f t="shared" si="1"/>
        <v>-1960335256</v>
      </c>
    </row>
    <row r="71" spans="1:10" ht="31.2" customHeight="1">
      <c r="A71" s="71">
        <v>28414</v>
      </c>
      <c r="B71" s="72" t="s">
        <v>42</v>
      </c>
      <c r="C71" s="74">
        <v>0</v>
      </c>
      <c r="D71" s="73">
        <v>2001760549.7</v>
      </c>
      <c r="E71" s="75">
        <v>0</v>
      </c>
      <c r="F71" s="75">
        <v>24959333.370000001</v>
      </c>
      <c r="G71" s="76">
        <v>-24959333.370000001</v>
      </c>
      <c r="H71" s="75">
        <v>0</v>
      </c>
      <c r="I71" s="77">
        <v>2026719883.0699999</v>
      </c>
      <c r="J71" s="43">
        <f t="shared" si="1"/>
        <v>-2026719883.0699999</v>
      </c>
    </row>
    <row r="72" spans="1:10" ht="31.2" customHeight="1">
      <c r="A72" s="71">
        <v>28421</v>
      </c>
      <c r="B72" s="72" t="s">
        <v>43</v>
      </c>
      <c r="C72" s="74">
        <v>0</v>
      </c>
      <c r="D72" s="73">
        <v>10103000</v>
      </c>
      <c r="E72" s="75">
        <v>0</v>
      </c>
      <c r="F72" s="75">
        <v>0</v>
      </c>
      <c r="G72" s="76">
        <v>0</v>
      </c>
      <c r="H72" s="75">
        <v>0</v>
      </c>
      <c r="I72" s="77">
        <v>10103000</v>
      </c>
      <c r="J72" s="43">
        <f t="shared" si="1"/>
        <v>-10103000</v>
      </c>
    </row>
    <row r="73" spans="1:10" ht="31.2" customHeight="1">
      <c r="A73" s="71">
        <v>303</v>
      </c>
      <c r="B73" s="72" t="s">
        <v>44</v>
      </c>
      <c r="C73" s="74">
        <v>0</v>
      </c>
      <c r="D73" s="73">
        <v>23368900000</v>
      </c>
      <c r="E73" s="75">
        <v>0</v>
      </c>
      <c r="F73" s="75">
        <v>0</v>
      </c>
      <c r="G73" s="76">
        <v>0</v>
      </c>
      <c r="H73" s="75">
        <v>0</v>
      </c>
      <c r="I73" s="77">
        <v>23368900000</v>
      </c>
      <c r="J73" s="43">
        <f t="shared" si="1"/>
        <v>-23368900000</v>
      </c>
    </row>
    <row r="74" spans="1:10" ht="31.2" customHeight="1">
      <c r="A74" s="71">
        <v>308</v>
      </c>
      <c r="B74" s="72" t="s">
        <v>172</v>
      </c>
      <c r="C74" s="74">
        <v>0</v>
      </c>
      <c r="D74" s="73">
        <v>135330133.84</v>
      </c>
      <c r="E74" s="75">
        <v>0</v>
      </c>
      <c r="F74" s="75">
        <v>0</v>
      </c>
      <c r="G74" s="76">
        <v>0</v>
      </c>
      <c r="H74" s="75">
        <v>0</v>
      </c>
      <c r="I74" s="77">
        <v>135330133.84</v>
      </c>
      <c r="J74" s="43">
        <f t="shared" si="1"/>
        <v>-135330133.84</v>
      </c>
    </row>
    <row r="75" spans="1:10" ht="31.2" customHeight="1">
      <c r="A75" s="71">
        <v>329</v>
      </c>
      <c r="B75" s="72" t="s">
        <v>45</v>
      </c>
      <c r="C75" s="74">
        <v>11055995083</v>
      </c>
      <c r="D75" s="73">
        <v>0</v>
      </c>
      <c r="E75" s="75">
        <v>0</v>
      </c>
      <c r="F75" s="75">
        <v>0</v>
      </c>
      <c r="G75" s="76">
        <v>0</v>
      </c>
      <c r="H75" s="75">
        <v>11055995083</v>
      </c>
      <c r="I75" s="77">
        <v>0</v>
      </c>
      <c r="J75" s="43">
        <f t="shared" ref="J75" si="2">H75</f>
        <v>11055995083</v>
      </c>
    </row>
    <row r="76" spans="1:10" ht="31.2" customHeight="1">
      <c r="A76" s="71">
        <v>331</v>
      </c>
      <c r="B76" s="72" t="s">
        <v>256</v>
      </c>
      <c r="C76" s="74">
        <v>0</v>
      </c>
      <c r="D76" s="73">
        <v>2551807669</v>
      </c>
      <c r="E76" s="75">
        <v>0</v>
      </c>
      <c r="F76" s="75">
        <v>0</v>
      </c>
      <c r="G76" s="76">
        <v>0</v>
      </c>
      <c r="H76" s="75">
        <v>0</v>
      </c>
      <c r="I76" s="77">
        <v>2551807669</v>
      </c>
      <c r="J76" s="43">
        <f t="shared" si="1"/>
        <v>-2551807669</v>
      </c>
    </row>
    <row r="77" spans="1:10" ht="31.2" customHeight="1">
      <c r="A77" s="71">
        <v>401.01</v>
      </c>
      <c r="B77" s="72" t="s">
        <v>153</v>
      </c>
      <c r="C77" s="74"/>
      <c r="D77" s="73"/>
      <c r="E77" s="75"/>
      <c r="F77" s="75"/>
      <c r="G77" s="76"/>
      <c r="H77" s="75"/>
      <c r="I77" s="77"/>
      <c r="J77" s="43"/>
    </row>
    <row r="78" spans="1:10" ht="31.2" customHeight="1">
      <c r="A78" s="71">
        <v>401.02</v>
      </c>
      <c r="B78" s="72" t="s">
        <v>46</v>
      </c>
      <c r="C78" s="74">
        <v>0</v>
      </c>
      <c r="D78" s="73">
        <v>109788000</v>
      </c>
      <c r="E78" s="75">
        <v>109788000</v>
      </c>
      <c r="F78" s="75">
        <v>194389562</v>
      </c>
      <c r="G78" s="76">
        <v>-84601562</v>
      </c>
      <c r="H78" s="75">
        <v>0</v>
      </c>
      <c r="I78" s="77">
        <v>194389562</v>
      </c>
      <c r="J78" s="43">
        <f t="shared" si="1"/>
        <v>-194389562</v>
      </c>
    </row>
    <row r="79" spans="1:10" ht="31.2" customHeight="1">
      <c r="A79" s="71">
        <v>401.03</v>
      </c>
      <c r="B79" s="72" t="s">
        <v>47</v>
      </c>
      <c r="C79" s="74">
        <v>0</v>
      </c>
      <c r="D79" s="73">
        <v>190605400</v>
      </c>
      <c r="E79" s="75">
        <v>190605400</v>
      </c>
      <c r="F79" s="75">
        <v>594000000</v>
      </c>
      <c r="G79" s="76">
        <v>-403394600</v>
      </c>
      <c r="H79" s="75">
        <v>0</v>
      </c>
      <c r="I79" s="77">
        <v>594000000</v>
      </c>
      <c r="J79" s="43">
        <f t="shared" si="1"/>
        <v>-594000000</v>
      </c>
    </row>
    <row r="80" spans="1:10" ht="31.2" customHeight="1">
      <c r="A80" s="71">
        <v>401.04</v>
      </c>
      <c r="B80" s="72" t="s">
        <v>48</v>
      </c>
      <c r="C80" s="74">
        <v>0</v>
      </c>
      <c r="D80" s="73">
        <v>58687200</v>
      </c>
      <c r="E80" s="75">
        <v>60588000</v>
      </c>
      <c r="F80" s="75">
        <v>114610800</v>
      </c>
      <c r="G80" s="76">
        <v>-54022800</v>
      </c>
      <c r="H80" s="75">
        <v>0</v>
      </c>
      <c r="I80" s="77">
        <v>112710000</v>
      </c>
      <c r="J80" s="43">
        <f t="shared" si="1"/>
        <v>-112710000</v>
      </c>
    </row>
    <row r="81" spans="1:10" ht="31.2" customHeight="1">
      <c r="A81" s="71">
        <v>401.05</v>
      </c>
      <c r="B81" s="72" t="s">
        <v>46</v>
      </c>
      <c r="C81" s="73">
        <v>0</v>
      </c>
      <c r="D81" s="74">
        <v>267061340</v>
      </c>
      <c r="E81" s="75">
        <v>275711508</v>
      </c>
      <c r="F81" s="75">
        <v>551416648</v>
      </c>
      <c r="G81" s="76">
        <v>-275705140</v>
      </c>
      <c r="H81" s="75">
        <v>0</v>
      </c>
      <c r="I81" s="77">
        <v>542766480</v>
      </c>
      <c r="J81" s="43">
        <f t="shared" si="1"/>
        <v>-542766480</v>
      </c>
    </row>
    <row r="82" spans="1:10" ht="31.2" customHeight="1">
      <c r="A82" s="71">
        <v>401.06</v>
      </c>
      <c r="B82" s="72" t="s">
        <v>49</v>
      </c>
      <c r="C82" s="74">
        <v>0</v>
      </c>
      <c r="D82" s="73">
        <v>39813362</v>
      </c>
      <c r="E82" s="75">
        <v>39813362.5</v>
      </c>
      <c r="F82" s="75">
        <v>110343750</v>
      </c>
      <c r="G82" s="76">
        <v>-70530387.5</v>
      </c>
      <c r="H82" s="75">
        <v>0</v>
      </c>
      <c r="I82" s="77">
        <v>110343749.5</v>
      </c>
      <c r="J82" s="43">
        <f t="shared" si="1"/>
        <v>-110343749.5</v>
      </c>
    </row>
    <row r="83" spans="1:10" ht="31.2" customHeight="1">
      <c r="A83" s="71">
        <v>402</v>
      </c>
      <c r="B83" s="72" t="s">
        <v>159</v>
      </c>
      <c r="C83" s="74"/>
      <c r="D83" s="73"/>
      <c r="E83" s="75"/>
      <c r="F83" s="75"/>
      <c r="G83" s="76"/>
      <c r="H83" s="75"/>
      <c r="I83" s="77"/>
      <c r="J83" s="43"/>
    </row>
    <row r="84" spans="1:10" ht="31.2" customHeight="1">
      <c r="A84" s="71">
        <v>402.01</v>
      </c>
      <c r="B84" s="72" t="s">
        <v>235</v>
      </c>
      <c r="C84" s="74">
        <v>0</v>
      </c>
      <c r="D84" s="73">
        <v>3985935.71</v>
      </c>
      <c r="E84" s="75">
        <v>3985935.71</v>
      </c>
      <c r="F84" s="75">
        <v>4629439.74</v>
      </c>
      <c r="G84" s="76">
        <v>-643504.03000000026</v>
      </c>
      <c r="H84" s="75">
        <v>0</v>
      </c>
      <c r="I84" s="77">
        <v>4629439.7399999993</v>
      </c>
      <c r="J84" s="43">
        <f t="shared" si="1"/>
        <v>-4629439.7399999993</v>
      </c>
    </row>
    <row r="85" spans="1:10" ht="31.2" customHeight="1">
      <c r="A85" s="71">
        <v>402.02</v>
      </c>
      <c r="B85" s="72" t="s">
        <v>234</v>
      </c>
      <c r="C85" s="74">
        <v>0</v>
      </c>
      <c r="D85" s="73">
        <v>3084131.6</v>
      </c>
      <c r="E85" s="75">
        <v>3084131.6</v>
      </c>
      <c r="F85" s="75">
        <v>2793144.8</v>
      </c>
      <c r="G85" s="76">
        <v>290986.80000000028</v>
      </c>
      <c r="H85" s="75">
        <v>0</v>
      </c>
      <c r="I85" s="77">
        <v>2793144.8</v>
      </c>
      <c r="J85" s="43">
        <f t="shared" si="1"/>
        <v>-2793144.8</v>
      </c>
    </row>
    <row r="86" spans="1:10" ht="31.2" customHeight="1">
      <c r="A86" s="71">
        <v>402.03</v>
      </c>
      <c r="B86" s="72" t="s">
        <v>162</v>
      </c>
      <c r="C86" s="74"/>
      <c r="D86" s="73"/>
      <c r="E86" s="75"/>
      <c r="F86" s="75"/>
      <c r="G86" s="76"/>
      <c r="H86" s="75"/>
      <c r="I86" s="77"/>
      <c r="J86" s="43"/>
    </row>
    <row r="87" spans="1:10" ht="31.2" customHeight="1">
      <c r="A87" s="71">
        <v>402.04</v>
      </c>
      <c r="B87" s="72" t="s">
        <v>163</v>
      </c>
      <c r="C87" s="74"/>
      <c r="D87" s="73"/>
      <c r="E87" s="75"/>
      <c r="F87" s="75"/>
      <c r="G87" s="76"/>
      <c r="H87" s="75"/>
      <c r="I87" s="77"/>
      <c r="J87" s="43"/>
    </row>
    <row r="88" spans="1:10" ht="31.2" customHeight="1">
      <c r="A88" s="71">
        <v>402.05</v>
      </c>
      <c r="B88" s="72" t="s">
        <v>50</v>
      </c>
      <c r="C88" s="74">
        <v>0</v>
      </c>
      <c r="D88" s="73">
        <v>70000</v>
      </c>
      <c r="E88" s="75">
        <v>0</v>
      </c>
      <c r="F88" s="75">
        <v>0</v>
      </c>
      <c r="G88" s="76">
        <v>0</v>
      </c>
      <c r="H88" s="75">
        <v>0</v>
      </c>
      <c r="I88" s="77">
        <v>70000</v>
      </c>
      <c r="J88" s="43">
        <f t="shared" si="1"/>
        <v>-70000</v>
      </c>
    </row>
    <row r="89" spans="1:10" ht="31.2" customHeight="1">
      <c r="A89" s="71">
        <v>402.07</v>
      </c>
      <c r="B89" s="72" t="s">
        <v>51</v>
      </c>
      <c r="C89" s="74">
        <v>0</v>
      </c>
      <c r="D89" s="73">
        <v>14862728</v>
      </c>
      <c r="E89" s="75">
        <v>14489512</v>
      </c>
      <c r="F89" s="75">
        <v>0</v>
      </c>
      <c r="G89" s="76">
        <v>14489512</v>
      </c>
      <c r="H89" s="75">
        <v>0</v>
      </c>
      <c r="I89" s="77">
        <v>373216</v>
      </c>
      <c r="J89" s="43">
        <f t="shared" si="1"/>
        <v>-373216</v>
      </c>
    </row>
    <row r="90" spans="1:10" ht="31.2" customHeight="1">
      <c r="A90" s="71">
        <v>402.08</v>
      </c>
      <c r="B90" s="72" t="s">
        <v>52</v>
      </c>
      <c r="C90" s="74">
        <v>0</v>
      </c>
      <c r="D90" s="73">
        <v>60000</v>
      </c>
      <c r="E90" s="75">
        <v>0</v>
      </c>
      <c r="F90" s="75">
        <v>0</v>
      </c>
      <c r="G90" s="76">
        <v>0</v>
      </c>
      <c r="H90" s="75">
        <v>0</v>
      </c>
      <c r="I90" s="77">
        <v>60000</v>
      </c>
      <c r="J90" s="43">
        <f t="shared" si="1"/>
        <v>-60000</v>
      </c>
    </row>
    <row r="91" spans="1:10" ht="31.2" customHeight="1">
      <c r="A91" s="71">
        <v>402.11</v>
      </c>
      <c r="B91" s="72" t="s">
        <v>53</v>
      </c>
      <c r="C91" s="74"/>
      <c r="D91" s="73"/>
      <c r="E91" s="75"/>
      <c r="F91" s="75"/>
      <c r="G91" s="76"/>
      <c r="H91" s="75"/>
      <c r="I91" s="77"/>
      <c r="J91" s="43"/>
    </row>
    <row r="92" spans="1:10" ht="31.2" customHeight="1">
      <c r="A92" s="71">
        <v>402.12</v>
      </c>
      <c r="B92" s="72" t="s">
        <v>54</v>
      </c>
      <c r="C92" s="74">
        <v>0</v>
      </c>
      <c r="D92" s="74">
        <v>76699489.829999998</v>
      </c>
      <c r="E92" s="75">
        <v>76699489.829999998</v>
      </c>
      <c r="F92" s="75">
        <v>25896955.84</v>
      </c>
      <c r="G92" s="76">
        <v>50802533.989999995</v>
      </c>
      <c r="H92" s="75">
        <v>0</v>
      </c>
      <c r="I92" s="77">
        <v>25896955.840000004</v>
      </c>
      <c r="J92" s="43">
        <f t="shared" si="1"/>
        <v>-25896955.840000004</v>
      </c>
    </row>
    <row r="93" spans="1:10" ht="31.2" customHeight="1">
      <c r="A93" s="71">
        <v>402.14</v>
      </c>
      <c r="B93" s="72" t="s">
        <v>55</v>
      </c>
      <c r="C93" s="74">
        <v>0</v>
      </c>
      <c r="D93" s="73">
        <v>491601600</v>
      </c>
      <c r="E93" s="75">
        <v>491601600</v>
      </c>
      <c r="F93" s="75">
        <v>587412800</v>
      </c>
      <c r="G93" s="76">
        <v>-95811200</v>
      </c>
      <c r="H93" s="75">
        <v>0</v>
      </c>
      <c r="I93" s="77">
        <v>587412800</v>
      </c>
      <c r="J93" s="43">
        <f t="shared" si="1"/>
        <v>-587412800</v>
      </c>
    </row>
    <row r="94" spans="1:10" ht="31.2" customHeight="1">
      <c r="A94" s="71">
        <v>402.15</v>
      </c>
      <c r="B94" s="72" t="s">
        <v>56</v>
      </c>
      <c r="C94" s="74">
        <v>0</v>
      </c>
      <c r="D94" s="73">
        <v>11285950</v>
      </c>
      <c r="E94" s="75">
        <v>283400</v>
      </c>
      <c r="F94" s="75">
        <v>8463500</v>
      </c>
      <c r="G94" s="76">
        <v>-8180100</v>
      </c>
      <c r="H94" s="75">
        <v>0</v>
      </c>
      <c r="I94" s="77">
        <v>19466050</v>
      </c>
      <c r="J94" s="43">
        <f t="shared" si="1"/>
        <v>-19466050</v>
      </c>
    </row>
    <row r="95" spans="1:10" ht="31.2" customHeight="1">
      <c r="A95" s="71">
        <v>402.16</v>
      </c>
      <c r="B95" s="72" t="s">
        <v>166</v>
      </c>
      <c r="C95" s="74">
        <v>0</v>
      </c>
      <c r="D95" s="73">
        <v>0</v>
      </c>
      <c r="E95" s="75">
        <v>0</v>
      </c>
      <c r="F95" s="75">
        <v>74781793.300000012</v>
      </c>
      <c r="G95" s="76">
        <v>-74781793.300000012</v>
      </c>
      <c r="H95" s="75">
        <v>0</v>
      </c>
      <c r="I95" s="77">
        <v>74781793.300000012</v>
      </c>
      <c r="J95" s="43">
        <f t="shared" si="1"/>
        <v>-74781793.300000012</v>
      </c>
    </row>
    <row r="96" spans="1:10" ht="31.2" customHeight="1">
      <c r="A96" s="71">
        <v>402.17</v>
      </c>
      <c r="B96" s="72" t="s">
        <v>57</v>
      </c>
      <c r="C96" s="74"/>
      <c r="D96" s="73"/>
      <c r="E96" s="75"/>
      <c r="F96" s="75"/>
      <c r="G96" s="76"/>
      <c r="H96" s="75"/>
      <c r="I96" s="77"/>
      <c r="J96" s="43"/>
    </row>
    <row r="97" spans="1:10" ht="31.2" customHeight="1">
      <c r="A97" s="71">
        <v>403</v>
      </c>
      <c r="B97" s="72" t="s">
        <v>164</v>
      </c>
      <c r="C97" s="74"/>
      <c r="D97" s="73"/>
      <c r="E97" s="75"/>
      <c r="F97" s="75"/>
      <c r="G97" s="76"/>
      <c r="H97" s="75"/>
      <c r="I97" s="77"/>
      <c r="J97" s="43"/>
    </row>
    <row r="98" spans="1:10" ht="31.2" customHeight="1">
      <c r="A98" s="71">
        <v>404</v>
      </c>
      <c r="B98" s="72" t="s">
        <v>58</v>
      </c>
      <c r="C98" s="74"/>
      <c r="D98" s="73"/>
      <c r="E98" s="75"/>
      <c r="F98" s="75"/>
      <c r="G98" s="76"/>
      <c r="H98" s="75"/>
      <c r="I98" s="77"/>
      <c r="J98" s="43"/>
    </row>
    <row r="99" spans="1:10" ht="31.2" customHeight="1">
      <c r="A99" s="71">
        <v>4042</v>
      </c>
      <c r="B99" s="72" t="s">
        <v>247</v>
      </c>
      <c r="C99" s="73">
        <v>0</v>
      </c>
      <c r="D99" s="74">
        <v>109565218</v>
      </c>
      <c r="E99" s="75">
        <v>5621964.5099999998</v>
      </c>
      <c r="F99" s="75">
        <v>0</v>
      </c>
      <c r="G99" s="76">
        <v>5621964.5099999998</v>
      </c>
      <c r="H99" s="75">
        <v>0</v>
      </c>
      <c r="I99" s="77">
        <v>103943253.48999999</v>
      </c>
      <c r="J99" s="43">
        <f t="shared" si="1"/>
        <v>-103943253.48999999</v>
      </c>
    </row>
    <row r="100" spans="1:10" ht="31.2" customHeight="1">
      <c r="A100" s="71">
        <v>4201</v>
      </c>
      <c r="B100" s="72" t="s">
        <v>59</v>
      </c>
      <c r="C100" s="74">
        <v>0</v>
      </c>
      <c r="D100" s="74">
        <v>21966340.379999999</v>
      </c>
      <c r="E100" s="75">
        <v>21966340.379999999</v>
      </c>
      <c r="F100" s="75">
        <v>200117883.99000001</v>
      </c>
      <c r="G100" s="76">
        <v>-178151543.61000001</v>
      </c>
      <c r="H100" s="75">
        <v>0</v>
      </c>
      <c r="I100" s="77">
        <v>200117883.99000001</v>
      </c>
      <c r="J100" s="43">
        <f t="shared" si="1"/>
        <v>-200117883.99000001</v>
      </c>
    </row>
    <row r="101" spans="1:10" ht="31.2" customHeight="1">
      <c r="A101" s="71">
        <v>4221</v>
      </c>
      <c r="B101" s="72" t="s">
        <v>60</v>
      </c>
      <c r="C101" s="74">
        <v>0</v>
      </c>
      <c r="D101" s="74">
        <v>0</v>
      </c>
      <c r="E101" s="75">
        <v>0</v>
      </c>
      <c r="F101" s="75">
        <v>5642266.2999999998</v>
      </c>
      <c r="G101" s="76">
        <v>-5642266.2999999998</v>
      </c>
      <c r="H101" s="75">
        <v>0</v>
      </c>
      <c r="I101" s="77">
        <v>5642266.2999999998</v>
      </c>
      <c r="J101" s="43">
        <f t="shared" si="1"/>
        <v>-5642266.2999999998</v>
      </c>
    </row>
    <row r="102" spans="1:10" ht="31.2" customHeight="1">
      <c r="A102" s="71">
        <v>430</v>
      </c>
      <c r="B102" s="72" t="s">
        <v>61</v>
      </c>
      <c r="C102" s="74">
        <v>0</v>
      </c>
      <c r="D102" s="73">
        <v>9362575.4600000009</v>
      </c>
      <c r="E102" s="75">
        <v>3649233</v>
      </c>
      <c r="F102" s="75">
        <v>10555683.469999999</v>
      </c>
      <c r="G102" s="76">
        <v>-6906450.4699999988</v>
      </c>
      <c r="H102" s="75">
        <v>0</v>
      </c>
      <c r="I102" s="77">
        <v>16269025.93</v>
      </c>
      <c r="J102" s="43">
        <f t="shared" si="1"/>
        <v>-16269025.93</v>
      </c>
    </row>
    <row r="103" spans="1:10" ht="31.2" customHeight="1">
      <c r="A103" s="71" t="s">
        <v>239</v>
      </c>
      <c r="B103" s="72" t="s">
        <v>62</v>
      </c>
      <c r="C103" s="73">
        <v>0</v>
      </c>
      <c r="D103" s="74">
        <v>0</v>
      </c>
      <c r="E103" s="75">
        <v>174526120.80000001</v>
      </c>
      <c r="F103" s="75">
        <v>174526120.80000001</v>
      </c>
      <c r="G103" s="76">
        <v>0</v>
      </c>
      <c r="H103" s="75">
        <v>0</v>
      </c>
      <c r="I103" s="77">
        <v>0</v>
      </c>
      <c r="J103" s="43">
        <f t="shared" si="1"/>
        <v>0</v>
      </c>
    </row>
    <row r="104" spans="1:10" ht="31.2" customHeight="1">
      <c r="A104" s="71">
        <v>433</v>
      </c>
      <c r="B104" s="72" t="s">
        <v>63</v>
      </c>
      <c r="C104" s="73">
        <v>0</v>
      </c>
      <c r="D104" s="74">
        <v>27802720.18</v>
      </c>
      <c r="E104" s="75">
        <v>20444637</v>
      </c>
      <c r="F104" s="75">
        <v>73509233.420000002</v>
      </c>
      <c r="G104" s="76">
        <v>-53064596.420000002</v>
      </c>
      <c r="H104" s="75">
        <v>0</v>
      </c>
      <c r="I104" s="77">
        <v>80867316.599999994</v>
      </c>
      <c r="J104" s="43">
        <f t="shared" si="1"/>
        <v>-80867316.599999994</v>
      </c>
    </row>
    <row r="105" spans="1:10" ht="31.2" customHeight="1">
      <c r="A105" s="71">
        <v>448</v>
      </c>
      <c r="B105" s="72" t="s">
        <v>248</v>
      </c>
      <c r="C105" s="73"/>
      <c r="D105" s="74"/>
      <c r="E105" s="75"/>
      <c r="F105" s="75"/>
      <c r="G105" s="76"/>
      <c r="H105" s="75"/>
      <c r="I105" s="77"/>
      <c r="J105" s="43"/>
    </row>
    <row r="106" spans="1:10" ht="31.2" customHeight="1">
      <c r="A106" s="71" t="s">
        <v>287</v>
      </c>
      <c r="B106" s="72" t="s">
        <v>288</v>
      </c>
      <c r="C106" s="73">
        <v>0</v>
      </c>
      <c r="D106" s="74">
        <v>0</v>
      </c>
      <c r="E106" s="75">
        <v>855000</v>
      </c>
      <c r="F106" s="75">
        <v>855000</v>
      </c>
      <c r="G106" s="76">
        <v>0</v>
      </c>
      <c r="H106" s="75">
        <v>0</v>
      </c>
      <c r="I106" s="77">
        <v>0</v>
      </c>
      <c r="J106" s="43">
        <f t="shared" ref="J106:J149" si="3">H106</f>
        <v>0</v>
      </c>
    </row>
    <row r="107" spans="1:10" ht="31.2" customHeight="1">
      <c r="A107" s="71" t="s">
        <v>238</v>
      </c>
      <c r="B107" s="72" t="s">
        <v>64</v>
      </c>
      <c r="C107" s="73">
        <v>0</v>
      </c>
      <c r="D107" s="74">
        <v>0</v>
      </c>
      <c r="E107" s="75">
        <v>70000000</v>
      </c>
      <c r="F107" s="75">
        <v>70000000</v>
      </c>
      <c r="G107" s="76">
        <v>0</v>
      </c>
      <c r="H107" s="75">
        <v>0</v>
      </c>
      <c r="I107" s="77">
        <v>0</v>
      </c>
      <c r="J107" s="43">
        <f t="shared" si="3"/>
        <v>0</v>
      </c>
    </row>
    <row r="108" spans="1:10" ht="31.2" customHeight="1">
      <c r="A108" s="71" t="s">
        <v>289</v>
      </c>
      <c r="B108" s="72" t="s">
        <v>290</v>
      </c>
      <c r="C108" s="73">
        <v>0</v>
      </c>
      <c r="D108" s="74">
        <v>0</v>
      </c>
      <c r="E108" s="75">
        <v>677080000</v>
      </c>
      <c r="F108" s="75">
        <v>677080000</v>
      </c>
      <c r="G108" s="76">
        <v>0</v>
      </c>
      <c r="H108" s="75">
        <v>0</v>
      </c>
      <c r="I108" s="77">
        <v>0</v>
      </c>
      <c r="J108" s="43">
        <f t="shared" si="3"/>
        <v>0</v>
      </c>
    </row>
    <row r="109" spans="1:10" ht="31.2" customHeight="1">
      <c r="A109" s="71" t="s">
        <v>237</v>
      </c>
      <c r="B109" s="72" t="s">
        <v>65</v>
      </c>
      <c r="C109" s="73">
        <v>0</v>
      </c>
      <c r="D109" s="74">
        <v>0</v>
      </c>
      <c r="E109" s="75">
        <v>1460208020</v>
      </c>
      <c r="F109" s="75">
        <v>1460208020</v>
      </c>
      <c r="G109" s="76">
        <v>0</v>
      </c>
      <c r="H109" s="75">
        <v>0</v>
      </c>
      <c r="I109" s="77">
        <v>0</v>
      </c>
      <c r="J109" s="43">
        <f t="shared" si="3"/>
        <v>0</v>
      </c>
    </row>
    <row r="110" spans="1:10" ht="31.2" customHeight="1">
      <c r="A110" s="71" t="s">
        <v>236</v>
      </c>
      <c r="B110" s="72" t="s">
        <v>66</v>
      </c>
      <c r="C110" s="73">
        <v>0</v>
      </c>
      <c r="D110" s="74">
        <v>0</v>
      </c>
      <c r="E110" s="75">
        <v>2485934268.7600002</v>
      </c>
      <c r="F110" s="75">
        <v>0</v>
      </c>
      <c r="G110" s="76">
        <v>2485934268.7600002</v>
      </c>
      <c r="H110" s="75">
        <v>2485934268.7600002</v>
      </c>
      <c r="I110" s="77">
        <v>0</v>
      </c>
      <c r="J110" s="43">
        <f t="shared" si="3"/>
        <v>2485934268.7600002</v>
      </c>
    </row>
    <row r="111" spans="1:10" ht="31.2" customHeight="1">
      <c r="A111" s="160">
        <v>606.01</v>
      </c>
      <c r="B111" s="72" t="s">
        <v>67</v>
      </c>
      <c r="C111" s="73">
        <v>0</v>
      </c>
      <c r="D111" s="74">
        <v>0</v>
      </c>
      <c r="E111" s="75">
        <v>3421046.4</v>
      </c>
      <c r="F111" s="75">
        <v>0</v>
      </c>
      <c r="G111" s="76">
        <v>3421046.4</v>
      </c>
      <c r="H111" s="75">
        <v>3421046.4</v>
      </c>
      <c r="I111" s="77">
        <v>0</v>
      </c>
      <c r="J111" s="43">
        <f t="shared" si="3"/>
        <v>3421046.4</v>
      </c>
    </row>
    <row r="112" spans="1:10" ht="31.2" customHeight="1">
      <c r="A112" s="161">
        <v>606.02</v>
      </c>
      <c r="B112" s="72" t="s">
        <v>68</v>
      </c>
      <c r="C112" s="73">
        <v>0</v>
      </c>
      <c r="D112" s="74">
        <v>0</v>
      </c>
      <c r="E112" s="75">
        <v>516000</v>
      </c>
      <c r="F112" s="75">
        <v>0</v>
      </c>
      <c r="G112" s="76">
        <v>516000</v>
      </c>
      <c r="H112" s="75">
        <v>516000</v>
      </c>
      <c r="I112" s="77">
        <v>0</v>
      </c>
      <c r="J112" s="43">
        <f t="shared" si="3"/>
        <v>516000</v>
      </c>
    </row>
    <row r="113" spans="1:10" ht="31.2" customHeight="1">
      <c r="A113" s="161">
        <v>606.03</v>
      </c>
      <c r="B113" s="72" t="s">
        <v>69</v>
      </c>
      <c r="C113" s="73">
        <v>0</v>
      </c>
      <c r="D113" s="74">
        <v>0</v>
      </c>
      <c r="E113" s="75">
        <v>16464054.189999999</v>
      </c>
      <c r="F113" s="75">
        <v>0</v>
      </c>
      <c r="G113" s="76">
        <v>16464054.189999999</v>
      </c>
      <c r="H113" s="75">
        <v>16464054.189999999</v>
      </c>
      <c r="I113" s="77">
        <v>0</v>
      </c>
      <c r="J113" s="43">
        <f t="shared" si="3"/>
        <v>16464054.189999999</v>
      </c>
    </row>
    <row r="114" spans="1:10" ht="31.2" customHeight="1">
      <c r="A114" s="160">
        <v>606.04</v>
      </c>
      <c r="B114" s="72" t="s">
        <v>70</v>
      </c>
      <c r="C114" s="73">
        <v>0</v>
      </c>
      <c r="D114" s="74">
        <v>0</v>
      </c>
      <c r="E114" s="75">
        <v>3979600</v>
      </c>
      <c r="F114" s="75">
        <v>0</v>
      </c>
      <c r="G114" s="76">
        <v>3979600</v>
      </c>
      <c r="H114" s="75">
        <v>3979600</v>
      </c>
      <c r="I114" s="77">
        <v>0</v>
      </c>
      <c r="J114" s="43">
        <f t="shared" si="3"/>
        <v>3979600</v>
      </c>
    </row>
    <row r="115" spans="1:10" ht="31.2" customHeight="1">
      <c r="A115" s="160">
        <v>606.04999999999995</v>
      </c>
      <c r="B115" s="72" t="s">
        <v>71</v>
      </c>
      <c r="C115" s="73"/>
      <c r="D115" s="74"/>
      <c r="E115" s="75"/>
      <c r="F115" s="75"/>
      <c r="G115" s="76"/>
      <c r="H115" s="75"/>
      <c r="I115" s="77"/>
      <c r="J115" s="43"/>
    </row>
    <row r="116" spans="1:10" ht="31.2" customHeight="1">
      <c r="A116" s="71">
        <v>611.01</v>
      </c>
      <c r="B116" s="72" t="s">
        <v>72</v>
      </c>
      <c r="C116" s="73">
        <v>0</v>
      </c>
      <c r="D116" s="74">
        <v>0</v>
      </c>
      <c r="E116" s="75">
        <v>19466050</v>
      </c>
      <c r="F116" s="75">
        <v>0</v>
      </c>
      <c r="G116" s="76">
        <v>19466050</v>
      </c>
      <c r="H116" s="75">
        <v>19466050</v>
      </c>
      <c r="I116" s="77">
        <v>0</v>
      </c>
      <c r="J116" s="43">
        <f t="shared" si="3"/>
        <v>19466050</v>
      </c>
    </row>
    <row r="117" spans="1:10" ht="31.2" customHeight="1">
      <c r="A117" s="71">
        <v>611.02</v>
      </c>
      <c r="B117" s="72" t="s">
        <v>73</v>
      </c>
      <c r="C117" s="73"/>
      <c r="D117" s="74"/>
      <c r="E117" s="75"/>
      <c r="F117" s="75"/>
      <c r="G117" s="76"/>
      <c r="H117" s="75"/>
      <c r="I117" s="77"/>
      <c r="J117" s="43"/>
    </row>
    <row r="118" spans="1:10" ht="31.2" customHeight="1">
      <c r="A118" s="71">
        <v>611.03</v>
      </c>
      <c r="B118" s="72" t="s">
        <v>104</v>
      </c>
      <c r="C118" s="73"/>
      <c r="D118" s="74"/>
      <c r="E118" s="75"/>
      <c r="F118" s="75"/>
      <c r="G118" s="76"/>
      <c r="H118" s="75"/>
      <c r="I118" s="77"/>
      <c r="J118" s="43"/>
    </row>
    <row r="119" spans="1:10" ht="31.2" customHeight="1">
      <c r="A119" s="71">
        <v>611.04</v>
      </c>
      <c r="B119" s="72" t="s">
        <v>221</v>
      </c>
      <c r="C119" s="73">
        <v>0</v>
      </c>
      <c r="D119" s="74">
        <v>0</v>
      </c>
      <c r="E119" s="75">
        <v>17874912</v>
      </c>
      <c r="F119" s="75">
        <v>0</v>
      </c>
      <c r="G119" s="76">
        <v>17874912</v>
      </c>
      <c r="H119" s="75">
        <v>17874912</v>
      </c>
      <c r="I119" s="77">
        <v>0</v>
      </c>
      <c r="J119" s="43">
        <f t="shared" si="3"/>
        <v>17874912</v>
      </c>
    </row>
    <row r="120" spans="1:10" ht="31.2" customHeight="1">
      <c r="A120" s="71">
        <v>611.04999999999995</v>
      </c>
      <c r="B120" s="72" t="s">
        <v>105</v>
      </c>
      <c r="C120" s="73"/>
      <c r="D120" s="74"/>
      <c r="E120" s="75"/>
      <c r="F120" s="75"/>
      <c r="G120" s="76"/>
      <c r="H120" s="75"/>
      <c r="I120" s="77"/>
      <c r="J120" s="43"/>
    </row>
    <row r="121" spans="1:10" ht="31.2" customHeight="1">
      <c r="A121" s="71">
        <v>611.05999999999995</v>
      </c>
      <c r="B121" s="72" t="s">
        <v>74</v>
      </c>
      <c r="C121" s="73">
        <v>0</v>
      </c>
      <c r="D121" s="74">
        <v>0</v>
      </c>
      <c r="E121" s="75">
        <v>6770800</v>
      </c>
      <c r="F121" s="75">
        <v>0</v>
      </c>
      <c r="G121" s="76">
        <v>6770800</v>
      </c>
      <c r="H121" s="75">
        <v>6770800</v>
      </c>
      <c r="I121" s="77">
        <v>0</v>
      </c>
      <c r="J121" s="43">
        <f t="shared" si="3"/>
        <v>6770800</v>
      </c>
    </row>
    <row r="122" spans="1:10" ht="31.2" customHeight="1">
      <c r="A122" s="71">
        <v>611.07000000000005</v>
      </c>
      <c r="B122" s="72" t="s">
        <v>222</v>
      </c>
      <c r="C122" s="73">
        <v>0</v>
      </c>
      <c r="D122" s="74">
        <v>0</v>
      </c>
      <c r="E122" s="75">
        <v>74630296.650000006</v>
      </c>
      <c r="F122" s="75">
        <v>0</v>
      </c>
      <c r="G122" s="76">
        <v>74630296.650000006</v>
      </c>
      <c r="H122" s="75">
        <v>74630296.650000006</v>
      </c>
      <c r="I122" s="77">
        <v>0</v>
      </c>
      <c r="J122" s="43">
        <f t="shared" si="3"/>
        <v>74630296.650000006</v>
      </c>
    </row>
    <row r="123" spans="1:10" ht="31.2" customHeight="1">
      <c r="A123" s="71">
        <v>612.01</v>
      </c>
      <c r="B123" s="72" t="s">
        <v>75</v>
      </c>
      <c r="C123" s="73">
        <v>0</v>
      </c>
      <c r="D123" s="74">
        <v>0</v>
      </c>
      <c r="E123" s="75">
        <v>12052870.35</v>
      </c>
      <c r="F123" s="75">
        <v>0</v>
      </c>
      <c r="G123" s="76">
        <v>12052870.35</v>
      </c>
      <c r="H123" s="75">
        <v>12052870.35</v>
      </c>
      <c r="I123" s="77">
        <v>0</v>
      </c>
      <c r="J123" s="43">
        <f t="shared" si="3"/>
        <v>12052870.35</v>
      </c>
    </row>
    <row r="124" spans="1:10" ht="31.2" customHeight="1">
      <c r="A124" s="160">
        <v>612.02</v>
      </c>
      <c r="B124" s="72" t="s">
        <v>76</v>
      </c>
      <c r="C124" s="73"/>
      <c r="D124" s="74"/>
      <c r="E124" s="75"/>
      <c r="F124" s="75"/>
      <c r="G124" s="76"/>
      <c r="H124" s="75"/>
      <c r="I124" s="77"/>
      <c r="J124" s="43"/>
    </row>
    <row r="125" spans="1:10" ht="31.2" customHeight="1">
      <c r="A125" s="160">
        <v>612.04</v>
      </c>
      <c r="B125" s="72" t="s">
        <v>77</v>
      </c>
      <c r="C125" s="73">
        <v>0</v>
      </c>
      <c r="D125" s="74">
        <v>0</v>
      </c>
      <c r="E125" s="75">
        <v>28894389</v>
      </c>
      <c r="F125" s="75">
        <v>0</v>
      </c>
      <c r="G125" s="76">
        <v>28894389</v>
      </c>
      <c r="H125" s="75">
        <v>28894389</v>
      </c>
      <c r="I125" s="77">
        <v>0</v>
      </c>
      <c r="J125" s="43">
        <f t="shared" si="3"/>
        <v>28894389</v>
      </c>
    </row>
    <row r="126" spans="1:10" ht="31.2" customHeight="1">
      <c r="A126" s="71" t="s">
        <v>291</v>
      </c>
      <c r="B126" s="72" t="s">
        <v>292</v>
      </c>
      <c r="C126" s="73">
        <v>0</v>
      </c>
      <c r="D126" s="74">
        <v>0</v>
      </c>
      <c r="E126" s="75">
        <v>850000</v>
      </c>
      <c r="F126" s="75">
        <v>0</v>
      </c>
      <c r="G126" s="76">
        <v>850000</v>
      </c>
      <c r="H126" s="75">
        <v>850000</v>
      </c>
      <c r="I126" s="77">
        <v>0</v>
      </c>
      <c r="J126" s="43">
        <f t="shared" si="3"/>
        <v>850000</v>
      </c>
    </row>
    <row r="127" spans="1:10" ht="31.2" customHeight="1">
      <c r="A127" s="71">
        <v>614.01</v>
      </c>
      <c r="B127" s="72" t="s">
        <v>78</v>
      </c>
      <c r="C127" s="73"/>
      <c r="D127" s="74"/>
      <c r="E127" s="75"/>
      <c r="F127" s="75"/>
      <c r="G127" s="76"/>
      <c r="H127" s="75"/>
      <c r="I127" s="77"/>
      <c r="J127" s="43"/>
    </row>
    <row r="128" spans="1:10" ht="31.2" customHeight="1">
      <c r="A128" s="71">
        <v>614.02</v>
      </c>
      <c r="B128" s="72" t="s">
        <v>79</v>
      </c>
      <c r="C128" s="73">
        <v>0</v>
      </c>
      <c r="D128" s="74">
        <v>0</v>
      </c>
      <c r="E128" s="75">
        <v>3071000</v>
      </c>
      <c r="F128" s="75">
        <v>0</v>
      </c>
      <c r="G128" s="76">
        <v>3071000</v>
      </c>
      <c r="H128" s="75">
        <v>3071000</v>
      </c>
      <c r="I128" s="77">
        <v>0</v>
      </c>
      <c r="J128" s="43">
        <f t="shared" si="3"/>
        <v>3071000</v>
      </c>
    </row>
    <row r="129" spans="1:10" ht="31.2" customHeight="1">
      <c r="A129" s="71">
        <v>614.03</v>
      </c>
      <c r="B129" s="72" t="s">
        <v>107</v>
      </c>
      <c r="C129" s="73"/>
      <c r="D129" s="74"/>
      <c r="E129" s="75"/>
      <c r="F129" s="75"/>
      <c r="G129" s="76"/>
      <c r="H129" s="75"/>
      <c r="I129" s="77"/>
      <c r="J129" s="43"/>
    </row>
    <row r="130" spans="1:10" ht="31.2" customHeight="1">
      <c r="A130" s="71">
        <v>615</v>
      </c>
      <c r="B130" s="72" t="s">
        <v>108</v>
      </c>
      <c r="C130" s="73"/>
      <c r="D130" s="74"/>
      <c r="E130" s="75"/>
      <c r="F130" s="75"/>
      <c r="G130" s="76"/>
      <c r="H130" s="75"/>
      <c r="I130" s="77"/>
      <c r="J130" s="43"/>
    </row>
    <row r="131" spans="1:10" ht="31.2" customHeight="1">
      <c r="A131" s="71">
        <v>618</v>
      </c>
      <c r="B131" s="72" t="s">
        <v>109</v>
      </c>
      <c r="C131" s="73"/>
      <c r="D131" s="74"/>
      <c r="E131" s="75"/>
      <c r="F131" s="75"/>
      <c r="G131" s="76"/>
      <c r="H131" s="75"/>
      <c r="I131" s="77"/>
      <c r="J131" s="43"/>
    </row>
    <row r="132" spans="1:10" ht="31.2" customHeight="1">
      <c r="A132" s="71">
        <v>621</v>
      </c>
      <c r="B132" s="72" t="s">
        <v>293</v>
      </c>
      <c r="C132" s="73">
        <v>0</v>
      </c>
      <c r="D132" s="74">
        <v>0</v>
      </c>
      <c r="E132" s="75">
        <v>1392922.83</v>
      </c>
      <c r="F132" s="75">
        <v>0</v>
      </c>
      <c r="G132" s="76">
        <v>1392922.83</v>
      </c>
      <c r="H132" s="75">
        <v>1392922.83</v>
      </c>
      <c r="I132" s="77">
        <v>0</v>
      </c>
      <c r="J132" s="43">
        <f t="shared" si="3"/>
        <v>1392922.83</v>
      </c>
    </row>
    <row r="133" spans="1:10" ht="31.2" customHeight="1">
      <c r="A133" s="71">
        <v>622</v>
      </c>
      <c r="B133" s="72" t="s">
        <v>80</v>
      </c>
      <c r="C133" s="73"/>
      <c r="D133" s="74"/>
      <c r="E133" s="75"/>
      <c r="F133" s="75"/>
      <c r="G133" s="76"/>
      <c r="H133" s="75"/>
      <c r="I133" s="77"/>
      <c r="J133" s="43"/>
    </row>
    <row r="134" spans="1:10" ht="31.2" customHeight="1">
      <c r="A134" s="71">
        <v>623.01</v>
      </c>
      <c r="B134" s="72" t="s">
        <v>81</v>
      </c>
      <c r="C134" s="74">
        <v>0</v>
      </c>
      <c r="D134" s="74">
        <v>0</v>
      </c>
      <c r="E134" s="75">
        <v>1130442.46</v>
      </c>
      <c r="F134" s="75">
        <v>0</v>
      </c>
      <c r="G134" s="76">
        <v>1130442.46</v>
      </c>
      <c r="H134" s="75">
        <v>1130442.46</v>
      </c>
      <c r="I134" s="77">
        <v>0</v>
      </c>
      <c r="J134" s="43">
        <f t="shared" si="3"/>
        <v>1130442.46</v>
      </c>
    </row>
    <row r="135" spans="1:10" ht="31.2" customHeight="1">
      <c r="A135" s="71">
        <v>623.02</v>
      </c>
      <c r="B135" s="72" t="s">
        <v>82</v>
      </c>
      <c r="C135" s="73">
        <v>0</v>
      </c>
      <c r="D135" s="74">
        <v>0</v>
      </c>
      <c r="E135" s="75">
        <v>2635514</v>
      </c>
      <c r="F135" s="75">
        <v>0</v>
      </c>
      <c r="G135" s="76">
        <v>2635514</v>
      </c>
      <c r="H135" s="75">
        <v>2635514</v>
      </c>
      <c r="I135" s="77">
        <v>0</v>
      </c>
      <c r="J135" s="43">
        <f t="shared" si="3"/>
        <v>2635514</v>
      </c>
    </row>
    <row r="136" spans="1:10" ht="31.2" customHeight="1">
      <c r="A136" s="71">
        <v>624</v>
      </c>
      <c r="B136" s="72" t="s">
        <v>83</v>
      </c>
      <c r="C136" s="73">
        <v>0</v>
      </c>
      <c r="D136" s="74">
        <v>0</v>
      </c>
      <c r="E136" s="75">
        <v>7365900</v>
      </c>
      <c r="F136" s="75">
        <v>0</v>
      </c>
      <c r="G136" s="76">
        <v>7365900</v>
      </c>
      <c r="H136" s="75">
        <v>7365900</v>
      </c>
      <c r="I136" s="77">
        <v>0</v>
      </c>
      <c r="J136" s="43">
        <f t="shared" si="3"/>
        <v>7365900</v>
      </c>
    </row>
    <row r="137" spans="1:10" ht="31.2" customHeight="1">
      <c r="A137" s="71">
        <v>625.01</v>
      </c>
      <c r="B137" s="72" t="s">
        <v>84</v>
      </c>
      <c r="C137" s="73"/>
      <c r="D137" s="74"/>
      <c r="E137" s="75"/>
      <c r="F137" s="75"/>
      <c r="G137" s="76"/>
      <c r="H137" s="75"/>
      <c r="I137" s="77"/>
      <c r="J137" s="43"/>
    </row>
    <row r="138" spans="1:10" ht="31.2" customHeight="1">
      <c r="A138" s="71">
        <v>625.02</v>
      </c>
      <c r="B138" s="72" t="s">
        <v>85</v>
      </c>
      <c r="C138" s="73">
        <v>0</v>
      </c>
      <c r="D138" s="74">
        <v>0</v>
      </c>
      <c r="E138" s="75">
        <v>5090000</v>
      </c>
      <c r="F138" s="75">
        <v>0</v>
      </c>
      <c r="G138" s="76">
        <v>5090000</v>
      </c>
      <c r="H138" s="75">
        <v>5090000</v>
      </c>
      <c r="I138" s="77">
        <v>0</v>
      </c>
      <c r="J138" s="43">
        <f t="shared" si="3"/>
        <v>5090000</v>
      </c>
    </row>
    <row r="139" spans="1:10" ht="31.2" customHeight="1">
      <c r="A139" s="71">
        <v>625.03</v>
      </c>
      <c r="B139" s="72" t="s">
        <v>86</v>
      </c>
      <c r="C139" s="73"/>
      <c r="D139" s="74"/>
      <c r="E139" s="75"/>
      <c r="F139" s="75"/>
      <c r="G139" s="76"/>
      <c r="H139" s="75"/>
      <c r="I139" s="77"/>
      <c r="J139" s="43"/>
    </row>
    <row r="140" spans="1:10" ht="31.2" customHeight="1">
      <c r="A140" s="71">
        <v>627</v>
      </c>
      <c r="B140" s="72" t="s">
        <v>87</v>
      </c>
      <c r="C140" s="73">
        <v>0</v>
      </c>
      <c r="D140" s="74">
        <v>0</v>
      </c>
      <c r="E140" s="75">
        <v>520358.25</v>
      </c>
      <c r="F140" s="75">
        <v>0</v>
      </c>
      <c r="G140" s="76">
        <v>520358.25</v>
      </c>
      <c r="H140" s="75">
        <v>520358.25</v>
      </c>
      <c r="I140" s="77">
        <v>0</v>
      </c>
      <c r="J140" s="43">
        <f t="shared" si="3"/>
        <v>520358.25</v>
      </c>
    </row>
    <row r="141" spans="1:10" ht="31.2" customHeight="1">
      <c r="A141" s="71">
        <v>631</v>
      </c>
      <c r="B141" s="72" t="s">
        <v>294</v>
      </c>
      <c r="C141" s="73">
        <v>0</v>
      </c>
      <c r="D141" s="74">
        <v>0</v>
      </c>
      <c r="E141" s="75">
        <v>175237889.97999999</v>
      </c>
      <c r="F141" s="75">
        <v>0</v>
      </c>
      <c r="G141" s="76">
        <v>175237889.97999999</v>
      </c>
      <c r="H141" s="75">
        <v>175237889.97999999</v>
      </c>
      <c r="I141" s="77">
        <v>0</v>
      </c>
      <c r="J141" s="43">
        <f t="shared" si="3"/>
        <v>175237889.97999999</v>
      </c>
    </row>
    <row r="142" spans="1:10" ht="31.2" customHeight="1">
      <c r="A142" s="71">
        <v>633</v>
      </c>
      <c r="B142" s="72" t="s">
        <v>223</v>
      </c>
      <c r="C142" s="73"/>
      <c r="D142" s="74"/>
      <c r="E142" s="75"/>
      <c r="F142" s="75"/>
      <c r="G142" s="76"/>
      <c r="H142" s="75"/>
      <c r="I142" s="77"/>
      <c r="J142" s="43"/>
    </row>
    <row r="143" spans="1:10" ht="31.2" customHeight="1">
      <c r="A143" s="71" t="s">
        <v>252</v>
      </c>
      <c r="B143" s="72" t="s">
        <v>295</v>
      </c>
      <c r="C143" s="73">
        <v>0</v>
      </c>
      <c r="D143" s="74">
        <v>0</v>
      </c>
      <c r="E143" s="75">
        <v>2850000</v>
      </c>
      <c r="F143" s="75">
        <v>0</v>
      </c>
      <c r="G143" s="76">
        <v>2850000</v>
      </c>
      <c r="H143" s="75">
        <v>2850000</v>
      </c>
      <c r="I143" s="77">
        <v>0</v>
      </c>
      <c r="J143" s="43">
        <f t="shared" si="3"/>
        <v>2850000</v>
      </c>
    </row>
    <row r="144" spans="1:10" ht="31.2" customHeight="1">
      <c r="A144" s="71">
        <v>635</v>
      </c>
      <c r="B144" s="72" t="s">
        <v>89</v>
      </c>
      <c r="C144" s="73">
        <v>0</v>
      </c>
      <c r="D144" s="74">
        <v>0</v>
      </c>
      <c r="E144" s="75">
        <v>10066872.300000001</v>
      </c>
      <c r="F144" s="75">
        <v>0</v>
      </c>
      <c r="G144" s="76">
        <v>10066872.300000001</v>
      </c>
      <c r="H144" s="75">
        <v>10066872.300000001</v>
      </c>
      <c r="I144" s="77">
        <v>0</v>
      </c>
      <c r="J144" s="43">
        <f t="shared" si="3"/>
        <v>10066872.300000001</v>
      </c>
    </row>
    <row r="145" spans="1:10" ht="31.2" customHeight="1">
      <c r="A145" s="71" t="s">
        <v>296</v>
      </c>
      <c r="B145" s="72" t="s">
        <v>86</v>
      </c>
      <c r="C145" s="73">
        <v>0</v>
      </c>
      <c r="D145" s="74">
        <v>0</v>
      </c>
      <c r="E145" s="75">
        <v>4870000</v>
      </c>
      <c r="F145" s="75">
        <v>0</v>
      </c>
      <c r="G145" s="76">
        <v>4870000</v>
      </c>
      <c r="H145" s="75">
        <v>4870000</v>
      </c>
      <c r="I145" s="77">
        <v>0</v>
      </c>
      <c r="J145" s="43">
        <f t="shared" si="3"/>
        <v>4870000</v>
      </c>
    </row>
    <row r="146" spans="1:10" ht="31.2" customHeight="1">
      <c r="A146" s="71">
        <v>656</v>
      </c>
      <c r="B146" s="72" t="s">
        <v>92</v>
      </c>
      <c r="C146" s="73">
        <v>0</v>
      </c>
      <c r="D146" s="74">
        <v>0</v>
      </c>
      <c r="E146" s="75">
        <v>200000</v>
      </c>
      <c r="F146" s="75">
        <v>0</v>
      </c>
      <c r="G146" s="76">
        <v>200000</v>
      </c>
      <c r="H146" s="75">
        <v>200000</v>
      </c>
      <c r="I146" s="77">
        <v>0</v>
      </c>
      <c r="J146" s="43">
        <f t="shared" si="3"/>
        <v>200000</v>
      </c>
    </row>
    <row r="147" spans="1:10" ht="31.2" customHeight="1">
      <c r="A147" s="71">
        <v>658</v>
      </c>
      <c r="B147" s="72" t="s">
        <v>93</v>
      </c>
      <c r="C147" s="73">
        <v>0</v>
      </c>
      <c r="D147" s="74">
        <v>0</v>
      </c>
      <c r="E147" s="75">
        <v>64719421.5</v>
      </c>
      <c r="F147" s="75">
        <v>1840000</v>
      </c>
      <c r="G147" s="76">
        <v>62879421.5</v>
      </c>
      <c r="H147" s="75">
        <v>62879421.5</v>
      </c>
      <c r="I147" s="77">
        <v>0</v>
      </c>
      <c r="J147" s="43">
        <f t="shared" si="3"/>
        <v>62879421.5</v>
      </c>
    </row>
    <row r="148" spans="1:10" ht="31.2" customHeight="1">
      <c r="A148" s="71">
        <v>663</v>
      </c>
      <c r="B148" s="72" t="s">
        <v>94</v>
      </c>
      <c r="C148" s="73">
        <v>0</v>
      </c>
      <c r="D148" s="74">
        <v>0</v>
      </c>
      <c r="E148" s="75">
        <v>186139540.44</v>
      </c>
      <c r="F148" s="75">
        <v>0</v>
      </c>
      <c r="G148" s="76">
        <v>186139540.44</v>
      </c>
      <c r="H148" s="75">
        <v>186139540.44</v>
      </c>
      <c r="I148" s="77">
        <v>0</v>
      </c>
      <c r="J148" s="43">
        <f t="shared" si="3"/>
        <v>186139540.44</v>
      </c>
    </row>
    <row r="149" spans="1:10" ht="31.2" customHeight="1">
      <c r="A149" s="71">
        <v>682</v>
      </c>
      <c r="B149" s="72" t="s">
        <v>95</v>
      </c>
      <c r="C149" s="73">
        <v>0</v>
      </c>
      <c r="D149" s="74">
        <v>0</v>
      </c>
      <c r="E149" s="75">
        <v>15622829.109999999</v>
      </c>
      <c r="F149" s="75">
        <v>0</v>
      </c>
      <c r="G149" s="76">
        <v>15622829.109999999</v>
      </c>
      <c r="H149" s="75">
        <v>15622829.109999999</v>
      </c>
      <c r="I149" s="77">
        <v>0</v>
      </c>
      <c r="J149" s="43">
        <f t="shared" si="3"/>
        <v>15622829.109999999</v>
      </c>
    </row>
    <row r="150" spans="1:10" ht="31.2" customHeight="1">
      <c r="A150" s="71">
        <v>701.01</v>
      </c>
      <c r="B150" s="72" t="s">
        <v>96</v>
      </c>
      <c r="C150" s="73">
        <v>0</v>
      </c>
      <c r="D150" s="74">
        <v>0</v>
      </c>
      <c r="E150" s="75">
        <v>0</v>
      </c>
      <c r="F150" s="75">
        <v>2493230329.1999998</v>
      </c>
      <c r="G150" s="76">
        <v>-2493230329.1999998</v>
      </c>
      <c r="H150" s="75">
        <v>0</v>
      </c>
      <c r="I150" s="77">
        <v>2493230329.1999998</v>
      </c>
      <c r="J150" s="43">
        <f>-I150</f>
        <v>-2493230329.1999998</v>
      </c>
    </row>
    <row r="151" spans="1:10" ht="31.2" customHeight="1">
      <c r="A151" s="71">
        <v>701.02</v>
      </c>
      <c r="B151" s="72" t="s">
        <v>182</v>
      </c>
      <c r="C151" s="73"/>
      <c r="D151" s="74"/>
      <c r="E151" s="75"/>
      <c r="F151" s="75"/>
      <c r="G151" s="76"/>
      <c r="H151" s="75"/>
      <c r="I151" s="77"/>
      <c r="J151" s="43"/>
    </row>
    <row r="152" spans="1:10" ht="31.2" customHeight="1">
      <c r="A152" s="71">
        <v>701.03</v>
      </c>
      <c r="B152" s="72" t="s">
        <v>97</v>
      </c>
      <c r="C152" s="73">
        <v>0</v>
      </c>
      <c r="D152" s="74">
        <v>0</v>
      </c>
      <c r="E152" s="75">
        <v>0</v>
      </c>
      <c r="F152" s="75">
        <v>810293924.58000004</v>
      </c>
      <c r="G152" s="76">
        <v>-810293924.58000004</v>
      </c>
      <c r="H152" s="75">
        <v>0</v>
      </c>
      <c r="I152" s="77">
        <v>810293924.58000004</v>
      </c>
      <c r="J152" s="43">
        <f t="shared" ref="J152:J156" si="4">-I152</f>
        <v>-810293924.58000004</v>
      </c>
    </row>
    <row r="153" spans="1:10" ht="31.2" customHeight="1">
      <c r="A153" s="72" t="s">
        <v>297</v>
      </c>
      <c r="B153" s="80" t="s">
        <v>298</v>
      </c>
      <c r="C153" s="81">
        <v>0</v>
      </c>
      <c r="D153" s="82">
        <v>0</v>
      </c>
      <c r="E153" s="83">
        <v>0</v>
      </c>
      <c r="F153" s="83">
        <v>3345000</v>
      </c>
      <c r="G153" s="76">
        <v>-3345000</v>
      </c>
      <c r="H153" s="83">
        <v>0</v>
      </c>
      <c r="I153" s="84">
        <v>3345000</v>
      </c>
      <c r="J153" s="43">
        <f t="shared" si="4"/>
        <v>-3345000</v>
      </c>
    </row>
    <row r="154" spans="1:10" ht="31.2" customHeight="1">
      <c r="A154" s="162">
        <v>763</v>
      </c>
      <c r="B154" s="85" t="s">
        <v>98</v>
      </c>
      <c r="C154" s="86">
        <v>0</v>
      </c>
      <c r="D154" s="86">
        <v>0</v>
      </c>
      <c r="E154" s="86">
        <v>0</v>
      </c>
      <c r="F154" s="86">
        <v>89765383.879999995</v>
      </c>
      <c r="G154" s="76">
        <v>-89765383.879999995</v>
      </c>
      <c r="H154" s="86">
        <v>0</v>
      </c>
      <c r="I154" s="86">
        <v>89765383.879999995</v>
      </c>
      <c r="J154" s="43">
        <f t="shared" si="4"/>
        <v>-89765383.879999995</v>
      </c>
    </row>
    <row r="155" spans="1:10" ht="31.2" customHeight="1">
      <c r="A155" s="160">
        <v>768</v>
      </c>
      <c r="B155" s="78" t="s">
        <v>99</v>
      </c>
      <c r="C155" s="87">
        <v>0</v>
      </c>
      <c r="D155" s="87">
        <v>0</v>
      </c>
      <c r="E155" s="87">
        <v>0</v>
      </c>
      <c r="F155" s="87">
        <v>5924450</v>
      </c>
      <c r="G155" s="76">
        <v>-5924450</v>
      </c>
      <c r="H155" s="87">
        <v>0</v>
      </c>
      <c r="I155" s="87">
        <v>5924450</v>
      </c>
      <c r="J155" s="43">
        <f t="shared" si="4"/>
        <v>-5924450</v>
      </c>
    </row>
    <row r="156" spans="1:10" ht="31.2" customHeight="1">
      <c r="A156" s="88" t="s">
        <v>299</v>
      </c>
      <c r="B156" s="88" t="s">
        <v>300</v>
      </c>
      <c r="C156" s="89">
        <v>0</v>
      </c>
      <c r="D156" s="89">
        <v>0</v>
      </c>
      <c r="E156" s="89">
        <v>0</v>
      </c>
      <c r="F156" s="89">
        <v>12256200</v>
      </c>
      <c r="G156" s="76">
        <v>-12256200</v>
      </c>
      <c r="H156" s="89">
        <v>0</v>
      </c>
      <c r="I156" s="89">
        <v>12256200</v>
      </c>
      <c r="J156" s="43">
        <f t="shared" si="4"/>
        <v>-12256200</v>
      </c>
    </row>
    <row r="157" spans="1:10" ht="31.2" customHeight="1">
      <c r="A157" s="50" t="s">
        <v>253</v>
      </c>
      <c r="B157" s="50"/>
      <c r="C157" s="51">
        <f t="shared" ref="C157:J157" si="5">SUM(C8:C156)</f>
        <v>31751465350.699997</v>
      </c>
      <c r="D157" s="51">
        <f t="shared" si="5"/>
        <v>31751465350.700001</v>
      </c>
      <c r="E157" s="52">
        <f t="shared" si="5"/>
        <v>21105021496.559998</v>
      </c>
      <c r="F157" s="52">
        <f t="shared" si="5"/>
        <v>21105021496.559998</v>
      </c>
      <c r="G157" s="53">
        <f t="shared" si="5"/>
        <v>9.5367431640625E-7</v>
      </c>
      <c r="H157" s="52">
        <f t="shared" si="5"/>
        <v>36461483386.060013</v>
      </c>
      <c r="I157" s="52">
        <f t="shared" si="5"/>
        <v>36461483386.059998</v>
      </c>
      <c r="J157" s="53">
        <f t="shared" si="5"/>
        <v>1.430511474609375E-6</v>
      </c>
    </row>
    <row r="158" spans="1:10" ht="31.2" customHeight="1">
      <c r="D158" s="33">
        <f>C157-D157</f>
        <v>0</v>
      </c>
      <c r="F158" s="33">
        <f>E157-F157</f>
        <v>0</v>
      </c>
      <c r="G158" s="33"/>
      <c r="I158" s="33">
        <f>H157-I157</f>
        <v>0</v>
      </c>
    </row>
    <row r="159" spans="1:10" ht="31.2" customHeight="1">
      <c r="D159" s="44"/>
      <c r="E159" s="47">
        <f>SUM(E110:E156)-F147</f>
        <v>3149926978.2200007</v>
      </c>
      <c r="F159" s="47">
        <f>SUM(F150:F156)</f>
        <v>3414815287.6599998</v>
      </c>
    </row>
    <row r="160" spans="1:10" ht="31.2" customHeight="1">
      <c r="D160" s="44"/>
      <c r="F160" s="60">
        <f>F159-E159</f>
        <v>264888309.4399991</v>
      </c>
    </row>
  </sheetData>
  <autoFilter ref="A7:I7" xr:uid="{9F3797E1-9A3F-4606-AEFC-8F1F0D331D4B}"/>
  <mergeCells count="3">
    <mergeCell ref="C6:D6"/>
    <mergeCell ref="E6:F6"/>
    <mergeCell ref="H6:I6"/>
  </mergeCells>
  <phoneticPr fontId="20" type="noConversion"/>
  <pageMargins left="0.25" right="0.25" top="0.25" bottom="0.25" header="0" footer="0"/>
  <pageSetup paperSize="9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08A70-96CC-4A84-B40A-258F2425A9EA}">
  <sheetPr>
    <tabColor rgb="FFC00000"/>
  </sheetPr>
  <dimension ref="A2:I176"/>
  <sheetViews>
    <sheetView showGridLines="0" showOutlineSymbols="0" zoomScale="70" zoomScaleNormal="70" workbookViewId="0">
      <selection activeCell="A4" sqref="A4"/>
    </sheetView>
  </sheetViews>
  <sheetFormatPr defaultColWidth="6.6640625" defaultRowHeight="31.2" customHeight="1"/>
  <cols>
    <col min="1" max="1" width="22.33203125" style="31" customWidth="1"/>
    <col min="2" max="2" width="56.6640625" style="31" customWidth="1"/>
    <col min="3" max="4" width="27.44140625" style="33" customWidth="1"/>
    <col min="5" max="8" width="27.44140625" style="47" customWidth="1"/>
    <col min="9" max="9" width="28.33203125" style="31" customWidth="1"/>
    <col min="10" max="16384" width="6.6640625" style="31"/>
  </cols>
  <sheetData>
    <row r="2" spans="1:9" ht="31.2" customHeight="1">
      <c r="A2" s="37" t="s">
        <v>0</v>
      </c>
      <c r="C2" s="34"/>
      <c r="D2" s="34"/>
      <c r="E2" s="46"/>
      <c r="F2" s="46"/>
      <c r="G2" s="46"/>
    </row>
    <row r="3" spans="1:9" ht="31.2" customHeight="1">
      <c r="A3" s="38" t="s">
        <v>333</v>
      </c>
      <c r="C3" s="34"/>
      <c r="D3" s="34"/>
      <c r="E3" s="46"/>
      <c r="F3" s="46"/>
      <c r="G3" s="46"/>
    </row>
    <row r="4" spans="1:9" ht="31.2" customHeight="1">
      <c r="C4" s="34"/>
      <c r="D4" s="34"/>
      <c r="E4" s="46"/>
      <c r="F4" s="46"/>
      <c r="G4" s="46"/>
    </row>
    <row r="5" spans="1:9" ht="31.2" customHeight="1">
      <c r="A5" s="32"/>
      <c r="D5" s="34"/>
      <c r="F5" s="46"/>
      <c r="H5" s="46"/>
    </row>
    <row r="6" spans="1:9" ht="31.2" customHeight="1">
      <c r="A6" s="36" t="s">
        <v>251</v>
      </c>
      <c r="B6" s="36" t="s">
        <v>250</v>
      </c>
      <c r="C6" s="256" t="s">
        <v>231</v>
      </c>
      <c r="D6" s="256"/>
      <c r="E6" s="257" t="s">
        <v>232</v>
      </c>
      <c r="F6" s="257"/>
      <c r="G6" s="257" t="s">
        <v>233</v>
      </c>
      <c r="H6" s="257"/>
    </row>
    <row r="7" spans="1:9" ht="31.2" customHeight="1">
      <c r="A7" s="35"/>
      <c r="B7" s="35"/>
      <c r="C7" s="42"/>
      <c r="D7" s="42"/>
      <c r="E7" s="48"/>
      <c r="F7" s="48"/>
      <c r="G7" s="48"/>
      <c r="H7" s="48"/>
    </row>
    <row r="8" spans="1:9" ht="31.2" customHeight="1">
      <c r="A8" s="90">
        <f>BS!C9</f>
        <v>1011</v>
      </c>
      <c r="B8" s="65" t="s">
        <v>257</v>
      </c>
      <c r="C8" s="66">
        <v>4527500</v>
      </c>
      <c r="D8" s="67">
        <v>0</v>
      </c>
      <c r="E8" s="222">
        <v>0</v>
      </c>
      <c r="F8" s="224">
        <v>4527500</v>
      </c>
      <c r="G8" s="68">
        <f>C8+E8-F8</f>
        <v>0</v>
      </c>
      <c r="H8" s="70">
        <v>0</v>
      </c>
      <c r="I8" s="198">
        <f>G8</f>
        <v>0</v>
      </c>
    </row>
    <row r="9" spans="1:9" ht="31.2" customHeight="1">
      <c r="A9" s="192" t="s">
        <v>309</v>
      </c>
      <c r="B9" s="189" t="s">
        <v>314</v>
      </c>
      <c r="C9" s="190"/>
      <c r="D9" s="191"/>
      <c r="E9" s="204">
        <v>46537500</v>
      </c>
      <c r="F9" s="113">
        <v>35916000</v>
      </c>
      <c r="G9" s="75">
        <f>C9+E9-F9</f>
        <v>10621500</v>
      </c>
      <c r="H9" s="77"/>
      <c r="I9" s="198">
        <f>G9</f>
        <v>10621500</v>
      </c>
    </row>
    <row r="10" spans="1:9" ht="31.2" customHeight="1">
      <c r="A10" s="152">
        <v>1012.01</v>
      </c>
      <c r="B10" s="72" t="s">
        <v>258</v>
      </c>
      <c r="C10" s="73">
        <v>52020</v>
      </c>
      <c r="D10" s="74">
        <v>0</v>
      </c>
      <c r="E10" s="204">
        <v>0</v>
      </c>
      <c r="F10" s="113">
        <v>1020</v>
      </c>
      <c r="G10" s="75">
        <f t="shared" ref="G10:G73" si="0">C10+E10-F10</f>
        <v>51000</v>
      </c>
      <c r="H10" s="77">
        <v>0</v>
      </c>
      <c r="I10" s="198">
        <f t="shared" ref="I10:I33" si="1">G10</f>
        <v>51000</v>
      </c>
    </row>
    <row r="11" spans="1:9" ht="31.2" customHeight="1">
      <c r="A11" s="152">
        <v>1012.02</v>
      </c>
      <c r="B11" s="72" t="s">
        <v>259</v>
      </c>
      <c r="C11" s="73">
        <v>18027255</v>
      </c>
      <c r="D11" s="74">
        <v>0</v>
      </c>
      <c r="E11" s="204">
        <v>17040</v>
      </c>
      <c r="F11" s="113">
        <v>0</v>
      </c>
      <c r="G11" s="75">
        <f t="shared" si="0"/>
        <v>18044295</v>
      </c>
      <c r="H11" s="77">
        <v>0</v>
      </c>
      <c r="I11" s="198">
        <f t="shared" si="1"/>
        <v>18044295</v>
      </c>
    </row>
    <row r="12" spans="1:9" ht="31.2" customHeight="1">
      <c r="A12" s="152">
        <v>1021.01</v>
      </c>
      <c r="B12" s="78" t="s">
        <v>260</v>
      </c>
      <c r="C12" s="73">
        <v>775873857.98000002</v>
      </c>
      <c r="D12" s="74">
        <v>0</v>
      </c>
      <c r="E12" s="204">
        <v>1370585350</v>
      </c>
      <c r="F12" s="113">
        <v>1825637659.73</v>
      </c>
      <c r="G12" s="75">
        <f t="shared" si="0"/>
        <v>320821548.25</v>
      </c>
      <c r="H12" s="77">
        <v>0</v>
      </c>
      <c r="I12" s="198">
        <f t="shared" si="1"/>
        <v>320821548.25</v>
      </c>
    </row>
    <row r="13" spans="1:9" ht="31.2" customHeight="1">
      <c r="A13" s="152">
        <v>1021.02</v>
      </c>
      <c r="B13" s="72" t="s">
        <v>261</v>
      </c>
      <c r="C13" s="73">
        <v>11210420</v>
      </c>
      <c r="D13" s="74">
        <v>0</v>
      </c>
      <c r="E13" s="204">
        <v>0</v>
      </c>
      <c r="F13" s="113">
        <v>120000</v>
      </c>
      <c r="G13" s="75">
        <f t="shared" si="0"/>
        <v>11090420</v>
      </c>
      <c r="H13" s="77">
        <v>0</v>
      </c>
      <c r="I13" s="198">
        <f t="shared" si="1"/>
        <v>11090420</v>
      </c>
    </row>
    <row r="14" spans="1:9" ht="31.2" customHeight="1">
      <c r="A14" s="152">
        <v>1021.03</v>
      </c>
      <c r="B14" s="72" t="s">
        <v>129</v>
      </c>
      <c r="C14" s="73"/>
      <c r="D14" s="74"/>
      <c r="E14" s="204">
        <v>0</v>
      </c>
      <c r="F14" s="113">
        <v>0</v>
      </c>
      <c r="G14" s="75">
        <f t="shared" si="0"/>
        <v>0</v>
      </c>
      <c r="H14" s="77"/>
      <c r="I14" s="198">
        <f t="shared" si="1"/>
        <v>0</v>
      </c>
    </row>
    <row r="15" spans="1:9" ht="31.2" customHeight="1">
      <c r="A15" s="71">
        <v>1022.01</v>
      </c>
      <c r="B15" s="72" t="s">
        <v>6</v>
      </c>
      <c r="C15" s="73">
        <v>401007736.79999995</v>
      </c>
      <c r="D15" s="74">
        <v>0</v>
      </c>
      <c r="E15" s="204">
        <v>811540000</v>
      </c>
      <c r="F15" s="113">
        <v>779366011.79999995</v>
      </c>
      <c r="G15" s="75">
        <f t="shared" si="0"/>
        <v>433181725</v>
      </c>
      <c r="H15" s="77">
        <v>0</v>
      </c>
      <c r="I15" s="198">
        <f t="shared" si="1"/>
        <v>433181725</v>
      </c>
    </row>
    <row r="16" spans="1:9" ht="31.2" customHeight="1">
      <c r="A16" s="71">
        <v>1022.02</v>
      </c>
      <c r="B16" s="72" t="s">
        <v>262</v>
      </c>
      <c r="C16" s="73">
        <v>901953840.83999979</v>
      </c>
      <c r="D16" s="74">
        <v>0</v>
      </c>
      <c r="E16" s="204">
        <v>862277713.94000006</v>
      </c>
      <c r="F16" s="113">
        <v>1127488200.2799997</v>
      </c>
      <c r="G16" s="75">
        <f t="shared" si="0"/>
        <v>636743354.5</v>
      </c>
      <c r="H16" s="77">
        <v>0</v>
      </c>
      <c r="I16" s="198">
        <f t="shared" si="1"/>
        <v>636743354.5</v>
      </c>
    </row>
    <row r="17" spans="1:9" ht="31.2" customHeight="1">
      <c r="A17" s="71">
        <v>1022.03</v>
      </c>
      <c r="B17" s="72" t="s">
        <v>8</v>
      </c>
      <c r="C17" s="73"/>
      <c r="D17" s="74"/>
      <c r="E17" s="204">
        <v>0</v>
      </c>
      <c r="F17" s="113">
        <v>0</v>
      </c>
      <c r="G17" s="75">
        <f t="shared" si="0"/>
        <v>0</v>
      </c>
      <c r="H17" s="77"/>
      <c r="I17" s="198">
        <f t="shared" si="1"/>
        <v>0</v>
      </c>
    </row>
    <row r="18" spans="1:9" ht="31.2" customHeight="1">
      <c r="A18" s="71">
        <v>1022.04</v>
      </c>
      <c r="B18" s="72" t="s">
        <v>9</v>
      </c>
      <c r="C18" s="73"/>
      <c r="D18" s="74"/>
      <c r="E18" s="204">
        <v>0</v>
      </c>
      <c r="F18" s="113">
        <v>0</v>
      </c>
      <c r="G18" s="75">
        <f t="shared" si="0"/>
        <v>0</v>
      </c>
      <c r="H18" s="77"/>
      <c r="I18" s="198">
        <f t="shared" si="1"/>
        <v>0</v>
      </c>
    </row>
    <row r="19" spans="1:9" ht="31.2" customHeight="1">
      <c r="A19" s="71">
        <v>1022.05</v>
      </c>
      <c r="B19" s="72" t="s">
        <v>263</v>
      </c>
      <c r="C19" s="74">
        <v>136500755.40000001</v>
      </c>
      <c r="D19" s="73">
        <v>0</v>
      </c>
      <c r="E19" s="204">
        <v>0</v>
      </c>
      <c r="F19" s="113">
        <v>2676485.4</v>
      </c>
      <c r="G19" s="75">
        <f t="shared" si="0"/>
        <v>133824270</v>
      </c>
      <c r="H19" s="77">
        <v>0</v>
      </c>
      <c r="I19" s="198">
        <f t="shared" si="1"/>
        <v>133824270</v>
      </c>
    </row>
    <row r="20" spans="1:9" ht="31.2" customHeight="1">
      <c r="A20" s="71">
        <v>1022.06</v>
      </c>
      <c r="B20" s="72" t="s">
        <v>264</v>
      </c>
      <c r="C20" s="73">
        <v>1823207.17</v>
      </c>
      <c r="D20" s="74">
        <v>0</v>
      </c>
      <c r="E20" s="204">
        <v>1723.36</v>
      </c>
      <c r="F20" s="113">
        <v>0</v>
      </c>
      <c r="G20" s="75">
        <f t="shared" si="0"/>
        <v>1824930.53</v>
      </c>
      <c r="H20" s="77">
        <v>0</v>
      </c>
      <c r="I20" s="198">
        <f t="shared" si="1"/>
        <v>1824930.53</v>
      </c>
    </row>
    <row r="21" spans="1:9" ht="31.2" customHeight="1">
      <c r="A21" s="71">
        <v>1022.07</v>
      </c>
      <c r="B21" s="72" t="s">
        <v>265</v>
      </c>
      <c r="C21" s="73">
        <v>3528856325</v>
      </c>
      <c r="D21" s="74">
        <v>0</v>
      </c>
      <c r="E21" s="204">
        <v>3420315</v>
      </c>
      <c r="F21" s="113">
        <v>0</v>
      </c>
      <c r="G21" s="75">
        <f t="shared" si="0"/>
        <v>3532276640</v>
      </c>
      <c r="H21" s="77">
        <v>0</v>
      </c>
      <c r="I21" s="198">
        <f t="shared" si="1"/>
        <v>3532276640</v>
      </c>
    </row>
    <row r="22" spans="1:9" ht="31.2" customHeight="1">
      <c r="A22" s="71">
        <v>1022.08</v>
      </c>
      <c r="B22" s="72" t="s">
        <v>266</v>
      </c>
      <c r="C22" s="73">
        <v>677080000</v>
      </c>
      <c r="D22" s="74">
        <v>0</v>
      </c>
      <c r="E22" s="204">
        <v>640000</v>
      </c>
      <c r="F22" s="113">
        <v>0</v>
      </c>
      <c r="G22" s="75">
        <f t="shared" si="0"/>
        <v>677720000</v>
      </c>
      <c r="H22" s="77">
        <v>0</v>
      </c>
      <c r="I22" s="198">
        <f t="shared" si="1"/>
        <v>677720000</v>
      </c>
    </row>
    <row r="23" spans="1:9" ht="31.2" customHeight="1">
      <c r="A23" s="153">
        <v>1134</v>
      </c>
      <c r="B23" s="72" t="s">
        <v>132</v>
      </c>
      <c r="C23" s="73"/>
      <c r="D23" s="74"/>
      <c r="E23" s="75"/>
      <c r="F23" s="113"/>
      <c r="G23" s="75">
        <f t="shared" si="0"/>
        <v>0</v>
      </c>
      <c r="H23" s="77"/>
      <c r="I23" s="200">
        <f t="shared" si="1"/>
        <v>0</v>
      </c>
    </row>
    <row r="24" spans="1:9" ht="31.2" customHeight="1">
      <c r="A24" s="90">
        <v>1211</v>
      </c>
      <c r="B24" s="72" t="s">
        <v>13</v>
      </c>
      <c r="C24" s="73">
        <v>3136723349.3499999</v>
      </c>
      <c r="D24" s="74">
        <v>0</v>
      </c>
      <c r="E24" s="223">
        <v>3844300794.4400001</v>
      </c>
      <c r="F24" s="113">
        <v>2209597105.2200003</v>
      </c>
      <c r="G24" s="75">
        <f t="shared" si="0"/>
        <v>4771427038.5699997</v>
      </c>
      <c r="H24" s="77">
        <v>0</v>
      </c>
      <c r="I24" s="200">
        <f t="shared" si="1"/>
        <v>4771427038.5699997</v>
      </c>
    </row>
    <row r="25" spans="1:9" ht="31.2" customHeight="1">
      <c r="A25" s="152">
        <v>124.01</v>
      </c>
      <c r="B25" s="72" t="s">
        <v>14</v>
      </c>
      <c r="C25" s="73">
        <v>28174989.359999999</v>
      </c>
      <c r="D25" s="74">
        <v>0</v>
      </c>
      <c r="E25" s="223">
        <v>867827500</v>
      </c>
      <c r="F25" s="113">
        <v>794344489.36000001</v>
      </c>
      <c r="G25" s="75">
        <f t="shared" si="0"/>
        <v>101658000</v>
      </c>
      <c r="H25" s="77">
        <v>0</v>
      </c>
      <c r="I25" s="200">
        <f t="shared" si="1"/>
        <v>101658000</v>
      </c>
    </row>
    <row r="26" spans="1:9" ht="31.2" customHeight="1">
      <c r="A26" s="152">
        <v>1311.01</v>
      </c>
      <c r="B26" s="72" t="s">
        <v>15</v>
      </c>
      <c r="C26" s="74">
        <v>114864754.5</v>
      </c>
      <c r="D26" s="73">
        <v>0</v>
      </c>
      <c r="E26" s="223">
        <v>99345000</v>
      </c>
      <c r="F26" s="113">
        <v>180250654.5</v>
      </c>
      <c r="G26" s="75">
        <f t="shared" si="0"/>
        <v>33959100</v>
      </c>
      <c r="H26" s="77">
        <v>0</v>
      </c>
      <c r="I26" s="200">
        <f t="shared" si="1"/>
        <v>33959100</v>
      </c>
    </row>
    <row r="27" spans="1:9" ht="31.2" customHeight="1">
      <c r="A27" s="152">
        <v>1311.02</v>
      </c>
      <c r="B27" s="72" t="s">
        <v>16</v>
      </c>
      <c r="C27" s="73">
        <v>55245371.430000007</v>
      </c>
      <c r="D27" s="74">
        <v>0</v>
      </c>
      <c r="E27" s="223">
        <v>126452800</v>
      </c>
      <c r="F27" s="113">
        <v>154822171.43000001</v>
      </c>
      <c r="G27" s="75">
        <f t="shared" si="0"/>
        <v>26876000</v>
      </c>
      <c r="H27" s="77">
        <v>0</v>
      </c>
      <c r="I27" s="200">
        <f t="shared" si="1"/>
        <v>26876000</v>
      </c>
    </row>
    <row r="28" spans="1:9" ht="31.2" customHeight="1">
      <c r="A28" s="152">
        <v>1311.03</v>
      </c>
      <c r="B28" s="72" t="s">
        <v>17</v>
      </c>
      <c r="C28" s="73">
        <v>82195657.679999948</v>
      </c>
      <c r="D28" s="74">
        <v>0</v>
      </c>
      <c r="E28" s="223">
        <v>940892908.88</v>
      </c>
      <c r="F28" s="113">
        <v>941965494.20000005</v>
      </c>
      <c r="G28" s="75">
        <f t="shared" si="0"/>
        <v>81123072.359999895</v>
      </c>
      <c r="H28" s="77">
        <v>0</v>
      </c>
      <c r="I28" s="200">
        <f t="shared" si="1"/>
        <v>81123072.359999895</v>
      </c>
    </row>
    <row r="29" spans="1:9" ht="31.2" customHeight="1">
      <c r="A29" s="152">
        <v>1311.04</v>
      </c>
      <c r="B29" s="72" t="s">
        <v>18</v>
      </c>
      <c r="C29" s="73">
        <v>13905405</v>
      </c>
      <c r="D29" s="74">
        <v>0</v>
      </c>
      <c r="E29" s="223">
        <v>87150000</v>
      </c>
      <c r="F29" s="113">
        <v>95116858.75</v>
      </c>
      <c r="G29" s="75">
        <f t="shared" si="0"/>
        <v>5938546.25</v>
      </c>
      <c r="H29" s="77">
        <v>0</v>
      </c>
      <c r="I29" s="200">
        <f t="shared" si="1"/>
        <v>5938546.25</v>
      </c>
    </row>
    <row r="30" spans="1:9" ht="31.2" customHeight="1">
      <c r="A30" s="152">
        <v>1311.05</v>
      </c>
      <c r="B30" s="72" t="s">
        <v>19</v>
      </c>
      <c r="C30" s="73">
        <v>104776032</v>
      </c>
      <c r="D30" s="74">
        <v>0</v>
      </c>
      <c r="E30" s="223">
        <v>371549000</v>
      </c>
      <c r="F30" s="113">
        <v>435336332</v>
      </c>
      <c r="G30" s="75">
        <f t="shared" si="0"/>
        <v>40988700</v>
      </c>
      <c r="H30" s="77">
        <v>0</v>
      </c>
      <c r="I30" s="200">
        <f t="shared" si="1"/>
        <v>40988700</v>
      </c>
    </row>
    <row r="31" spans="1:9" ht="31.2" customHeight="1">
      <c r="A31" s="152">
        <v>1311.06</v>
      </c>
      <c r="B31" s="72" t="s">
        <v>20</v>
      </c>
      <c r="C31" s="73">
        <v>14025000.299999997</v>
      </c>
      <c r="D31" s="74">
        <v>0</v>
      </c>
      <c r="E31" s="223">
        <v>0</v>
      </c>
      <c r="F31" s="113">
        <v>3342075.3</v>
      </c>
      <c r="G31" s="75">
        <f t="shared" si="0"/>
        <v>10682924.999999996</v>
      </c>
      <c r="H31" s="77">
        <v>0</v>
      </c>
      <c r="I31" s="200">
        <f t="shared" si="1"/>
        <v>10682924.999999996</v>
      </c>
    </row>
    <row r="32" spans="1:9" ht="31.2" customHeight="1">
      <c r="A32" s="152">
        <v>1311.07</v>
      </c>
      <c r="B32" s="72" t="s">
        <v>135</v>
      </c>
      <c r="C32" s="73"/>
      <c r="D32" s="74"/>
      <c r="E32" s="223"/>
      <c r="F32" s="113"/>
      <c r="G32" s="75">
        <f t="shared" si="0"/>
        <v>0</v>
      </c>
      <c r="H32" s="77"/>
      <c r="I32" s="200">
        <f t="shared" si="1"/>
        <v>0</v>
      </c>
    </row>
    <row r="33" spans="1:9" ht="31.2" customHeight="1">
      <c r="A33" s="152">
        <v>1311.08</v>
      </c>
      <c r="B33" s="72" t="s">
        <v>21</v>
      </c>
      <c r="C33" s="73">
        <v>177854885.22999999</v>
      </c>
      <c r="D33" s="74">
        <v>0</v>
      </c>
      <c r="E33" s="223">
        <v>152394018.69999999</v>
      </c>
      <c r="F33" s="113">
        <v>168733607.93000001</v>
      </c>
      <c r="G33" s="75">
        <f t="shared" si="0"/>
        <v>161515295.99999994</v>
      </c>
      <c r="H33" s="77">
        <v>0</v>
      </c>
      <c r="I33" s="200">
        <f t="shared" si="1"/>
        <v>161515295.99999994</v>
      </c>
    </row>
    <row r="34" spans="1:9" ht="31.2" customHeight="1">
      <c r="A34" s="71" t="s">
        <v>22</v>
      </c>
      <c r="B34" s="72" t="s">
        <v>23</v>
      </c>
      <c r="C34" s="73">
        <v>0</v>
      </c>
      <c r="D34" s="74">
        <v>0</v>
      </c>
      <c r="E34" s="223">
        <v>2203837546.3200002</v>
      </c>
      <c r="F34" s="113">
        <v>2203837546.3200002</v>
      </c>
      <c r="G34" s="75">
        <f t="shared" si="0"/>
        <v>0</v>
      </c>
      <c r="H34" s="77">
        <v>0</v>
      </c>
      <c r="I34" s="200">
        <f t="shared" ref="I34:I73" si="2">G34</f>
        <v>0</v>
      </c>
    </row>
    <row r="35" spans="1:9" ht="31.2" customHeight="1">
      <c r="A35" s="71">
        <v>1331.01</v>
      </c>
      <c r="B35" s="72" t="s">
        <v>267</v>
      </c>
      <c r="C35" s="73">
        <v>0</v>
      </c>
      <c r="D35" s="74">
        <v>0</v>
      </c>
      <c r="E35" s="204">
        <v>13375000</v>
      </c>
      <c r="F35" s="113">
        <v>13375000</v>
      </c>
      <c r="G35" s="75">
        <f t="shared" si="0"/>
        <v>0</v>
      </c>
      <c r="H35" s="77">
        <v>0</v>
      </c>
      <c r="I35" s="200">
        <f t="shared" si="2"/>
        <v>0</v>
      </c>
    </row>
    <row r="36" spans="1:9" ht="31.2" customHeight="1">
      <c r="A36" s="71">
        <v>1331.02</v>
      </c>
      <c r="B36" s="72" t="s">
        <v>268</v>
      </c>
      <c r="C36" s="73">
        <v>0</v>
      </c>
      <c r="D36" s="74">
        <v>0</v>
      </c>
      <c r="E36" s="204">
        <v>24465000</v>
      </c>
      <c r="F36" s="113">
        <v>24465000</v>
      </c>
      <c r="G36" s="75">
        <f t="shared" si="0"/>
        <v>0</v>
      </c>
      <c r="H36" s="77">
        <v>0</v>
      </c>
      <c r="I36" s="200">
        <f t="shared" si="2"/>
        <v>0</v>
      </c>
    </row>
    <row r="37" spans="1:9" ht="31.2" customHeight="1">
      <c r="A37" s="71">
        <v>1331.03</v>
      </c>
      <c r="B37" s="72" t="s">
        <v>269</v>
      </c>
      <c r="C37" s="73">
        <v>0</v>
      </c>
      <c r="D37" s="74">
        <v>0</v>
      </c>
      <c r="E37" s="204">
        <v>3264628.8</v>
      </c>
      <c r="F37" s="113">
        <v>3264628.8</v>
      </c>
      <c r="G37" s="75">
        <f t="shared" si="0"/>
        <v>0</v>
      </c>
      <c r="H37" s="77">
        <v>0</v>
      </c>
      <c r="I37" s="200">
        <f t="shared" si="2"/>
        <v>0</v>
      </c>
    </row>
    <row r="38" spans="1:9" ht="31.2" customHeight="1">
      <c r="A38" s="71">
        <v>1331.04</v>
      </c>
      <c r="B38" s="72" t="s">
        <v>270</v>
      </c>
      <c r="C38" s="74">
        <v>0</v>
      </c>
      <c r="D38" s="73">
        <v>0</v>
      </c>
      <c r="E38" s="204">
        <v>2091143.2</v>
      </c>
      <c r="F38" s="113">
        <v>2091143.2</v>
      </c>
      <c r="G38" s="75">
        <f t="shared" si="0"/>
        <v>0</v>
      </c>
      <c r="H38" s="77">
        <v>0</v>
      </c>
      <c r="I38" s="200">
        <f t="shared" si="2"/>
        <v>0</v>
      </c>
    </row>
    <row r="39" spans="1:9" ht="31.2" customHeight="1">
      <c r="A39" s="71" t="s">
        <v>271</v>
      </c>
      <c r="B39" s="72" t="s">
        <v>272</v>
      </c>
      <c r="C39" s="73">
        <v>0</v>
      </c>
      <c r="D39" s="74">
        <v>0</v>
      </c>
      <c r="E39" s="204">
        <v>78083504.170000002</v>
      </c>
      <c r="F39" s="113">
        <v>78083504.170000002</v>
      </c>
      <c r="G39" s="75">
        <f t="shared" si="0"/>
        <v>0</v>
      </c>
      <c r="H39" s="77">
        <v>0</v>
      </c>
      <c r="I39" s="200">
        <f t="shared" si="2"/>
        <v>0</v>
      </c>
    </row>
    <row r="40" spans="1:9" ht="31.2" customHeight="1">
      <c r="A40" s="71" t="s">
        <v>273</v>
      </c>
      <c r="B40" s="72" t="s">
        <v>274</v>
      </c>
      <c r="C40" s="73">
        <v>0</v>
      </c>
      <c r="D40" s="74">
        <v>0</v>
      </c>
      <c r="E40" s="204">
        <v>38996855.590000004</v>
      </c>
      <c r="F40" s="113">
        <v>38996855.590000004</v>
      </c>
      <c r="G40" s="75">
        <f t="shared" si="0"/>
        <v>0</v>
      </c>
      <c r="H40" s="77">
        <v>0</v>
      </c>
      <c r="I40" s="200">
        <f t="shared" si="2"/>
        <v>0</v>
      </c>
    </row>
    <row r="41" spans="1:9" ht="31.2" customHeight="1">
      <c r="A41" s="71" t="s">
        <v>275</v>
      </c>
      <c r="B41" s="72" t="s">
        <v>276</v>
      </c>
      <c r="C41" s="73">
        <v>0</v>
      </c>
      <c r="D41" s="74">
        <v>0</v>
      </c>
      <c r="E41" s="204">
        <v>5736300</v>
      </c>
      <c r="F41" s="113">
        <v>5736300</v>
      </c>
      <c r="G41" s="75">
        <f t="shared" si="0"/>
        <v>0</v>
      </c>
      <c r="H41" s="77">
        <v>0</v>
      </c>
      <c r="I41" s="200">
        <f t="shared" si="2"/>
        <v>0</v>
      </c>
    </row>
    <row r="42" spans="1:9" ht="31.2" customHeight="1">
      <c r="A42" s="71" t="s">
        <v>315</v>
      </c>
      <c r="B42" s="72" t="s">
        <v>316</v>
      </c>
      <c r="C42" s="73"/>
      <c r="D42" s="74"/>
      <c r="E42" s="204">
        <v>550000</v>
      </c>
      <c r="F42" s="113">
        <v>550000</v>
      </c>
      <c r="G42" s="75">
        <f t="shared" si="0"/>
        <v>0</v>
      </c>
      <c r="H42" s="77"/>
      <c r="I42" s="200"/>
    </row>
    <row r="43" spans="1:9" ht="31.2" customHeight="1">
      <c r="A43" s="71" t="s">
        <v>277</v>
      </c>
      <c r="B43" s="72" t="s">
        <v>278</v>
      </c>
      <c r="C43" s="74">
        <v>0</v>
      </c>
      <c r="D43" s="74">
        <v>0</v>
      </c>
      <c r="E43" s="204">
        <v>20550000</v>
      </c>
      <c r="F43" s="113">
        <v>20550000</v>
      </c>
      <c r="G43" s="75">
        <f t="shared" si="0"/>
        <v>0</v>
      </c>
      <c r="H43" s="77">
        <v>0</v>
      </c>
      <c r="I43" s="200">
        <f t="shared" si="2"/>
        <v>0</v>
      </c>
    </row>
    <row r="44" spans="1:9" ht="31.2" customHeight="1">
      <c r="A44" s="71" t="s">
        <v>279</v>
      </c>
      <c r="B44" s="72" t="s">
        <v>280</v>
      </c>
      <c r="C44" s="73">
        <v>0</v>
      </c>
      <c r="D44" s="74">
        <v>0</v>
      </c>
      <c r="E44" s="204">
        <v>0</v>
      </c>
      <c r="F44" s="113">
        <v>0</v>
      </c>
      <c r="G44" s="75">
        <f t="shared" si="0"/>
        <v>0</v>
      </c>
      <c r="H44" s="77">
        <v>0</v>
      </c>
      <c r="I44" s="200">
        <f t="shared" si="2"/>
        <v>0</v>
      </c>
    </row>
    <row r="45" spans="1:9" ht="31.2" customHeight="1">
      <c r="A45" s="71" t="s">
        <v>281</v>
      </c>
      <c r="B45" s="72" t="s">
        <v>282</v>
      </c>
      <c r="C45" s="73">
        <v>0</v>
      </c>
      <c r="D45" s="74">
        <v>0</v>
      </c>
      <c r="E45" s="204">
        <v>6517581</v>
      </c>
      <c r="F45" s="113">
        <v>6517581</v>
      </c>
      <c r="G45" s="75">
        <f t="shared" si="0"/>
        <v>0</v>
      </c>
      <c r="H45" s="77">
        <v>0</v>
      </c>
      <c r="I45" s="200">
        <f t="shared" si="2"/>
        <v>0</v>
      </c>
    </row>
    <row r="46" spans="1:9" ht="31.2" customHeight="1">
      <c r="A46" s="71" t="s">
        <v>283</v>
      </c>
      <c r="B46" s="72" t="s">
        <v>284</v>
      </c>
      <c r="C46" s="74">
        <v>0</v>
      </c>
      <c r="D46" s="73">
        <v>0</v>
      </c>
      <c r="E46" s="204"/>
      <c r="F46" s="113"/>
      <c r="G46" s="75">
        <f t="shared" si="0"/>
        <v>0</v>
      </c>
      <c r="H46" s="77">
        <v>0</v>
      </c>
      <c r="I46" s="200">
        <f t="shared" si="2"/>
        <v>0</v>
      </c>
    </row>
    <row r="47" spans="1:9" ht="31.2" customHeight="1">
      <c r="A47" s="71" t="s">
        <v>285</v>
      </c>
      <c r="B47" s="72" t="s">
        <v>246</v>
      </c>
      <c r="C47" s="74">
        <v>0</v>
      </c>
      <c r="D47" s="73">
        <v>0</v>
      </c>
      <c r="E47" s="204">
        <v>300000</v>
      </c>
      <c r="F47" s="113">
        <v>300000</v>
      </c>
      <c r="G47" s="75">
        <f t="shared" si="0"/>
        <v>0</v>
      </c>
      <c r="H47" s="77">
        <v>0</v>
      </c>
      <c r="I47" s="200">
        <f t="shared" si="2"/>
        <v>0</v>
      </c>
    </row>
    <row r="48" spans="1:9" ht="31.2" customHeight="1">
      <c r="A48" s="71" t="s">
        <v>286</v>
      </c>
      <c r="B48" s="72" t="s">
        <v>242</v>
      </c>
      <c r="C48" s="73">
        <v>0</v>
      </c>
      <c r="D48" s="74">
        <v>0</v>
      </c>
      <c r="E48" s="204">
        <v>17757000</v>
      </c>
      <c r="F48" s="113">
        <v>17757000</v>
      </c>
      <c r="G48" s="75">
        <f t="shared" si="0"/>
        <v>0</v>
      </c>
      <c r="H48" s="77">
        <v>0</v>
      </c>
      <c r="I48" s="200">
        <f t="shared" si="2"/>
        <v>0</v>
      </c>
    </row>
    <row r="49" spans="1:9" ht="31.2" customHeight="1">
      <c r="A49" s="71" t="s">
        <v>310</v>
      </c>
      <c r="B49" s="72" t="s">
        <v>317</v>
      </c>
      <c r="C49" s="73"/>
      <c r="D49" s="74"/>
      <c r="E49" s="204">
        <v>332500</v>
      </c>
      <c r="F49" s="113">
        <v>332500</v>
      </c>
      <c r="G49" s="75">
        <f t="shared" si="0"/>
        <v>0</v>
      </c>
      <c r="H49" s="77"/>
      <c r="I49" s="200"/>
    </row>
    <row r="50" spans="1:9" ht="31.2" customHeight="1">
      <c r="A50" s="71" t="s">
        <v>318</v>
      </c>
      <c r="B50" s="72" t="s">
        <v>312</v>
      </c>
      <c r="C50" s="73"/>
      <c r="D50" s="74"/>
      <c r="E50" s="204">
        <v>4490000</v>
      </c>
      <c r="F50" s="113">
        <v>4490000</v>
      </c>
      <c r="G50" s="75">
        <f t="shared" si="0"/>
        <v>0</v>
      </c>
      <c r="H50" s="77"/>
      <c r="I50" s="200"/>
    </row>
    <row r="51" spans="1:9" ht="31.2" customHeight="1">
      <c r="A51" s="71" t="s">
        <v>311</v>
      </c>
      <c r="B51" s="72" t="s">
        <v>319</v>
      </c>
      <c r="C51" s="73"/>
      <c r="D51" s="74"/>
      <c r="E51" s="204">
        <v>12615380</v>
      </c>
      <c r="F51" s="113">
        <v>12615380</v>
      </c>
      <c r="G51" s="75">
        <f t="shared" si="0"/>
        <v>0</v>
      </c>
      <c r="H51" s="77"/>
      <c r="I51" s="200"/>
    </row>
    <row r="52" spans="1:9" ht="31.2" customHeight="1">
      <c r="A52" s="71" t="s">
        <v>240</v>
      </c>
      <c r="B52" s="72" t="s">
        <v>24</v>
      </c>
      <c r="C52" s="73">
        <v>0</v>
      </c>
      <c r="D52" s="74">
        <v>0</v>
      </c>
      <c r="E52" s="75">
        <v>2203837546.3200002</v>
      </c>
      <c r="F52" s="113">
        <v>2203837546.3200002</v>
      </c>
      <c r="G52" s="75">
        <f t="shared" si="0"/>
        <v>0</v>
      </c>
      <c r="H52" s="77">
        <v>0</v>
      </c>
      <c r="I52" s="200">
        <f t="shared" si="2"/>
        <v>0</v>
      </c>
    </row>
    <row r="53" spans="1:9" ht="31.2" customHeight="1">
      <c r="A53" s="71">
        <v>146.01</v>
      </c>
      <c r="B53" s="72" t="s">
        <v>25</v>
      </c>
      <c r="C53" s="73"/>
      <c r="D53" s="74"/>
      <c r="E53" s="75"/>
      <c r="F53" s="113"/>
      <c r="G53" s="75">
        <f t="shared" si="0"/>
        <v>0</v>
      </c>
      <c r="H53" s="77"/>
      <c r="I53" s="200"/>
    </row>
    <row r="54" spans="1:9" ht="31.2" customHeight="1">
      <c r="A54" s="71">
        <v>146.02000000000001</v>
      </c>
      <c r="B54" s="72" t="s">
        <v>138</v>
      </c>
      <c r="C54" s="73"/>
      <c r="D54" s="74"/>
      <c r="E54" s="75"/>
      <c r="F54" s="113"/>
      <c r="G54" s="75">
        <f t="shared" si="0"/>
        <v>0</v>
      </c>
      <c r="H54" s="77"/>
      <c r="I54" s="200"/>
    </row>
    <row r="55" spans="1:9" ht="31.2" customHeight="1">
      <c r="A55" s="71">
        <v>146.03</v>
      </c>
      <c r="B55" s="72" t="s">
        <v>139</v>
      </c>
      <c r="C55" s="73"/>
      <c r="D55" s="74"/>
      <c r="E55" s="75"/>
      <c r="F55" s="113"/>
      <c r="G55" s="75">
        <f t="shared" si="0"/>
        <v>0</v>
      </c>
      <c r="H55" s="77"/>
      <c r="I55" s="200"/>
    </row>
    <row r="56" spans="1:9" ht="31.2" customHeight="1">
      <c r="A56" s="71">
        <v>146.04</v>
      </c>
      <c r="B56" s="72" t="s">
        <v>140</v>
      </c>
      <c r="C56" s="73"/>
      <c r="D56" s="74"/>
      <c r="E56" s="75"/>
      <c r="F56" s="113"/>
      <c r="G56" s="75">
        <f t="shared" si="0"/>
        <v>0</v>
      </c>
      <c r="H56" s="77"/>
      <c r="I56" s="200"/>
    </row>
    <row r="57" spans="1:9" ht="31.2" customHeight="1">
      <c r="A57" s="71">
        <v>146.05000000000001</v>
      </c>
      <c r="B57" s="72" t="s">
        <v>26</v>
      </c>
      <c r="C57" s="73"/>
      <c r="D57" s="74"/>
      <c r="E57" s="75"/>
      <c r="F57" s="113"/>
      <c r="G57" s="75">
        <f t="shared" si="0"/>
        <v>0</v>
      </c>
      <c r="H57" s="77"/>
      <c r="I57" s="200"/>
    </row>
    <row r="58" spans="1:9" ht="31.2" customHeight="1">
      <c r="A58" s="71">
        <v>146.06</v>
      </c>
      <c r="B58" s="72" t="s">
        <v>27</v>
      </c>
      <c r="C58" s="73"/>
      <c r="D58" s="74"/>
      <c r="E58" s="75"/>
      <c r="F58" s="113"/>
      <c r="G58" s="75">
        <f t="shared" si="0"/>
        <v>0</v>
      </c>
      <c r="H58" s="77"/>
      <c r="I58" s="200"/>
    </row>
    <row r="59" spans="1:9" ht="31.2" customHeight="1">
      <c r="A59" s="71">
        <v>146.07</v>
      </c>
      <c r="B59" s="72" t="s">
        <v>28</v>
      </c>
      <c r="C59" s="73"/>
      <c r="D59" s="74"/>
      <c r="E59" s="75"/>
      <c r="F59" s="113"/>
      <c r="G59" s="75">
        <f t="shared" si="0"/>
        <v>0</v>
      </c>
      <c r="H59" s="77"/>
      <c r="I59" s="200"/>
    </row>
    <row r="60" spans="1:9" ht="31.2" customHeight="1">
      <c r="A60" s="71">
        <v>146.08000000000001</v>
      </c>
      <c r="B60" s="72" t="s">
        <v>29</v>
      </c>
      <c r="C60" s="73">
        <v>1077328732.6599998</v>
      </c>
      <c r="D60" s="74">
        <v>0</v>
      </c>
      <c r="E60" s="75">
        <v>0</v>
      </c>
      <c r="F60" s="113">
        <v>28921701</v>
      </c>
      <c r="G60" s="75">
        <f t="shared" si="0"/>
        <v>1048407031.6599998</v>
      </c>
      <c r="H60" s="77">
        <v>0</v>
      </c>
      <c r="I60" s="200">
        <f t="shared" si="2"/>
        <v>1048407031.6599998</v>
      </c>
    </row>
    <row r="61" spans="1:9" ht="31.2" customHeight="1">
      <c r="A61" s="71">
        <v>146.09</v>
      </c>
      <c r="B61" s="72" t="s">
        <v>243</v>
      </c>
      <c r="C61" s="73">
        <v>60266890.799999997</v>
      </c>
      <c r="D61" s="74">
        <v>0</v>
      </c>
      <c r="E61" s="75">
        <v>0</v>
      </c>
      <c r="F61" s="113">
        <v>12064263.15</v>
      </c>
      <c r="G61" s="75">
        <f t="shared" si="0"/>
        <v>48202627.649999999</v>
      </c>
      <c r="H61" s="77">
        <v>0</v>
      </c>
      <c r="I61" s="200">
        <f t="shared" si="2"/>
        <v>48202627.649999999</v>
      </c>
    </row>
    <row r="62" spans="1:9" ht="31.2" customHeight="1">
      <c r="A62" s="71">
        <v>1601.01</v>
      </c>
      <c r="B62" s="72" t="s">
        <v>30</v>
      </c>
      <c r="C62" s="73">
        <v>72427584</v>
      </c>
      <c r="D62" s="74">
        <v>0</v>
      </c>
      <c r="E62" s="75"/>
      <c r="F62" s="113"/>
      <c r="G62" s="75">
        <f t="shared" si="0"/>
        <v>72427584</v>
      </c>
      <c r="H62" s="77">
        <v>0</v>
      </c>
      <c r="I62" s="200">
        <f t="shared" si="2"/>
        <v>72427584</v>
      </c>
    </row>
    <row r="63" spans="1:9" ht="31.2" customHeight="1">
      <c r="A63" s="71">
        <v>1601</v>
      </c>
      <c r="B63" s="72" t="s">
        <v>143</v>
      </c>
      <c r="C63" s="73"/>
      <c r="D63" s="74"/>
      <c r="E63" s="75"/>
      <c r="F63" s="113"/>
      <c r="G63" s="75">
        <f t="shared" si="0"/>
        <v>0</v>
      </c>
      <c r="H63" s="77"/>
      <c r="I63" s="200">
        <f t="shared" si="2"/>
        <v>0</v>
      </c>
    </row>
    <row r="64" spans="1:9" ht="31.2" customHeight="1">
      <c r="A64" s="71">
        <v>1611</v>
      </c>
      <c r="B64" s="72" t="s">
        <v>31</v>
      </c>
      <c r="C64" s="74">
        <v>15676816.98</v>
      </c>
      <c r="D64" s="73">
        <v>0</v>
      </c>
      <c r="E64" s="75"/>
      <c r="F64" s="113"/>
      <c r="G64" s="75">
        <f t="shared" si="0"/>
        <v>15676816.98</v>
      </c>
      <c r="H64" s="77">
        <v>0</v>
      </c>
      <c r="I64" s="200">
        <f t="shared" si="2"/>
        <v>15676816.98</v>
      </c>
    </row>
    <row r="65" spans="1:9" ht="31.2" customHeight="1">
      <c r="A65" s="71">
        <v>166</v>
      </c>
      <c r="B65" s="72" t="s">
        <v>32</v>
      </c>
      <c r="C65" s="74">
        <v>0</v>
      </c>
      <c r="D65" s="73">
        <v>0</v>
      </c>
      <c r="E65" s="75">
        <v>99536191.739999995</v>
      </c>
      <c r="F65" s="113">
        <v>99536191.739999995</v>
      </c>
      <c r="G65" s="75">
        <f t="shared" si="0"/>
        <v>0</v>
      </c>
      <c r="H65" s="77">
        <v>0</v>
      </c>
      <c r="I65" s="200">
        <f t="shared" si="2"/>
        <v>0</v>
      </c>
    </row>
    <row r="66" spans="1:9" ht="31.2" customHeight="1">
      <c r="A66" s="71" t="s">
        <v>313</v>
      </c>
      <c r="B66" s="72" t="s">
        <v>32</v>
      </c>
      <c r="C66" s="74"/>
      <c r="D66" s="73"/>
      <c r="E66" s="75">
        <v>98131550.080000013</v>
      </c>
      <c r="F66" s="113">
        <v>98131550.079999998</v>
      </c>
      <c r="G66" s="75">
        <f t="shared" si="0"/>
        <v>0</v>
      </c>
      <c r="H66" s="77"/>
      <c r="I66" s="200">
        <f t="shared" si="2"/>
        <v>0</v>
      </c>
    </row>
    <row r="67" spans="1:9" ht="31.2" customHeight="1">
      <c r="A67" s="71">
        <v>231</v>
      </c>
      <c r="B67" s="72" t="s">
        <v>33</v>
      </c>
      <c r="C67" s="74"/>
      <c r="D67" s="73"/>
      <c r="E67" s="75"/>
      <c r="F67" s="113"/>
      <c r="G67" s="75">
        <f t="shared" si="0"/>
        <v>0</v>
      </c>
      <c r="H67" s="77"/>
      <c r="I67" s="200">
        <f t="shared" si="2"/>
        <v>0</v>
      </c>
    </row>
    <row r="68" spans="1:9" ht="31.2" customHeight="1">
      <c r="A68" s="71">
        <v>232</v>
      </c>
      <c r="B68" s="72" t="s">
        <v>244</v>
      </c>
      <c r="C68" s="74"/>
      <c r="D68" s="73"/>
      <c r="E68" s="75"/>
      <c r="F68" s="113"/>
      <c r="G68" s="75">
        <f t="shared" si="0"/>
        <v>0</v>
      </c>
      <c r="H68" s="77"/>
      <c r="I68" s="200">
        <f t="shared" si="2"/>
        <v>0</v>
      </c>
    </row>
    <row r="69" spans="1:9" ht="31.2" customHeight="1">
      <c r="A69" s="71">
        <v>2411</v>
      </c>
      <c r="B69" s="72" t="s">
        <v>34</v>
      </c>
      <c r="C69" s="74">
        <v>155359479.06999999</v>
      </c>
      <c r="D69" s="73">
        <v>0</v>
      </c>
      <c r="E69" s="75"/>
      <c r="F69" s="113"/>
      <c r="G69" s="75">
        <f t="shared" si="0"/>
        <v>155359479.06999999</v>
      </c>
      <c r="H69" s="77">
        <v>0</v>
      </c>
      <c r="I69" s="200">
        <f t="shared" si="2"/>
        <v>155359479.06999999</v>
      </c>
    </row>
    <row r="70" spans="1:9" ht="31.2" customHeight="1">
      <c r="A70" s="71">
        <v>2412</v>
      </c>
      <c r="B70" s="72" t="s">
        <v>35</v>
      </c>
      <c r="C70" s="74">
        <v>2343164204.29</v>
      </c>
      <c r="D70" s="73">
        <v>0</v>
      </c>
      <c r="E70" s="75"/>
      <c r="F70" s="113"/>
      <c r="G70" s="75">
        <f t="shared" si="0"/>
        <v>2343164204.29</v>
      </c>
      <c r="H70" s="77">
        <v>0</v>
      </c>
      <c r="I70" s="200">
        <f t="shared" si="2"/>
        <v>2343164204.29</v>
      </c>
    </row>
    <row r="71" spans="1:9" ht="31.2" customHeight="1">
      <c r="A71" s="71">
        <v>2413</v>
      </c>
      <c r="B71" s="72" t="s">
        <v>36</v>
      </c>
      <c r="C71" s="74">
        <v>3149994248</v>
      </c>
      <c r="D71" s="73">
        <v>0</v>
      </c>
      <c r="E71" s="75">
        <v>0</v>
      </c>
      <c r="F71" s="113">
        <v>30821000</v>
      </c>
      <c r="G71" s="75">
        <f t="shared" si="0"/>
        <v>3119173248</v>
      </c>
      <c r="H71" s="77">
        <v>0</v>
      </c>
      <c r="I71" s="200">
        <f t="shared" si="2"/>
        <v>3119173248</v>
      </c>
    </row>
    <row r="72" spans="1:9" ht="31.2" customHeight="1">
      <c r="A72" s="79">
        <v>2414</v>
      </c>
      <c r="B72" s="72" t="s">
        <v>37</v>
      </c>
      <c r="C72" s="74">
        <v>5186562006</v>
      </c>
      <c r="D72" s="73">
        <v>0</v>
      </c>
      <c r="E72" s="75">
        <v>197932192.31999999</v>
      </c>
      <c r="F72" s="113">
        <v>994018889.32000005</v>
      </c>
      <c r="G72" s="75">
        <f t="shared" si="0"/>
        <v>4390475309</v>
      </c>
      <c r="H72" s="77">
        <v>0</v>
      </c>
      <c r="I72" s="200">
        <f t="shared" si="2"/>
        <v>4390475309</v>
      </c>
    </row>
    <row r="73" spans="1:9" ht="31.2" customHeight="1">
      <c r="A73" s="71">
        <v>2421</v>
      </c>
      <c r="B73" s="72" t="s">
        <v>38</v>
      </c>
      <c r="C73" s="73">
        <v>10103000</v>
      </c>
      <c r="D73" s="74">
        <v>0</v>
      </c>
      <c r="E73" s="75"/>
      <c r="F73" s="113"/>
      <c r="G73" s="75">
        <f t="shared" si="0"/>
        <v>10103000</v>
      </c>
      <c r="H73" s="77">
        <v>0</v>
      </c>
      <c r="I73" s="200">
        <f t="shared" si="2"/>
        <v>10103000</v>
      </c>
    </row>
    <row r="74" spans="1:9" ht="31.2" customHeight="1">
      <c r="A74" s="71">
        <v>28411</v>
      </c>
      <c r="B74" s="72" t="s">
        <v>39</v>
      </c>
      <c r="C74" s="73">
        <v>0</v>
      </c>
      <c r="D74" s="74">
        <v>46779798</v>
      </c>
      <c r="E74" s="75">
        <v>0</v>
      </c>
      <c r="F74" s="113">
        <v>1485212.33</v>
      </c>
      <c r="G74" s="75">
        <v>0</v>
      </c>
      <c r="H74" s="77">
        <f>D74+F74-E74</f>
        <v>48265010.329999998</v>
      </c>
      <c r="I74" s="200">
        <f t="shared" ref="I74:I84" si="3">-H74</f>
        <v>-48265010.329999998</v>
      </c>
    </row>
    <row r="75" spans="1:9" ht="31.2" customHeight="1">
      <c r="A75" s="71">
        <v>28412</v>
      </c>
      <c r="B75" s="72" t="s">
        <v>40</v>
      </c>
      <c r="C75" s="74">
        <v>0</v>
      </c>
      <c r="D75" s="73">
        <v>270159421</v>
      </c>
      <c r="E75" s="75">
        <v>0</v>
      </c>
      <c r="F75" s="113">
        <v>5009693.54</v>
      </c>
      <c r="G75" s="75">
        <v>0</v>
      </c>
      <c r="H75" s="77">
        <f t="shared" ref="H75:H80" si="4">D75+F75-E75</f>
        <v>275169114.54000002</v>
      </c>
      <c r="I75" s="200">
        <f t="shared" si="3"/>
        <v>-275169114.54000002</v>
      </c>
    </row>
    <row r="76" spans="1:9" ht="31.2" customHeight="1">
      <c r="A76" s="71">
        <v>28413</v>
      </c>
      <c r="B76" s="72" t="s">
        <v>41</v>
      </c>
      <c r="C76" s="74">
        <v>0</v>
      </c>
      <c r="D76" s="73">
        <v>1960335256</v>
      </c>
      <c r="E76" s="75">
        <v>22067273.170000002</v>
      </c>
      <c r="F76" s="113">
        <v>23451270.399999999</v>
      </c>
      <c r="G76" s="75">
        <v>0</v>
      </c>
      <c r="H76" s="77">
        <f t="shared" si="4"/>
        <v>1961719253.23</v>
      </c>
      <c r="I76" s="200">
        <f t="shared" si="3"/>
        <v>-1961719253.23</v>
      </c>
    </row>
    <row r="77" spans="1:9" ht="31.2" customHeight="1">
      <c r="A77" s="71">
        <v>28414</v>
      </c>
      <c r="B77" s="72" t="s">
        <v>42</v>
      </c>
      <c r="C77" s="74">
        <v>0</v>
      </c>
      <c r="D77" s="73">
        <v>2026719883.0699999</v>
      </c>
      <c r="E77" s="75">
        <v>726804099.85000002</v>
      </c>
      <c r="F77" s="113">
        <v>23591255.149999999</v>
      </c>
      <c r="G77" s="75">
        <v>0</v>
      </c>
      <c r="H77" s="77">
        <f t="shared" si="4"/>
        <v>1323507038.3699999</v>
      </c>
      <c r="I77" s="200">
        <f t="shared" si="3"/>
        <v>-1323507038.3699999</v>
      </c>
    </row>
    <row r="78" spans="1:9" ht="31.2" customHeight="1">
      <c r="A78" s="71">
        <v>28421</v>
      </c>
      <c r="B78" s="72" t="s">
        <v>43</v>
      </c>
      <c r="C78" s="74">
        <v>0</v>
      </c>
      <c r="D78" s="73">
        <v>10103000</v>
      </c>
      <c r="E78" s="75"/>
      <c r="F78" s="113"/>
      <c r="G78" s="75">
        <f t="shared" ref="G78" si="5">C78+E78-F78</f>
        <v>0</v>
      </c>
      <c r="H78" s="77">
        <f t="shared" si="4"/>
        <v>10103000</v>
      </c>
      <c r="I78" s="200">
        <f t="shared" si="3"/>
        <v>-10103000</v>
      </c>
    </row>
    <row r="79" spans="1:9" ht="31.2" customHeight="1">
      <c r="A79" s="90">
        <v>303</v>
      </c>
      <c r="B79" s="72" t="s">
        <v>44</v>
      </c>
      <c r="C79" s="74">
        <v>0</v>
      </c>
      <c r="D79" s="73">
        <v>23368900000</v>
      </c>
      <c r="E79" s="75"/>
      <c r="F79" s="113"/>
      <c r="G79" s="75">
        <v>0</v>
      </c>
      <c r="H79" s="77">
        <f t="shared" si="4"/>
        <v>23368900000</v>
      </c>
      <c r="I79" s="43">
        <f t="shared" si="3"/>
        <v>-23368900000</v>
      </c>
    </row>
    <row r="80" spans="1:9" ht="31.2" customHeight="1">
      <c r="A80" s="71">
        <v>308</v>
      </c>
      <c r="B80" s="72" t="s">
        <v>172</v>
      </c>
      <c r="C80" s="74">
        <v>0</v>
      </c>
      <c r="D80" s="73">
        <v>135330133.84</v>
      </c>
      <c r="E80" s="75"/>
      <c r="F80" s="113"/>
      <c r="G80" s="75">
        <v>0</v>
      </c>
      <c r="H80" s="77">
        <f t="shared" si="4"/>
        <v>135330133.84</v>
      </c>
      <c r="I80" s="43">
        <f t="shared" si="3"/>
        <v>-135330133.84</v>
      </c>
    </row>
    <row r="81" spans="1:9" ht="31.2" customHeight="1">
      <c r="A81" s="71">
        <v>329</v>
      </c>
      <c r="B81" s="72" t="s">
        <v>45</v>
      </c>
      <c r="C81" s="74">
        <v>11055995083</v>
      </c>
      <c r="D81" s="73">
        <v>0</v>
      </c>
      <c r="E81" s="75"/>
      <c r="F81" s="113"/>
      <c r="G81" s="75">
        <f>C81+E81-F81</f>
        <v>11055995083</v>
      </c>
      <c r="H81" s="77">
        <v>0</v>
      </c>
      <c r="I81" s="43">
        <f t="shared" ref="I81" si="6">G81</f>
        <v>11055995083</v>
      </c>
    </row>
    <row r="82" spans="1:9" ht="31.2" customHeight="1">
      <c r="A82" s="71">
        <v>331</v>
      </c>
      <c r="B82" s="72" t="s">
        <v>256</v>
      </c>
      <c r="C82" s="74">
        <v>0</v>
      </c>
      <c r="D82" s="73">
        <v>2551807669</v>
      </c>
      <c r="E82" s="75"/>
      <c r="F82" s="113"/>
      <c r="G82" s="75">
        <v>0</v>
      </c>
      <c r="H82" s="77">
        <f>D82+F82-E82</f>
        <v>2551807669</v>
      </c>
      <c r="I82" s="43">
        <f t="shared" si="3"/>
        <v>-2551807669</v>
      </c>
    </row>
    <row r="83" spans="1:9" ht="31.2" customHeight="1">
      <c r="A83" s="71">
        <v>401.01</v>
      </c>
      <c r="B83" s="72" t="s">
        <v>153</v>
      </c>
      <c r="C83" s="74"/>
      <c r="D83" s="73"/>
      <c r="E83" s="75"/>
      <c r="F83" s="113"/>
      <c r="G83" s="75"/>
      <c r="H83" s="77">
        <f t="shared" ref="H83:H113" si="7">D83+F83-E83</f>
        <v>0</v>
      </c>
      <c r="I83" s="201">
        <v>0</v>
      </c>
    </row>
    <row r="84" spans="1:9" ht="31.2" customHeight="1">
      <c r="A84" s="71">
        <v>401.02</v>
      </c>
      <c r="B84" s="72" t="s">
        <v>46</v>
      </c>
      <c r="C84" s="74">
        <v>0</v>
      </c>
      <c r="D84" s="73">
        <v>194389562</v>
      </c>
      <c r="E84" s="75">
        <v>194389562</v>
      </c>
      <c r="F84" s="113">
        <v>0</v>
      </c>
      <c r="G84" s="75">
        <v>0</v>
      </c>
      <c r="H84" s="77">
        <f t="shared" si="7"/>
        <v>0</v>
      </c>
      <c r="I84" s="201">
        <f t="shared" si="3"/>
        <v>0</v>
      </c>
    </row>
    <row r="85" spans="1:9" ht="31.2" customHeight="1">
      <c r="A85" s="71">
        <v>401.03</v>
      </c>
      <c r="B85" s="72" t="s">
        <v>47</v>
      </c>
      <c r="C85" s="74">
        <v>0</v>
      </c>
      <c r="D85" s="73">
        <v>594000000</v>
      </c>
      <c r="E85" s="75">
        <v>594000000</v>
      </c>
      <c r="F85" s="113">
        <v>855175200</v>
      </c>
      <c r="G85" s="75">
        <v>0</v>
      </c>
      <c r="H85" s="77">
        <f t="shared" si="7"/>
        <v>855175200</v>
      </c>
      <c r="I85" s="201">
        <f>-H85</f>
        <v>-855175200</v>
      </c>
    </row>
    <row r="86" spans="1:9" ht="31.2" customHeight="1">
      <c r="A86" s="71">
        <v>401.04</v>
      </c>
      <c r="B86" s="72" t="s">
        <v>48</v>
      </c>
      <c r="C86" s="74">
        <v>0</v>
      </c>
      <c r="D86" s="73">
        <v>112710000</v>
      </c>
      <c r="E86" s="75">
        <v>112710000</v>
      </c>
      <c r="F86" s="113">
        <v>87150000</v>
      </c>
      <c r="G86" s="75">
        <v>0</v>
      </c>
      <c r="H86" s="77">
        <f t="shared" si="7"/>
        <v>87150000</v>
      </c>
      <c r="I86" s="201">
        <f t="shared" ref="I86:I112" si="8">-H86</f>
        <v>-87150000</v>
      </c>
    </row>
    <row r="87" spans="1:9" ht="31.2" customHeight="1">
      <c r="A87" s="71">
        <v>401.05</v>
      </c>
      <c r="B87" s="72" t="s">
        <v>46</v>
      </c>
      <c r="C87" s="73">
        <v>0</v>
      </c>
      <c r="D87" s="74">
        <v>542766480</v>
      </c>
      <c r="E87" s="75">
        <v>542766480</v>
      </c>
      <c r="F87" s="113">
        <v>371549000</v>
      </c>
      <c r="G87" s="75">
        <v>0</v>
      </c>
      <c r="H87" s="77">
        <f t="shared" si="7"/>
        <v>371549000</v>
      </c>
      <c r="I87" s="201">
        <f t="shared" si="8"/>
        <v>-371549000</v>
      </c>
    </row>
    <row r="88" spans="1:9" ht="31.2" customHeight="1">
      <c r="A88" s="71">
        <v>401.06</v>
      </c>
      <c r="B88" s="72" t="s">
        <v>49</v>
      </c>
      <c r="C88" s="74">
        <v>0</v>
      </c>
      <c r="D88" s="73">
        <v>110343749.5</v>
      </c>
      <c r="E88" s="75">
        <v>110343749.5</v>
      </c>
      <c r="F88" s="113">
        <v>151580212.5</v>
      </c>
      <c r="G88" s="75">
        <v>0</v>
      </c>
      <c r="H88" s="77">
        <f t="shared" si="7"/>
        <v>151580212.5</v>
      </c>
      <c r="I88" s="201">
        <f t="shared" si="8"/>
        <v>-151580212.5</v>
      </c>
    </row>
    <row r="89" spans="1:9" ht="31.2" customHeight="1">
      <c r="A89" s="71">
        <v>402</v>
      </c>
      <c r="B89" s="72" t="s">
        <v>159</v>
      </c>
      <c r="C89" s="74"/>
      <c r="D89" s="73"/>
      <c r="E89" s="75"/>
      <c r="F89" s="113"/>
      <c r="G89" s="75"/>
      <c r="H89" s="77">
        <f t="shared" si="7"/>
        <v>0</v>
      </c>
      <c r="I89" s="201">
        <f t="shared" si="8"/>
        <v>0</v>
      </c>
    </row>
    <row r="90" spans="1:9" ht="31.2" customHeight="1">
      <c r="A90" s="71">
        <v>402.01</v>
      </c>
      <c r="B90" s="72" t="s">
        <v>235</v>
      </c>
      <c r="C90" s="74">
        <v>0</v>
      </c>
      <c r="D90" s="73">
        <v>4629439.7399999993</v>
      </c>
      <c r="E90" s="75">
        <v>4629439.74</v>
      </c>
      <c r="F90" s="113">
        <v>8013709.9000000004</v>
      </c>
      <c r="G90" s="75">
        <v>0</v>
      </c>
      <c r="H90" s="77">
        <f t="shared" si="7"/>
        <v>8013709.9000000004</v>
      </c>
      <c r="I90" s="201">
        <f t="shared" si="8"/>
        <v>-8013709.9000000004</v>
      </c>
    </row>
    <row r="91" spans="1:9" ht="31.2" customHeight="1">
      <c r="A91" s="71">
        <v>402.02</v>
      </c>
      <c r="B91" s="72" t="s">
        <v>234</v>
      </c>
      <c r="C91" s="74">
        <v>0</v>
      </c>
      <c r="D91" s="73">
        <v>2793144.8</v>
      </c>
      <c r="E91" s="75">
        <v>2793144.8</v>
      </c>
      <c r="F91" s="113">
        <v>2091143.2</v>
      </c>
      <c r="G91" s="75">
        <v>0</v>
      </c>
      <c r="H91" s="77">
        <f t="shared" si="7"/>
        <v>2091143.2000000002</v>
      </c>
      <c r="I91" s="201">
        <f t="shared" si="8"/>
        <v>-2091143.2000000002</v>
      </c>
    </row>
    <row r="92" spans="1:9" ht="31.2" customHeight="1">
      <c r="A92" s="71">
        <v>402.03</v>
      </c>
      <c r="B92" s="72" t="s">
        <v>162</v>
      </c>
      <c r="C92" s="74"/>
      <c r="D92" s="73"/>
      <c r="E92" s="75"/>
      <c r="F92" s="113"/>
      <c r="G92" s="75"/>
      <c r="H92" s="77">
        <f t="shared" si="7"/>
        <v>0</v>
      </c>
      <c r="I92" s="201">
        <f t="shared" si="8"/>
        <v>0</v>
      </c>
    </row>
    <row r="93" spans="1:9" ht="31.2" customHeight="1">
      <c r="A93" s="71">
        <v>402.04</v>
      </c>
      <c r="B93" s="72" t="s">
        <v>163</v>
      </c>
      <c r="C93" s="74"/>
      <c r="D93" s="73"/>
      <c r="E93" s="75"/>
      <c r="F93" s="113"/>
      <c r="G93" s="75"/>
      <c r="H93" s="77">
        <f t="shared" si="7"/>
        <v>0</v>
      </c>
      <c r="I93" s="201">
        <f t="shared" si="8"/>
        <v>0</v>
      </c>
    </row>
    <row r="94" spans="1:9" ht="31.2" customHeight="1">
      <c r="A94" s="71">
        <v>402.05</v>
      </c>
      <c r="B94" s="72" t="s">
        <v>50</v>
      </c>
      <c r="C94" s="74">
        <v>0</v>
      </c>
      <c r="D94" s="73">
        <v>70000</v>
      </c>
      <c r="E94" s="75"/>
      <c r="F94" s="113"/>
      <c r="G94" s="75">
        <v>0</v>
      </c>
      <c r="H94" s="77">
        <f t="shared" si="7"/>
        <v>70000</v>
      </c>
      <c r="I94" s="201">
        <f t="shared" si="8"/>
        <v>-70000</v>
      </c>
    </row>
    <row r="95" spans="1:9" ht="31.2" customHeight="1">
      <c r="A95" s="71">
        <v>402.07</v>
      </c>
      <c r="B95" s="72" t="s">
        <v>51</v>
      </c>
      <c r="C95" s="74">
        <v>0</v>
      </c>
      <c r="D95" s="73">
        <v>373216</v>
      </c>
      <c r="E95" s="75">
        <v>0</v>
      </c>
      <c r="F95" s="113">
        <v>14503208</v>
      </c>
      <c r="G95" s="75">
        <v>0</v>
      </c>
      <c r="H95" s="77">
        <f t="shared" si="7"/>
        <v>14876424</v>
      </c>
      <c r="I95" s="201">
        <f t="shared" si="8"/>
        <v>-14876424</v>
      </c>
    </row>
    <row r="96" spans="1:9" ht="31.2" customHeight="1">
      <c r="A96" s="71">
        <v>402.08</v>
      </c>
      <c r="B96" s="72" t="s">
        <v>52</v>
      </c>
      <c r="C96" s="74">
        <v>0</v>
      </c>
      <c r="D96" s="73">
        <v>60000</v>
      </c>
      <c r="E96" s="75"/>
      <c r="F96" s="113"/>
      <c r="G96" s="75">
        <v>0</v>
      </c>
      <c r="H96" s="77">
        <f t="shared" si="7"/>
        <v>60000</v>
      </c>
      <c r="I96" s="201">
        <f t="shared" si="8"/>
        <v>-60000</v>
      </c>
    </row>
    <row r="97" spans="1:9" ht="31.2" customHeight="1">
      <c r="A97" s="71">
        <v>402.11</v>
      </c>
      <c r="B97" s="72" t="s">
        <v>53</v>
      </c>
      <c r="C97" s="74"/>
      <c r="D97" s="73"/>
      <c r="E97" s="75"/>
      <c r="F97" s="113"/>
      <c r="G97" s="75"/>
      <c r="H97" s="77">
        <f t="shared" si="7"/>
        <v>0</v>
      </c>
      <c r="I97" s="201">
        <f t="shared" si="8"/>
        <v>0</v>
      </c>
    </row>
    <row r="98" spans="1:9" ht="31.2" customHeight="1">
      <c r="A98" s="71">
        <v>402.12</v>
      </c>
      <c r="B98" s="72" t="s">
        <v>54</v>
      </c>
      <c r="C98" s="74">
        <v>0</v>
      </c>
      <c r="D98" s="74">
        <v>25896955.840000004</v>
      </c>
      <c r="E98" s="75">
        <v>19144234.559999999</v>
      </c>
      <c r="F98" s="113">
        <v>18078.72</v>
      </c>
      <c r="G98" s="75">
        <v>0</v>
      </c>
      <c r="H98" s="77">
        <f t="shared" si="7"/>
        <v>6770800.0000000037</v>
      </c>
      <c r="I98" s="201">
        <f t="shared" si="8"/>
        <v>-6770800.0000000037</v>
      </c>
    </row>
    <row r="99" spans="1:9" ht="31.2" customHeight="1">
      <c r="A99" s="71">
        <v>402.14</v>
      </c>
      <c r="B99" s="72" t="s">
        <v>55</v>
      </c>
      <c r="C99" s="74">
        <v>0</v>
      </c>
      <c r="D99" s="73">
        <v>587412800</v>
      </c>
      <c r="E99" s="75">
        <v>587412800</v>
      </c>
      <c r="F99" s="113">
        <v>163061600</v>
      </c>
      <c r="G99" s="75">
        <v>0</v>
      </c>
      <c r="H99" s="77">
        <f t="shared" si="7"/>
        <v>163061600</v>
      </c>
      <c r="I99" s="201">
        <f t="shared" si="8"/>
        <v>-163061600</v>
      </c>
    </row>
    <row r="100" spans="1:9" ht="31.2" customHeight="1">
      <c r="A100" s="71">
        <v>402.15</v>
      </c>
      <c r="B100" s="72" t="s">
        <v>56</v>
      </c>
      <c r="C100" s="74">
        <v>0</v>
      </c>
      <c r="D100" s="73">
        <v>19466050</v>
      </c>
      <c r="E100" s="75">
        <v>8471500</v>
      </c>
      <c r="F100" s="113">
        <v>8471500</v>
      </c>
      <c r="G100" s="75">
        <v>0</v>
      </c>
      <c r="H100" s="77">
        <f t="shared" si="7"/>
        <v>19466050</v>
      </c>
      <c r="I100" s="201">
        <f t="shared" si="8"/>
        <v>-19466050</v>
      </c>
    </row>
    <row r="101" spans="1:9" ht="31.2" customHeight="1">
      <c r="A101" s="71">
        <v>402.16</v>
      </c>
      <c r="B101" s="72" t="s">
        <v>166</v>
      </c>
      <c r="C101" s="74">
        <v>0</v>
      </c>
      <c r="D101" s="73">
        <v>74781793.300000012</v>
      </c>
      <c r="E101" s="75">
        <v>74781793.299999997</v>
      </c>
      <c r="F101" s="113">
        <v>21160380</v>
      </c>
      <c r="G101" s="75">
        <v>0</v>
      </c>
      <c r="H101" s="77">
        <f t="shared" si="7"/>
        <v>21160380.000000015</v>
      </c>
      <c r="I101" s="201">
        <f t="shared" si="8"/>
        <v>-21160380.000000015</v>
      </c>
    </row>
    <row r="102" spans="1:9" ht="31.2" customHeight="1">
      <c r="A102" s="71">
        <v>402.17</v>
      </c>
      <c r="B102" s="72" t="s">
        <v>57</v>
      </c>
      <c r="C102" s="74"/>
      <c r="D102" s="73"/>
      <c r="E102" s="75">
        <v>0</v>
      </c>
      <c r="F102" s="113">
        <v>19000000</v>
      </c>
      <c r="G102" s="75"/>
      <c r="H102" s="77">
        <f t="shared" si="7"/>
        <v>19000000</v>
      </c>
      <c r="I102" s="201">
        <f t="shared" si="8"/>
        <v>-19000000</v>
      </c>
    </row>
    <row r="103" spans="1:9" ht="31.2" customHeight="1">
      <c r="A103" s="71">
        <v>402.18</v>
      </c>
      <c r="B103" s="72" t="s">
        <v>320</v>
      </c>
      <c r="C103" s="74"/>
      <c r="D103" s="73"/>
      <c r="E103" s="75">
        <v>0</v>
      </c>
      <c r="F103" s="113">
        <v>125670062.86</v>
      </c>
      <c r="G103" s="75"/>
      <c r="H103" s="77">
        <f t="shared" si="7"/>
        <v>125670062.86</v>
      </c>
      <c r="I103" s="201">
        <f t="shared" si="8"/>
        <v>-125670062.86</v>
      </c>
    </row>
    <row r="104" spans="1:9" ht="31.2" customHeight="1">
      <c r="A104" s="71">
        <v>403</v>
      </c>
      <c r="B104" s="72" t="s">
        <v>164</v>
      </c>
      <c r="C104" s="74"/>
      <c r="D104" s="73"/>
      <c r="E104" s="75"/>
      <c r="F104" s="113"/>
      <c r="G104" s="75">
        <v>0</v>
      </c>
      <c r="H104" s="77">
        <f t="shared" si="7"/>
        <v>0</v>
      </c>
      <c r="I104" s="201">
        <f t="shared" si="8"/>
        <v>0</v>
      </c>
    </row>
    <row r="105" spans="1:9" ht="31.2" customHeight="1">
      <c r="A105" s="71">
        <v>404</v>
      </c>
      <c r="B105" s="72" t="s">
        <v>58</v>
      </c>
      <c r="C105" s="74"/>
      <c r="D105" s="73"/>
      <c r="E105" s="75"/>
      <c r="F105" s="113"/>
      <c r="G105" s="75">
        <v>0</v>
      </c>
      <c r="H105" s="77">
        <f t="shared" si="7"/>
        <v>0</v>
      </c>
      <c r="I105" s="201">
        <f t="shared" si="8"/>
        <v>0</v>
      </c>
    </row>
    <row r="106" spans="1:9" ht="31.2" customHeight="1">
      <c r="A106" s="71">
        <v>4042</v>
      </c>
      <c r="B106" s="72" t="s">
        <v>247</v>
      </c>
      <c r="C106" s="73">
        <v>0</v>
      </c>
      <c r="D106" s="74">
        <v>103943253.48999999</v>
      </c>
      <c r="E106" s="75">
        <v>5627278.5899999999</v>
      </c>
      <c r="F106" s="113">
        <v>0</v>
      </c>
      <c r="G106" s="75">
        <v>0</v>
      </c>
      <c r="H106" s="77">
        <f t="shared" si="7"/>
        <v>98315974.899999991</v>
      </c>
      <c r="I106" s="201">
        <f t="shared" si="8"/>
        <v>-98315974.899999991</v>
      </c>
    </row>
    <row r="107" spans="1:9" ht="31.2" customHeight="1">
      <c r="A107" s="71">
        <v>4201</v>
      </c>
      <c r="B107" s="72" t="s">
        <v>59</v>
      </c>
      <c r="C107" s="74">
        <v>0</v>
      </c>
      <c r="D107" s="74">
        <v>200117883.99000001</v>
      </c>
      <c r="E107" s="75">
        <v>200219990.38999999</v>
      </c>
      <c r="F107" s="113">
        <v>200215037.59999999</v>
      </c>
      <c r="G107" s="75">
        <v>0</v>
      </c>
      <c r="H107" s="77">
        <f t="shared" si="7"/>
        <v>200112931.20000005</v>
      </c>
      <c r="I107" s="201">
        <f t="shared" si="8"/>
        <v>-200112931.20000005</v>
      </c>
    </row>
    <row r="108" spans="1:9" ht="31.2" customHeight="1">
      <c r="A108" s="71">
        <v>4221</v>
      </c>
      <c r="B108" s="72" t="s">
        <v>60</v>
      </c>
      <c r="C108" s="74">
        <v>0</v>
      </c>
      <c r="D108" s="74">
        <v>5642266.2999999998</v>
      </c>
      <c r="E108" s="75">
        <v>5642266.2999999998</v>
      </c>
      <c r="F108" s="113">
        <v>11198132.73</v>
      </c>
      <c r="G108" s="75">
        <v>0</v>
      </c>
      <c r="H108" s="77">
        <f t="shared" si="7"/>
        <v>11198132.73</v>
      </c>
      <c r="I108" s="201">
        <f t="shared" si="8"/>
        <v>-11198132.73</v>
      </c>
    </row>
    <row r="109" spans="1:9" ht="31.2" customHeight="1">
      <c r="A109" s="71">
        <v>430</v>
      </c>
      <c r="B109" s="72" t="s">
        <v>61</v>
      </c>
      <c r="C109" s="74">
        <v>0</v>
      </c>
      <c r="D109" s="73">
        <v>16269025.93</v>
      </c>
      <c r="E109" s="75">
        <v>11699165</v>
      </c>
      <c r="F109" s="113">
        <v>10550661.84</v>
      </c>
      <c r="G109" s="75">
        <v>0</v>
      </c>
      <c r="H109" s="77">
        <f t="shared" si="7"/>
        <v>15120522.77</v>
      </c>
      <c r="I109" s="201">
        <f t="shared" si="8"/>
        <v>-15120522.77</v>
      </c>
    </row>
    <row r="110" spans="1:9" ht="31.2" customHeight="1">
      <c r="A110" s="71" t="s">
        <v>239</v>
      </c>
      <c r="B110" s="72" t="s">
        <v>62</v>
      </c>
      <c r="C110" s="73">
        <v>0</v>
      </c>
      <c r="D110" s="74">
        <v>0</v>
      </c>
      <c r="E110" s="75">
        <v>260045421.28999999</v>
      </c>
      <c r="F110" s="113">
        <v>260045421.28999999</v>
      </c>
      <c r="G110" s="75">
        <v>0</v>
      </c>
      <c r="H110" s="77">
        <f t="shared" si="7"/>
        <v>0</v>
      </c>
      <c r="I110" s="201">
        <f t="shared" si="8"/>
        <v>0</v>
      </c>
    </row>
    <row r="111" spans="1:9" ht="31.2" customHeight="1">
      <c r="A111" s="71">
        <v>433</v>
      </c>
      <c r="B111" s="72" t="s">
        <v>63</v>
      </c>
      <c r="C111" s="73">
        <v>0</v>
      </c>
      <c r="D111" s="74">
        <v>80867316.599999994</v>
      </c>
      <c r="E111" s="75">
        <v>80867316.599999994</v>
      </c>
      <c r="F111" s="113">
        <v>0</v>
      </c>
      <c r="G111" s="75">
        <v>0</v>
      </c>
      <c r="H111" s="77">
        <f t="shared" si="7"/>
        <v>0</v>
      </c>
      <c r="I111" s="201">
        <f t="shared" si="8"/>
        <v>0</v>
      </c>
    </row>
    <row r="112" spans="1:9" ht="31.2" customHeight="1">
      <c r="A112" s="71">
        <v>433.01</v>
      </c>
      <c r="B112" s="72" t="s">
        <v>63</v>
      </c>
      <c r="C112" s="73"/>
      <c r="D112" s="74"/>
      <c r="E112" s="75">
        <v>19714869.399999999</v>
      </c>
      <c r="F112" s="113">
        <v>161913871.21000001</v>
      </c>
      <c r="G112" s="75"/>
      <c r="H112" s="77">
        <f t="shared" si="7"/>
        <v>142199001.81</v>
      </c>
      <c r="I112" s="201">
        <f t="shared" si="8"/>
        <v>-142199001.81</v>
      </c>
    </row>
    <row r="113" spans="1:9" ht="31.2" customHeight="1">
      <c r="A113" s="71">
        <v>448</v>
      </c>
      <c r="B113" s="72" t="s">
        <v>248</v>
      </c>
      <c r="C113" s="73"/>
      <c r="D113" s="74"/>
      <c r="E113" s="75"/>
      <c r="F113" s="113"/>
      <c r="G113" s="75"/>
      <c r="H113" s="77">
        <f t="shared" si="7"/>
        <v>0</v>
      </c>
      <c r="I113" s="201">
        <v>0</v>
      </c>
    </row>
    <row r="114" spans="1:9" ht="31.2" customHeight="1">
      <c r="A114" s="71" t="s">
        <v>287</v>
      </c>
      <c r="B114" s="72" t="s">
        <v>288</v>
      </c>
      <c r="C114" s="73">
        <v>0</v>
      </c>
      <c r="D114" s="74">
        <v>0</v>
      </c>
      <c r="E114" s="75"/>
      <c r="F114" s="113"/>
      <c r="G114" s="75">
        <f>C114+E114-F114</f>
        <v>0</v>
      </c>
      <c r="H114" s="77">
        <v>0</v>
      </c>
      <c r="I114" s="43">
        <f t="shared" ref="I114:I162" si="9">G114</f>
        <v>0</v>
      </c>
    </row>
    <row r="115" spans="1:9" ht="31.2" customHeight="1">
      <c r="A115" s="71" t="s">
        <v>238</v>
      </c>
      <c r="B115" s="72" t="s">
        <v>64</v>
      </c>
      <c r="C115" s="73">
        <v>0</v>
      </c>
      <c r="D115" s="74">
        <v>0</v>
      </c>
      <c r="E115" s="75">
        <v>40000000</v>
      </c>
      <c r="F115" s="113">
        <v>40000000</v>
      </c>
      <c r="G115" s="75">
        <f t="shared" ref="G115:G118" si="10">C115+E115-F115</f>
        <v>0</v>
      </c>
      <c r="H115" s="77">
        <v>0</v>
      </c>
      <c r="I115" s="43">
        <f t="shared" si="9"/>
        <v>0</v>
      </c>
    </row>
    <row r="116" spans="1:9" ht="31.2" customHeight="1">
      <c r="A116" s="71" t="s">
        <v>289</v>
      </c>
      <c r="B116" s="72" t="s">
        <v>290</v>
      </c>
      <c r="C116" s="73">
        <v>0</v>
      </c>
      <c r="D116" s="74">
        <v>0</v>
      </c>
      <c r="E116" s="75">
        <v>372746000</v>
      </c>
      <c r="F116" s="113">
        <v>372746000</v>
      </c>
      <c r="G116" s="75">
        <f t="shared" si="10"/>
        <v>0</v>
      </c>
      <c r="H116" s="77">
        <v>0</v>
      </c>
      <c r="I116" s="43">
        <f t="shared" si="9"/>
        <v>0</v>
      </c>
    </row>
    <row r="117" spans="1:9" ht="31.2" customHeight="1">
      <c r="A117" s="71" t="s">
        <v>321</v>
      </c>
      <c r="B117" s="72" t="s">
        <v>322</v>
      </c>
      <c r="C117" s="73"/>
      <c r="D117" s="74"/>
      <c r="E117" s="75">
        <v>372746000</v>
      </c>
      <c r="F117" s="113">
        <v>372746000</v>
      </c>
      <c r="G117" s="75">
        <f t="shared" si="10"/>
        <v>0</v>
      </c>
      <c r="H117" s="77"/>
      <c r="I117" s="43"/>
    </row>
    <row r="118" spans="1:9" ht="31.2" customHeight="1">
      <c r="A118" s="71" t="s">
        <v>237</v>
      </c>
      <c r="B118" s="72" t="s">
        <v>65</v>
      </c>
      <c r="C118" s="73">
        <v>0</v>
      </c>
      <c r="D118" s="74">
        <v>0</v>
      </c>
      <c r="E118" s="75">
        <v>826079125</v>
      </c>
      <c r="F118" s="113">
        <v>826079125</v>
      </c>
      <c r="G118" s="75">
        <f t="shared" si="10"/>
        <v>0</v>
      </c>
      <c r="H118" s="77">
        <v>0</v>
      </c>
      <c r="I118" s="43">
        <f t="shared" si="9"/>
        <v>0</v>
      </c>
    </row>
    <row r="119" spans="1:9" ht="31.2" customHeight="1">
      <c r="A119" s="71" t="s">
        <v>236</v>
      </c>
      <c r="B119" s="72" t="s">
        <v>66</v>
      </c>
      <c r="C119" s="73">
        <v>2485934268.7600002</v>
      </c>
      <c r="D119" s="74">
        <v>0</v>
      </c>
      <c r="E119" s="75">
        <v>2203837546.3200002</v>
      </c>
      <c r="F119" s="113">
        <v>0</v>
      </c>
      <c r="G119" s="75">
        <f>C119+E119-F119</f>
        <v>4689771815.0799999</v>
      </c>
      <c r="H119" s="77">
        <v>0</v>
      </c>
      <c r="I119" s="43">
        <f t="shared" si="9"/>
        <v>4689771815.0799999</v>
      </c>
    </row>
    <row r="120" spans="1:9" ht="31.2" customHeight="1">
      <c r="A120" s="160">
        <v>606.01</v>
      </c>
      <c r="B120" s="72" t="s">
        <v>67</v>
      </c>
      <c r="C120" s="73">
        <v>3421046.4</v>
      </c>
      <c r="D120" s="74">
        <v>0</v>
      </c>
      <c r="E120" s="203">
        <v>4978086.08</v>
      </c>
      <c r="F120" s="113">
        <v>0</v>
      </c>
      <c r="G120" s="75">
        <f t="shared" ref="G120:G162" si="11">C120+E120-F120</f>
        <v>8399132.4800000004</v>
      </c>
      <c r="H120" s="77">
        <v>0</v>
      </c>
      <c r="I120" s="43">
        <f t="shared" si="9"/>
        <v>8399132.4800000004</v>
      </c>
    </row>
    <row r="121" spans="1:9" ht="31.2" customHeight="1">
      <c r="A121" s="161">
        <v>606.02</v>
      </c>
      <c r="B121" s="72" t="s">
        <v>68</v>
      </c>
      <c r="C121" s="73">
        <v>516000</v>
      </c>
      <c r="D121" s="74">
        <v>0</v>
      </c>
      <c r="E121" s="203">
        <v>1004000</v>
      </c>
      <c r="F121" s="113">
        <v>0</v>
      </c>
      <c r="G121" s="75">
        <f t="shared" si="11"/>
        <v>1520000</v>
      </c>
      <c r="H121" s="77">
        <v>0</v>
      </c>
      <c r="I121" s="43">
        <f t="shared" si="9"/>
        <v>1520000</v>
      </c>
    </row>
    <row r="122" spans="1:9" ht="31.2" customHeight="1">
      <c r="A122" s="161">
        <v>606.03</v>
      </c>
      <c r="B122" s="72" t="s">
        <v>69</v>
      </c>
      <c r="C122" s="73">
        <v>16464054.189999999</v>
      </c>
      <c r="D122" s="74">
        <v>0</v>
      </c>
      <c r="E122" s="203">
        <v>10900000</v>
      </c>
      <c r="F122" s="113">
        <v>0</v>
      </c>
      <c r="G122" s="75">
        <f t="shared" si="11"/>
        <v>27364054.189999998</v>
      </c>
      <c r="H122" s="77">
        <v>0</v>
      </c>
      <c r="I122" s="43">
        <f t="shared" si="9"/>
        <v>27364054.189999998</v>
      </c>
    </row>
    <row r="123" spans="1:9" ht="31.2" customHeight="1">
      <c r="A123" s="160">
        <v>606.04</v>
      </c>
      <c r="B123" s="72" t="s">
        <v>70</v>
      </c>
      <c r="C123" s="73">
        <v>3979600</v>
      </c>
      <c r="D123" s="74">
        <v>0</v>
      </c>
      <c r="E123" s="203">
        <v>4270500</v>
      </c>
      <c r="F123" s="113">
        <v>0</v>
      </c>
      <c r="G123" s="75">
        <f t="shared" si="11"/>
        <v>8250100</v>
      </c>
      <c r="H123" s="77">
        <v>0</v>
      </c>
      <c r="I123" s="43">
        <f t="shared" si="9"/>
        <v>8250100</v>
      </c>
    </row>
    <row r="124" spans="1:9" ht="31.2" customHeight="1">
      <c r="A124" s="193">
        <v>606.04999999999995</v>
      </c>
      <c r="B124" s="72" t="s">
        <v>71</v>
      </c>
      <c r="C124" s="73"/>
      <c r="D124" s="74"/>
      <c r="E124" s="203"/>
      <c r="F124" s="113"/>
      <c r="G124" s="75">
        <f t="shared" si="11"/>
        <v>0</v>
      </c>
      <c r="H124" s="77"/>
      <c r="I124" s="43">
        <f t="shared" si="9"/>
        <v>0</v>
      </c>
    </row>
    <row r="125" spans="1:9" ht="31.2" customHeight="1">
      <c r="A125" s="160">
        <v>606.05999999999995</v>
      </c>
      <c r="B125" s="72" t="s">
        <v>323</v>
      </c>
      <c r="C125" s="73"/>
      <c r="D125" s="74"/>
      <c r="E125" s="203">
        <v>680000</v>
      </c>
      <c r="F125" s="113">
        <v>0</v>
      </c>
      <c r="G125" s="75">
        <f t="shared" si="11"/>
        <v>680000</v>
      </c>
      <c r="H125" s="77"/>
      <c r="I125" s="43">
        <f t="shared" si="9"/>
        <v>680000</v>
      </c>
    </row>
    <row r="126" spans="1:9" ht="31.2" customHeight="1">
      <c r="A126" s="71">
        <v>611.01</v>
      </c>
      <c r="B126" s="72" t="s">
        <v>72</v>
      </c>
      <c r="C126" s="73">
        <v>19466050</v>
      </c>
      <c r="D126" s="74">
        <v>0</v>
      </c>
      <c r="E126" s="203">
        <v>8471500</v>
      </c>
      <c r="F126" s="113">
        <v>0</v>
      </c>
      <c r="G126" s="75">
        <f t="shared" si="11"/>
        <v>27937550</v>
      </c>
      <c r="H126" s="77">
        <v>0</v>
      </c>
      <c r="I126" s="43">
        <f t="shared" si="9"/>
        <v>27937550</v>
      </c>
    </row>
    <row r="127" spans="1:9" ht="31.2" customHeight="1">
      <c r="A127" s="71">
        <v>611.02</v>
      </c>
      <c r="B127" s="72" t="s">
        <v>73</v>
      </c>
      <c r="C127" s="73"/>
      <c r="D127" s="74"/>
      <c r="E127" s="203"/>
      <c r="F127" s="113"/>
      <c r="G127" s="75">
        <f t="shared" si="11"/>
        <v>0</v>
      </c>
      <c r="H127" s="77"/>
      <c r="I127" s="43">
        <f t="shared" si="9"/>
        <v>0</v>
      </c>
    </row>
    <row r="128" spans="1:9" ht="31.2" customHeight="1">
      <c r="A128" s="71">
        <v>611.03</v>
      </c>
      <c r="B128" s="72" t="s">
        <v>104</v>
      </c>
      <c r="C128" s="73"/>
      <c r="D128" s="74"/>
      <c r="E128" s="203"/>
      <c r="F128" s="113"/>
      <c r="G128" s="75">
        <f t="shared" si="11"/>
        <v>0</v>
      </c>
      <c r="H128" s="77"/>
      <c r="I128" s="43">
        <f t="shared" si="9"/>
        <v>0</v>
      </c>
    </row>
    <row r="129" spans="1:9" ht="31.2" customHeight="1">
      <c r="A129" s="71">
        <v>611.04</v>
      </c>
      <c r="B129" s="72" t="s">
        <v>221</v>
      </c>
      <c r="C129" s="73">
        <v>17874912</v>
      </c>
      <c r="D129" s="74">
        <v>0</v>
      </c>
      <c r="E129" s="203">
        <v>13554400</v>
      </c>
      <c r="F129" s="113">
        <v>0</v>
      </c>
      <c r="G129" s="75">
        <f t="shared" si="11"/>
        <v>31429312</v>
      </c>
      <c r="H129" s="77">
        <v>0</v>
      </c>
      <c r="I129" s="43">
        <f t="shared" si="9"/>
        <v>31429312</v>
      </c>
    </row>
    <row r="130" spans="1:9" ht="31.2" customHeight="1">
      <c r="A130" s="71">
        <v>611.04999999999995</v>
      </c>
      <c r="B130" s="72" t="s">
        <v>105</v>
      </c>
      <c r="C130" s="73"/>
      <c r="D130" s="74"/>
      <c r="E130" s="203"/>
      <c r="F130" s="113"/>
      <c r="G130" s="75">
        <f t="shared" si="11"/>
        <v>0</v>
      </c>
      <c r="H130" s="77"/>
      <c r="I130" s="43">
        <f t="shared" si="9"/>
        <v>0</v>
      </c>
    </row>
    <row r="131" spans="1:9" ht="31.2" customHeight="1">
      <c r="A131" s="71">
        <v>611.05999999999995</v>
      </c>
      <c r="B131" s="72" t="s">
        <v>74</v>
      </c>
      <c r="C131" s="73">
        <v>6770800</v>
      </c>
      <c r="D131" s="74">
        <v>0</v>
      </c>
      <c r="E131" s="203"/>
      <c r="F131" s="113"/>
      <c r="G131" s="75">
        <f t="shared" si="11"/>
        <v>6770800</v>
      </c>
      <c r="H131" s="77">
        <v>0</v>
      </c>
      <c r="I131" s="43">
        <f t="shared" si="9"/>
        <v>6770800</v>
      </c>
    </row>
    <row r="132" spans="1:9" ht="31.2" customHeight="1">
      <c r="A132" s="71">
        <v>611.07000000000005</v>
      </c>
      <c r="B132" s="72" t="s">
        <v>222</v>
      </c>
      <c r="C132" s="73">
        <v>74630296.650000006</v>
      </c>
      <c r="D132" s="74">
        <v>0</v>
      </c>
      <c r="E132" s="203"/>
      <c r="F132" s="113"/>
      <c r="G132" s="75">
        <f t="shared" si="11"/>
        <v>74630296.650000006</v>
      </c>
      <c r="H132" s="77">
        <v>0</v>
      </c>
      <c r="I132" s="43">
        <f t="shared" si="9"/>
        <v>74630296.650000006</v>
      </c>
    </row>
    <row r="133" spans="1:9" ht="31.2" customHeight="1">
      <c r="A133" s="71">
        <v>612.01</v>
      </c>
      <c r="B133" s="72" t="s">
        <v>75</v>
      </c>
      <c r="C133" s="73">
        <v>12052870.35</v>
      </c>
      <c r="D133" s="74">
        <v>0</v>
      </c>
      <c r="E133" s="203">
        <v>12064263.15</v>
      </c>
      <c r="F133" s="113">
        <v>0</v>
      </c>
      <c r="G133" s="75">
        <f t="shared" si="11"/>
        <v>24117133.5</v>
      </c>
      <c r="H133" s="77">
        <v>0</v>
      </c>
      <c r="I133" s="43">
        <f t="shared" si="9"/>
        <v>24117133.5</v>
      </c>
    </row>
    <row r="134" spans="1:9" ht="31.2" customHeight="1">
      <c r="A134" s="160">
        <v>612.02</v>
      </c>
      <c r="B134" s="72" t="s">
        <v>76</v>
      </c>
      <c r="C134" s="73"/>
      <c r="D134" s="74"/>
      <c r="E134" s="203"/>
      <c r="F134" s="113"/>
      <c r="G134" s="75">
        <f t="shared" si="11"/>
        <v>0</v>
      </c>
      <c r="H134" s="77"/>
      <c r="I134" s="43">
        <f t="shared" si="9"/>
        <v>0</v>
      </c>
    </row>
    <row r="135" spans="1:9" ht="31.2" customHeight="1">
      <c r="A135" s="160">
        <v>612.04</v>
      </c>
      <c r="B135" s="72" t="s">
        <v>77</v>
      </c>
      <c r="C135" s="73">
        <v>28894389</v>
      </c>
      <c r="D135" s="74">
        <v>0</v>
      </c>
      <c r="E135" s="203">
        <v>28921701</v>
      </c>
      <c r="F135" s="113">
        <v>0</v>
      </c>
      <c r="G135" s="75">
        <f t="shared" si="11"/>
        <v>57816090</v>
      </c>
      <c r="H135" s="77">
        <v>0</v>
      </c>
      <c r="I135" s="43">
        <f t="shared" si="9"/>
        <v>57816090</v>
      </c>
    </row>
    <row r="136" spans="1:9" ht="31.2" customHeight="1">
      <c r="A136" s="71" t="s">
        <v>291</v>
      </c>
      <c r="B136" s="72" t="s">
        <v>292</v>
      </c>
      <c r="C136" s="73">
        <v>850000</v>
      </c>
      <c r="D136" s="74">
        <v>0</v>
      </c>
      <c r="E136" s="203"/>
      <c r="F136" s="113"/>
      <c r="G136" s="75">
        <f t="shared" si="11"/>
        <v>850000</v>
      </c>
      <c r="H136" s="77">
        <v>0</v>
      </c>
      <c r="I136" s="43">
        <f t="shared" si="9"/>
        <v>850000</v>
      </c>
    </row>
    <row r="137" spans="1:9" ht="31.2" customHeight="1">
      <c r="A137" s="71">
        <v>614.01</v>
      </c>
      <c r="B137" s="72" t="s">
        <v>78</v>
      </c>
      <c r="C137" s="73"/>
      <c r="D137" s="74"/>
      <c r="E137" s="203">
        <v>300000</v>
      </c>
      <c r="F137" s="113"/>
      <c r="G137" s="75">
        <f t="shared" si="11"/>
        <v>300000</v>
      </c>
      <c r="H137" s="77"/>
      <c r="I137" s="43">
        <f t="shared" si="9"/>
        <v>300000</v>
      </c>
    </row>
    <row r="138" spans="1:9" ht="31.2" customHeight="1">
      <c r="A138" s="71">
        <v>614.02</v>
      </c>
      <c r="B138" s="72" t="s">
        <v>79</v>
      </c>
      <c r="C138" s="73">
        <v>3071000</v>
      </c>
      <c r="D138" s="74">
        <v>0</v>
      </c>
      <c r="E138" s="203">
        <v>320000</v>
      </c>
      <c r="F138" s="113"/>
      <c r="G138" s="75">
        <f t="shared" si="11"/>
        <v>3391000</v>
      </c>
      <c r="H138" s="77">
        <v>0</v>
      </c>
      <c r="I138" s="43">
        <f t="shared" si="9"/>
        <v>3391000</v>
      </c>
    </row>
    <row r="139" spans="1:9" ht="31.2" customHeight="1">
      <c r="A139" s="71">
        <v>614.03</v>
      </c>
      <c r="B139" s="72" t="s">
        <v>107</v>
      </c>
      <c r="C139" s="73"/>
      <c r="D139" s="74"/>
      <c r="E139" s="203"/>
      <c r="F139" s="113"/>
      <c r="G139" s="75">
        <f t="shared" si="11"/>
        <v>0</v>
      </c>
      <c r="H139" s="77"/>
      <c r="I139" s="43">
        <f t="shared" si="9"/>
        <v>0</v>
      </c>
    </row>
    <row r="140" spans="1:9" ht="31.2" customHeight="1">
      <c r="A140" s="71">
        <v>615</v>
      </c>
      <c r="B140" s="72" t="s">
        <v>108</v>
      </c>
      <c r="C140" s="73"/>
      <c r="D140" s="74"/>
      <c r="E140" s="203"/>
      <c r="F140" s="113"/>
      <c r="G140" s="75">
        <f t="shared" si="11"/>
        <v>0</v>
      </c>
      <c r="H140" s="77"/>
      <c r="I140" s="43">
        <f t="shared" si="9"/>
        <v>0</v>
      </c>
    </row>
    <row r="141" spans="1:9" ht="31.2" customHeight="1">
      <c r="A141" s="71">
        <v>618</v>
      </c>
      <c r="B141" s="72" t="s">
        <v>109</v>
      </c>
      <c r="C141" s="73"/>
      <c r="D141" s="74"/>
      <c r="E141" s="203"/>
      <c r="F141" s="113"/>
      <c r="G141" s="75">
        <f t="shared" si="11"/>
        <v>0</v>
      </c>
      <c r="H141" s="77"/>
      <c r="I141" s="43">
        <f t="shared" si="9"/>
        <v>0</v>
      </c>
    </row>
    <row r="142" spans="1:9" ht="31.2" customHeight="1">
      <c r="A142" s="71">
        <v>621</v>
      </c>
      <c r="B142" s="72" t="s">
        <v>293</v>
      </c>
      <c r="C142" s="73">
        <v>1392922.83</v>
      </c>
      <c r="D142" s="74">
        <v>0</v>
      </c>
      <c r="E142" s="203">
        <v>992859.8</v>
      </c>
      <c r="F142" s="113"/>
      <c r="G142" s="75">
        <f t="shared" si="11"/>
        <v>2385782.63</v>
      </c>
      <c r="H142" s="77">
        <v>0</v>
      </c>
      <c r="I142" s="43">
        <f t="shared" si="9"/>
        <v>2385782.63</v>
      </c>
    </row>
    <row r="143" spans="1:9" ht="31.2" customHeight="1">
      <c r="A143" s="71">
        <v>622</v>
      </c>
      <c r="B143" s="72" t="s">
        <v>80</v>
      </c>
      <c r="C143" s="73"/>
      <c r="D143" s="74"/>
      <c r="E143" s="203"/>
      <c r="F143" s="113"/>
      <c r="G143" s="75">
        <f t="shared" si="11"/>
        <v>0</v>
      </c>
      <c r="H143" s="77"/>
      <c r="I143" s="43">
        <f t="shared" si="9"/>
        <v>0</v>
      </c>
    </row>
    <row r="144" spans="1:9" ht="31.2" customHeight="1">
      <c r="A144" s="71">
        <v>622.01</v>
      </c>
      <c r="B144" s="72" t="s">
        <v>80</v>
      </c>
      <c r="C144" s="73"/>
      <c r="D144" s="74"/>
      <c r="E144" s="203">
        <v>1234000</v>
      </c>
      <c r="F144" s="113">
        <v>0</v>
      </c>
      <c r="G144" s="75">
        <f t="shared" si="11"/>
        <v>1234000</v>
      </c>
      <c r="H144" s="77"/>
      <c r="I144" s="43">
        <f t="shared" si="9"/>
        <v>1234000</v>
      </c>
    </row>
    <row r="145" spans="1:9" ht="31.2" customHeight="1">
      <c r="A145" s="71">
        <v>623.01</v>
      </c>
      <c r="B145" s="72" t="s">
        <v>81</v>
      </c>
      <c r="C145" s="74">
        <v>1130442.46</v>
      </c>
      <c r="D145" s="74">
        <v>0</v>
      </c>
      <c r="E145" s="203">
        <v>1069158.8799999999</v>
      </c>
      <c r="F145" s="113">
        <v>0</v>
      </c>
      <c r="G145" s="75">
        <f t="shared" si="11"/>
        <v>2199601.34</v>
      </c>
      <c r="H145" s="77">
        <v>0</v>
      </c>
      <c r="I145" s="43">
        <f t="shared" si="9"/>
        <v>2199601.34</v>
      </c>
    </row>
    <row r="146" spans="1:9" ht="31.2" customHeight="1">
      <c r="A146" s="71">
        <v>623.02</v>
      </c>
      <c r="B146" s="72" t="s">
        <v>82</v>
      </c>
      <c r="C146" s="73">
        <v>2635514</v>
      </c>
      <c r="D146" s="74">
        <v>0</v>
      </c>
      <c r="E146" s="203"/>
      <c r="F146" s="113"/>
      <c r="G146" s="75">
        <f t="shared" si="11"/>
        <v>2635514</v>
      </c>
      <c r="H146" s="77">
        <v>0</v>
      </c>
      <c r="I146" s="43">
        <f t="shared" si="9"/>
        <v>2635514</v>
      </c>
    </row>
    <row r="147" spans="1:9" ht="31.2" customHeight="1">
      <c r="A147" s="71">
        <v>624</v>
      </c>
      <c r="B147" s="72" t="s">
        <v>83</v>
      </c>
      <c r="C147" s="73">
        <v>7365900</v>
      </c>
      <c r="D147" s="74">
        <v>0</v>
      </c>
      <c r="E147" s="203"/>
      <c r="F147" s="113"/>
      <c r="G147" s="75">
        <f t="shared" si="11"/>
        <v>7365900</v>
      </c>
      <c r="H147" s="77">
        <v>0</v>
      </c>
      <c r="I147" s="43">
        <f t="shared" si="9"/>
        <v>7365900</v>
      </c>
    </row>
    <row r="148" spans="1:9" ht="31.2" customHeight="1">
      <c r="A148" s="71">
        <v>625.01</v>
      </c>
      <c r="B148" s="72" t="s">
        <v>84</v>
      </c>
      <c r="C148" s="73"/>
      <c r="D148" s="74"/>
      <c r="E148" s="203"/>
      <c r="F148" s="113"/>
      <c r="G148" s="75">
        <f t="shared" si="11"/>
        <v>0</v>
      </c>
      <c r="H148" s="77"/>
      <c r="I148" s="43">
        <f t="shared" si="9"/>
        <v>0</v>
      </c>
    </row>
    <row r="149" spans="1:9" ht="31.2" customHeight="1">
      <c r="A149" s="71">
        <v>625.02</v>
      </c>
      <c r="B149" s="72" t="s">
        <v>85</v>
      </c>
      <c r="C149" s="73">
        <v>5090000</v>
      </c>
      <c r="D149" s="74">
        <v>0</v>
      </c>
      <c r="E149" s="203"/>
      <c r="F149" s="113"/>
      <c r="G149" s="75">
        <f t="shared" si="11"/>
        <v>5090000</v>
      </c>
      <c r="H149" s="77">
        <v>0</v>
      </c>
      <c r="I149" s="43">
        <f t="shared" si="9"/>
        <v>5090000</v>
      </c>
    </row>
    <row r="150" spans="1:9" ht="31.2" customHeight="1">
      <c r="A150" s="71">
        <v>625.03</v>
      </c>
      <c r="B150" s="72" t="s">
        <v>86</v>
      </c>
      <c r="C150" s="73"/>
      <c r="D150" s="74"/>
      <c r="E150" s="203"/>
      <c r="F150" s="113"/>
      <c r="G150" s="75">
        <f t="shared" si="11"/>
        <v>0</v>
      </c>
      <c r="H150" s="77"/>
      <c r="I150" s="43">
        <f t="shared" si="9"/>
        <v>0</v>
      </c>
    </row>
    <row r="151" spans="1:9" ht="31.2" customHeight="1">
      <c r="A151" s="71">
        <v>627</v>
      </c>
      <c r="B151" s="72" t="s">
        <v>87</v>
      </c>
      <c r="C151" s="73">
        <v>520358.25</v>
      </c>
      <c r="D151" s="74">
        <v>0</v>
      </c>
      <c r="E151" s="203">
        <v>330950.48</v>
      </c>
      <c r="F151" s="113">
        <v>0</v>
      </c>
      <c r="G151" s="75">
        <f t="shared" si="11"/>
        <v>851308.73</v>
      </c>
      <c r="H151" s="77">
        <v>0</v>
      </c>
      <c r="I151" s="43">
        <f t="shared" si="9"/>
        <v>851308.73</v>
      </c>
    </row>
    <row r="152" spans="1:9" ht="31.2" customHeight="1">
      <c r="A152" s="71">
        <v>631</v>
      </c>
      <c r="B152" s="72" t="s">
        <v>294</v>
      </c>
      <c r="C152" s="73">
        <v>175237889.97999999</v>
      </c>
      <c r="D152" s="74">
        <v>0</v>
      </c>
      <c r="E152" s="203">
        <v>132682195.27000003</v>
      </c>
      <c r="F152" s="113">
        <v>0</v>
      </c>
      <c r="G152" s="75">
        <f t="shared" si="11"/>
        <v>307920085.25</v>
      </c>
      <c r="H152" s="77">
        <v>0</v>
      </c>
      <c r="I152" s="43">
        <f t="shared" si="9"/>
        <v>307920085.25</v>
      </c>
    </row>
    <row r="153" spans="1:9" ht="31.2" customHeight="1">
      <c r="A153" s="71">
        <v>633</v>
      </c>
      <c r="B153" s="72" t="s">
        <v>223</v>
      </c>
      <c r="C153" s="73"/>
      <c r="D153" s="74"/>
      <c r="E153" s="203"/>
      <c r="F153" s="113"/>
      <c r="G153" s="75">
        <f t="shared" si="11"/>
        <v>0</v>
      </c>
      <c r="H153" s="77"/>
      <c r="I153" s="43">
        <f t="shared" si="9"/>
        <v>0</v>
      </c>
    </row>
    <row r="154" spans="1:9" ht="31.2" customHeight="1">
      <c r="A154" s="71" t="s">
        <v>252</v>
      </c>
      <c r="B154" s="72" t="s">
        <v>295</v>
      </c>
      <c r="C154" s="73">
        <v>2850000</v>
      </c>
      <c r="D154" s="74">
        <v>0</v>
      </c>
      <c r="E154" s="203"/>
      <c r="F154" s="113"/>
      <c r="G154" s="75">
        <f t="shared" si="11"/>
        <v>2850000</v>
      </c>
      <c r="H154" s="77">
        <v>0</v>
      </c>
      <c r="I154" s="43">
        <f t="shared" si="9"/>
        <v>2850000</v>
      </c>
    </row>
    <row r="155" spans="1:9" ht="31.2" customHeight="1">
      <c r="A155" s="71">
        <v>635</v>
      </c>
      <c r="B155" s="72" t="s">
        <v>89</v>
      </c>
      <c r="C155" s="73">
        <v>10066872.300000001</v>
      </c>
      <c r="D155" s="74">
        <v>0</v>
      </c>
      <c r="E155" s="203">
        <v>10797662.43</v>
      </c>
      <c r="F155" s="113">
        <v>0</v>
      </c>
      <c r="G155" s="75">
        <f t="shared" si="11"/>
        <v>20864534.73</v>
      </c>
      <c r="H155" s="77">
        <v>0</v>
      </c>
      <c r="I155" s="43">
        <f t="shared" si="9"/>
        <v>20864534.73</v>
      </c>
    </row>
    <row r="156" spans="1:9" ht="31.2" customHeight="1">
      <c r="A156" s="71" t="s">
        <v>296</v>
      </c>
      <c r="B156" s="72" t="s">
        <v>86</v>
      </c>
      <c r="C156" s="73">
        <v>4870000</v>
      </c>
      <c r="D156" s="74">
        <v>0</v>
      </c>
      <c r="E156" s="203">
        <v>5070000</v>
      </c>
      <c r="F156" s="113">
        <v>0</v>
      </c>
      <c r="G156" s="75">
        <f t="shared" si="11"/>
        <v>9940000</v>
      </c>
      <c r="H156" s="77">
        <v>0</v>
      </c>
      <c r="I156" s="43">
        <f t="shared" si="9"/>
        <v>9940000</v>
      </c>
    </row>
    <row r="157" spans="1:9" ht="31.2" customHeight="1">
      <c r="A157" s="71" t="s">
        <v>324</v>
      </c>
      <c r="B157" s="72" t="s">
        <v>325</v>
      </c>
      <c r="C157" s="73"/>
      <c r="D157" s="74"/>
      <c r="E157" s="203">
        <v>750000</v>
      </c>
      <c r="F157" s="113">
        <v>0</v>
      </c>
      <c r="G157" s="75">
        <f t="shared" si="11"/>
        <v>750000</v>
      </c>
      <c r="H157" s="77"/>
      <c r="I157" s="43">
        <f t="shared" si="9"/>
        <v>750000</v>
      </c>
    </row>
    <row r="158" spans="1:9" ht="31.2" customHeight="1">
      <c r="A158" s="71">
        <v>656</v>
      </c>
      <c r="B158" s="72" t="s">
        <v>92</v>
      </c>
      <c r="C158" s="73">
        <v>200000</v>
      </c>
      <c r="D158" s="74">
        <v>0</v>
      </c>
      <c r="E158" s="203"/>
      <c r="F158" s="113"/>
      <c r="G158" s="75">
        <f t="shared" si="11"/>
        <v>200000</v>
      </c>
      <c r="H158" s="77">
        <v>0</v>
      </c>
      <c r="I158" s="43">
        <f t="shared" si="9"/>
        <v>200000</v>
      </c>
    </row>
    <row r="159" spans="1:9" ht="31.2" customHeight="1">
      <c r="A159" s="71">
        <v>658</v>
      </c>
      <c r="B159" s="72" t="s">
        <v>93</v>
      </c>
      <c r="C159" s="73">
        <v>62879421.5</v>
      </c>
      <c r="D159" s="74">
        <v>0</v>
      </c>
      <c r="E159" s="203"/>
      <c r="F159" s="113"/>
      <c r="G159" s="75">
        <f t="shared" si="11"/>
        <v>62879421.5</v>
      </c>
      <c r="H159" s="77">
        <v>0</v>
      </c>
      <c r="I159" s="43">
        <f t="shared" si="9"/>
        <v>62879421.5</v>
      </c>
    </row>
    <row r="160" spans="1:9" ht="31.2" customHeight="1">
      <c r="A160" s="71" t="s">
        <v>326</v>
      </c>
      <c r="B160" s="72" t="s">
        <v>93</v>
      </c>
      <c r="C160" s="73"/>
      <c r="D160" s="74"/>
      <c r="E160" s="203">
        <v>60000.5</v>
      </c>
      <c r="F160" s="113">
        <v>0</v>
      </c>
      <c r="G160" s="75">
        <f t="shared" si="11"/>
        <v>60000.5</v>
      </c>
      <c r="H160" s="77"/>
      <c r="I160" s="43">
        <f t="shared" si="9"/>
        <v>60000.5</v>
      </c>
    </row>
    <row r="161" spans="1:9" ht="31.2" customHeight="1">
      <c r="A161" s="71">
        <v>663</v>
      </c>
      <c r="B161" s="72" t="s">
        <v>94</v>
      </c>
      <c r="C161" s="73">
        <v>186139540.44</v>
      </c>
      <c r="D161" s="74">
        <v>0</v>
      </c>
      <c r="E161" s="113">
        <v>381614438.81</v>
      </c>
      <c r="F161" s="113">
        <v>0</v>
      </c>
      <c r="G161" s="75">
        <f t="shared" si="11"/>
        <v>567753979.25</v>
      </c>
      <c r="H161" s="77">
        <v>0</v>
      </c>
      <c r="I161" s="43">
        <f t="shared" si="9"/>
        <v>567753979.25</v>
      </c>
    </row>
    <row r="162" spans="1:9" ht="31.2" customHeight="1">
      <c r="A162" s="71">
        <v>682</v>
      </c>
      <c r="B162" s="72" t="s">
        <v>95</v>
      </c>
      <c r="C162" s="73">
        <v>15622829.109999999</v>
      </c>
      <c r="D162" s="74">
        <v>0</v>
      </c>
      <c r="E162" s="203">
        <v>14540575.83</v>
      </c>
      <c r="F162" s="113">
        <v>0</v>
      </c>
      <c r="G162" s="75">
        <f t="shared" si="11"/>
        <v>30163404.939999998</v>
      </c>
      <c r="H162" s="77">
        <v>0</v>
      </c>
      <c r="I162" s="43">
        <f t="shared" si="9"/>
        <v>30163404.939999998</v>
      </c>
    </row>
    <row r="163" spans="1:9" ht="31.2" customHeight="1">
      <c r="A163" s="71">
        <v>701.01</v>
      </c>
      <c r="B163" s="72" t="s">
        <v>96</v>
      </c>
      <c r="C163" s="73">
        <v>0</v>
      </c>
      <c r="D163" s="74">
        <v>2493230329.1999998</v>
      </c>
      <c r="E163" s="75">
        <v>0</v>
      </c>
      <c r="F163" s="113">
        <v>2913859345</v>
      </c>
      <c r="G163" s="75">
        <v>0</v>
      </c>
      <c r="H163" s="77">
        <f>D163+F163-E163</f>
        <v>5407089674.1999998</v>
      </c>
      <c r="I163" s="43">
        <f>-H163</f>
        <v>-5407089674.1999998</v>
      </c>
    </row>
    <row r="164" spans="1:9" ht="31.2" customHeight="1">
      <c r="A164" s="71">
        <v>701.02</v>
      </c>
      <c r="B164" s="72" t="s">
        <v>182</v>
      </c>
      <c r="C164" s="73"/>
      <c r="D164" s="74"/>
      <c r="E164" s="75"/>
      <c r="F164" s="113"/>
      <c r="G164" s="75"/>
      <c r="H164" s="77">
        <f t="shared" ref="H164:H172" si="12">D164+F164-E164</f>
        <v>0</v>
      </c>
      <c r="I164" s="43">
        <f t="shared" ref="I164:I172" si="13">-H164</f>
        <v>0</v>
      </c>
    </row>
    <row r="165" spans="1:9" ht="31.2" customHeight="1">
      <c r="A165" s="71">
        <v>701.03</v>
      </c>
      <c r="B165" s="72" t="s">
        <v>97</v>
      </c>
      <c r="C165" s="73">
        <v>0</v>
      </c>
      <c r="D165" s="74">
        <v>810293924.58000004</v>
      </c>
      <c r="E165" s="75">
        <v>0</v>
      </c>
      <c r="F165" s="113">
        <v>65925413.799999997</v>
      </c>
      <c r="G165" s="75">
        <v>0</v>
      </c>
      <c r="H165" s="77">
        <f t="shared" si="12"/>
        <v>876219338.38</v>
      </c>
      <c r="I165" s="43">
        <f t="shared" si="13"/>
        <v>-876219338.38</v>
      </c>
    </row>
    <row r="166" spans="1:9" ht="31.2" customHeight="1">
      <c r="A166" s="72" t="s">
        <v>297</v>
      </c>
      <c r="B166" s="80" t="s">
        <v>298</v>
      </c>
      <c r="C166" s="81">
        <v>0</v>
      </c>
      <c r="D166" s="82">
        <v>3345000</v>
      </c>
      <c r="E166" s="83">
        <v>3345000</v>
      </c>
      <c r="F166" s="225">
        <v>0</v>
      </c>
      <c r="G166" s="83">
        <v>0</v>
      </c>
      <c r="H166" s="77">
        <f t="shared" si="12"/>
        <v>0</v>
      </c>
      <c r="I166" s="43">
        <f t="shared" si="13"/>
        <v>0</v>
      </c>
    </row>
    <row r="167" spans="1:9" ht="31.2" customHeight="1">
      <c r="A167" s="72" t="s">
        <v>329</v>
      </c>
      <c r="B167" s="80" t="s">
        <v>298</v>
      </c>
      <c r="C167" s="81"/>
      <c r="D167" s="82"/>
      <c r="E167" s="83"/>
      <c r="F167" s="225">
        <v>6015000</v>
      </c>
      <c r="G167" s="83"/>
      <c r="H167" s="77">
        <f t="shared" si="12"/>
        <v>6015000</v>
      </c>
      <c r="I167" s="43">
        <f t="shared" si="13"/>
        <v>-6015000</v>
      </c>
    </row>
    <row r="168" spans="1:9" ht="31.2" customHeight="1">
      <c r="A168" s="72" t="s">
        <v>330</v>
      </c>
      <c r="B168" s="80" t="s">
        <v>331</v>
      </c>
      <c r="C168" s="81"/>
      <c r="D168" s="82"/>
      <c r="E168" s="221">
        <v>0</v>
      </c>
      <c r="F168" s="226">
        <v>802074733.71000004</v>
      </c>
      <c r="G168" s="221"/>
      <c r="H168" s="77">
        <f t="shared" si="12"/>
        <v>802074733.71000004</v>
      </c>
      <c r="I168" s="43">
        <f t="shared" si="13"/>
        <v>-802074733.71000004</v>
      </c>
    </row>
    <row r="169" spans="1:9" ht="31.2" customHeight="1">
      <c r="A169" s="162">
        <v>763</v>
      </c>
      <c r="B169" s="85" t="s">
        <v>98</v>
      </c>
      <c r="C169" s="86">
        <v>0</v>
      </c>
      <c r="D169" s="86">
        <v>89765383.879999995</v>
      </c>
      <c r="E169" s="86">
        <v>0</v>
      </c>
      <c r="F169" s="227">
        <v>49527366.530000001</v>
      </c>
      <c r="G169" s="86">
        <v>0</v>
      </c>
      <c r="H169" s="77">
        <f t="shared" si="12"/>
        <v>139292750.41</v>
      </c>
      <c r="I169" s="43">
        <f t="shared" si="13"/>
        <v>-139292750.41</v>
      </c>
    </row>
    <row r="170" spans="1:9" ht="31.2" customHeight="1">
      <c r="A170" s="160">
        <v>768</v>
      </c>
      <c r="B170" s="78" t="s">
        <v>99</v>
      </c>
      <c r="C170" s="197">
        <v>0</v>
      </c>
      <c r="D170" s="87">
        <v>5924450</v>
      </c>
      <c r="E170" s="197">
        <v>0</v>
      </c>
      <c r="F170" s="228">
        <v>4235750</v>
      </c>
      <c r="G170" s="197">
        <v>0</v>
      </c>
      <c r="H170" s="77">
        <f t="shared" si="12"/>
        <v>10160200</v>
      </c>
      <c r="I170" s="43">
        <f t="shared" si="13"/>
        <v>-10160200</v>
      </c>
    </row>
    <row r="171" spans="1:9" ht="31.2" customHeight="1">
      <c r="A171" s="194" t="s">
        <v>299</v>
      </c>
      <c r="B171" s="194" t="s">
        <v>300</v>
      </c>
      <c r="C171" s="82">
        <v>0</v>
      </c>
      <c r="D171" s="82">
        <v>12256200</v>
      </c>
      <c r="E171" s="82">
        <v>0</v>
      </c>
      <c r="F171" s="229">
        <v>16665800</v>
      </c>
      <c r="G171" s="82">
        <v>0</v>
      </c>
      <c r="H171" s="77">
        <f t="shared" si="12"/>
        <v>28922000</v>
      </c>
      <c r="I171" s="43">
        <f t="shared" si="13"/>
        <v>-28922000</v>
      </c>
    </row>
    <row r="172" spans="1:9" ht="31.2" customHeight="1">
      <c r="A172" s="195" t="s">
        <v>327</v>
      </c>
      <c r="B172" s="195" t="s">
        <v>328</v>
      </c>
      <c r="C172" s="196"/>
      <c r="D172" s="196"/>
      <c r="E172" s="196">
        <v>0</v>
      </c>
      <c r="F172" s="230">
        <v>507500</v>
      </c>
      <c r="G172" s="196"/>
      <c r="H172" s="77">
        <f t="shared" si="12"/>
        <v>507500</v>
      </c>
      <c r="I172" s="43">
        <f t="shared" si="13"/>
        <v>-507500</v>
      </c>
    </row>
    <row r="173" spans="1:9" ht="31.2" customHeight="1">
      <c r="A173" s="50" t="s">
        <v>253</v>
      </c>
      <c r="B173" s="50"/>
      <c r="C173" s="51">
        <f>SUM(C8:C171)</f>
        <v>36461483386.060013</v>
      </c>
      <c r="D173" s="51">
        <f>SUM(D8:D171)</f>
        <v>36461483386.059998</v>
      </c>
      <c r="E173" s="52">
        <f>SUM(E8:E172)</f>
        <v>22654821931.900002</v>
      </c>
      <c r="F173" s="52">
        <f>SUM(F8:F172)</f>
        <v>22654821931.899998</v>
      </c>
      <c r="G173" s="52">
        <f>SUM(G8:G171)</f>
        <v>39257723561.880005</v>
      </c>
      <c r="H173" s="52">
        <f>SUM(H8:H172)</f>
        <v>39257723561.880005</v>
      </c>
      <c r="I173" s="53">
        <f>SUM(I8:I172)</f>
        <v>-6.7055225372314453E-6</v>
      </c>
    </row>
    <row r="174" spans="1:9" ht="31.2" customHeight="1">
      <c r="D174" s="33">
        <f>C173-D173</f>
        <v>0</v>
      </c>
      <c r="F174" s="33">
        <f>E173-F173</f>
        <v>0</v>
      </c>
      <c r="H174" s="33">
        <f>G173-H173</f>
        <v>0</v>
      </c>
    </row>
    <row r="175" spans="1:9" ht="31.2" customHeight="1">
      <c r="D175" s="44"/>
      <c r="E175" s="47">
        <f>SUM(E119:E162)</f>
        <v>2838443838.5500002</v>
      </c>
      <c r="F175" s="47">
        <f>SUM(F163:F172)-E166</f>
        <v>3855465909.0400004</v>
      </c>
    </row>
    <row r="176" spans="1:9" ht="31.2" customHeight="1">
      <c r="D176" s="44"/>
      <c r="F176" s="60">
        <f>F175-E175</f>
        <v>1017022070.4900002</v>
      </c>
    </row>
  </sheetData>
  <autoFilter ref="A7:H7" xr:uid="{9F3797E1-9A3F-4606-AEFC-8F1F0D331D4B}"/>
  <mergeCells count="3">
    <mergeCell ref="C6:D6"/>
    <mergeCell ref="E6:F6"/>
    <mergeCell ref="G6:H6"/>
  </mergeCells>
  <phoneticPr fontId="20" type="noConversion"/>
  <pageMargins left="0.25" right="0.25" top="0.25" bottom="0.25" header="0" footer="0"/>
  <pageSetup paperSize="9" fitToWidth="0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3D0E-B56E-4A6A-BE9B-55665F407601}">
  <sheetPr>
    <tabColor rgb="FFC00000"/>
  </sheetPr>
  <dimension ref="A2:I138"/>
  <sheetViews>
    <sheetView showGridLines="0" showOutlineSymbols="0" topLeftCell="B123" zoomScale="70" zoomScaleNormal="70" workbookViewId="0">
      <selection activeCell="F135" sqref="F135"/>
    </sheetView>
  </sheetViews>
  <sheetFormatPr defaultColWidth="6.6640625" defaultRowHeight="31.2" customHeight="1"/>
  <cols>
    <col min="1" max="1" width="17.88671875" style="31" customWidth="1"/>
    <col min="2" max="2" width="56.6640625" style="31" customWidth="1"/>
    <col min="3" max="4" width="27.44140625" style="33" customWidth="1"/>
    <col min="5" max="8" width="27.44140625" style="47" customWidth="1"/>
    <col min="9" max="9" width="28.33203125" style="31" customWidth="1"/>
    <col min="10" max="16384" width="6.6640625" style="31"/>
  </cols>
  <sheetData>
    <row r="2" spans="1:9" ht="31.2" customHeight="1">
      <c r="A2" s="37" t="s">
        <v>0</v>
      </c>
      <c r="C2" s="34"/>
      <c r="D2" s="34"/>
      <c r="E2" s="46"/>
      <c r="F2" s="46"/>
      <c r="G2" s="46"/>
    </row>
    <row r="3" spans="1:9" ht="31.2" customHeight="1">
      <c r="A3" s="38" t="s">
        <v>333</v>
      </c>
      <c r="C3" s="34"/>
      <c r="D3" s="34"/>
      <c r="E3" s="46"/>
      <c r="F3" s="46"/>
      <c r="G3" s="46"/>
    </row>
    <row r="4" spans="1:9" ht="31.2" customHeight="1">
      <c r="C4" s="34"/>
      <c r="D4" s="34"/>
      <c r="E4" s="46"/>
      <c r="F4" s="46"/>
      <c r="G4" s="46"/>
    </row>
    <row r="5" spans="1:9" ht="31.2" customHeight="1">
      <c r="A5" s="32"/>
      <c r="D5" s="34"/>
      <c r="F5" s="46"/>
      <c r="H5" s="46"/>
    </row>
    <row r="6" spans="1:9" ht="31.2" customHeight="1">
      <c r="A6" s="36" t="s">
        <v>251</v>
      </c>
      <c r="B6" s="36" t="s">
        <v>250</v>
      </c>
      <c r="C6" s="256" t="s">
        <v>231</v>
      </c>
      <c r="D6" s="256"/>
      <c r="E6" s="257" t="s">
        <v>232</v>
      </c>
      <c r="F6" s="257"/>
      <c r="G6" s="257" t="s">
        <v>233</v>
      </c>
      <c r="H6" s="257"/>
    </row>
    <row r="7" spans="1:9" ht="31.2" customHeight="1">
      <c r="A7" s="35"/>
      <c r="B7" s="35"/>
      <c r="C7" s="42"/>
      <c r="D7" s="42"/>
      <c r="E7" s="48"/>
      <c r="F7" s="48"/>
      <c r="G7" s="48"/>
      <c r="H7" s="48"/>
    </row>
    <row r="8" spans="1:9" ht="31.2" customHeight="1">
      <c r="A8" s="90" t="s">
        <v>309</v>
      </c>
      <c r="B8" s="65" t="s">
        <v>314</v>
      </c>
      <c r="C8" s="66">
        <v>10621500</v>
      </c>
      <c r="D8" s="67">
        <v>0</v>
      </c>
      <c r="E8" s="222">
        <v>64695000</v>
      </c>
      <c r="F8" s="224">
        <v>58842000</v>
      </c>
      <c r="G8" s="68">
        <f>C8+E8-F8</f>
        <v>16474500</v>
      </c>
      <c r="H8" s="70">
        <v>0</v>
      </c>
      <c r="I8" s="198">
        <f>G8</f>
        <v>16474500</v>
      </c>
    </row>
    <row r="9" spans="1:9" ht="31.2" customHeight="1">
      <c r="A9" s="192">
        <v>1012.01</v>
      </c>
      <c r="B9" s="189" t="s">
        <v>258</v>
      </c>
      <c r="C9" s="190">
        <v>51000</v>
      </c>
      <c r="D9" s="191">
        <v>0</v>
      </c>
      <c r="E9" s="204">
        <v>102</v>
      </c>
      <c r="F9" s="113">
        <v>0</v>
      </c>
      <c r="G9" s="75">
        <f>C9+E9-F9</f>
        <v>51102</v>
      </c>
      <c r="H9" s="77"/>
      <c r="I9" s="198">
        <f>G9</f>
        <v>51102</v>
      </c>
    </row>
    <row r="10" spans="1:9" ht="31.2" customHeight="1">
      <c r="A10" s="152">
        <v>1012.02</v>
      </c>
      <c r="B10" s="72" t="s">
        <v>259</v>
      </c>
      <c r="C10" s="73">
        <v>18044295</v>
      </c>
      <c r="D10" s="74">
        <v>0</v>
      </c>
      <c r="E10" s="204">
        <v>7455</v>
      </c>
      <c r="F10" s="113">
        <v>0</v>
      </c>
      <c r="G10" s="75">
        <f t="shared" ref="G10:G27" si="0">C10+E10-F10</f>
        <v>18051750</v>
      </c>
      <c r="H10" s="77">
        <v>0</v>
      </c>
      <c r="I10" s="198">
        <f t="shared" ref="I10:I62" si="1">G10</f>
        <v>18051750</v>
      </c>
    </row>
    <row r="11" spans="1:9" ht="31.2" customHeight="1">
      <c r="A11" s="152">
        <v>1021.01</v>
      </c>
      <c r="B11" s="72" t="s">
        <v>260</v>
      </c>
      <c r="C11" s="73">
        <v>320821548.25</v>
      </c>
      <c r="D11" s="74">
        <v>0</v>
      </c>
      <c r="E11" s="204">
        <v>1700670650</v>
      </c>
      <c r="F11" s="113">
        <v>1715172553.0899999</v>
      </c>
      <c r="G11" s="75">
        <f t="shared" si="0"/>
        <v>306319645.16000009</v>
      </c>
      <c r="H11" s="77">
        <v>0</v>
      </c>
      <c r="I11" s="198">
        <f t="shared" si="1"/>
        <v>306319645.16000009</v>
      </c>
    </row>
    <row r="12" spans="1:9" ht="31.2" customHeight="1">
      <c r="A12" s="152">
        <v>1021.02</v>
      </c>
      <c r="B12" s="78" t="s">
        <v>261</v>
      </c>
      <c r="C12" s="73">
        <v>11090420</v>
      </c>
      <c r="D12" s="74">
        <v>0</v>
      </c>
      <c r="E12" s="204">
        <v>0</v>
      </c>
      <c r="F12" s="113">
        <v>20000</v>
      </c>
      <c r="G12" s="75">
        <f t="shared" si="0"/>
        <v>11070420</v>
      </c>
      <c r="H12" s="77">
        <v>0</v>
      </c>
      <c r="I12" s="198">
        <f t="shared" si="1"/>
        <v>11070420</v>
      </c>
    </row>
    <row r="13" spans="1:9" ht="31.2" customHeight="1">
      <c r="A13" s="152">
        <v>1022.01</v>
      </c>
      <c r="B13" s="72" t="s">
        <v>6</v>
      </c>
      <c r="C13" s="73">
        <v>433181725.00000048</v>
      </c>
      <c r="D13" s="74">
        <v>0</v>
      </c>
      <c r="E13" s="204">
        <v>1930872170.45</v>
      </c>
      <c r="F13" s="113">
        <v>1436528061.48</v>
      </c>
      <c r="G13" s="75">
        <f t="shared" si="0"/>
        <v>927525833.97000074</v>
      </c>
      <c r="H13" s="77">
        <v>0</v>
      </c>
      <c r="I13" s="198">
        <f t="shared" si="1"/>
        <v>927525833.97000074</v>
      </c>
    </row>
    <row r="14" spans="1:9" ht="31.2" customHeight="1">
      <c r="A14" s="152">
        <v>1022.02</v>
      </c>
      <c r="B14" s="72" t="s">
        <v>262</v>
      </c>
      <c r="C14" s="73">
        <v>636743354.5</v>
      </c>
      <c r="D14" s="74">
        <v>0</v>
      </c>
      <c r="E14" s="204">
        <v>92624970</v>
      </c>
      <c r="F14" s="113">
        <v>612631477.5</v>
      </c>
      <c r="G14" s="75">
        <f t="shared" si="0"/>
        <v>116736847</v>
      </c>
      <c r="H14" s="77"/>
      <c r="I14" s="198">
        <f t="shared" si="1"/>
        <v>116736847</v>
      </c>
    </row>
    <row r="15" spans="1:9" ht="31.2" customHeight="1">
      <c r="A15" s="71">
        <v>1022.05</v>
      </c>
      <c r="B15" s="72" t="s">
        <v>263</v>
      </c>
      <c r="C15" s="73">
        <v>133824270</v>
      </c>
      <c r="D15" s="74">
        <v>0</v>
      </c>
      <c r="E15" s="204">
        <v>267648.53999999998</v>
      </c>
      <c r="F15" s="113">
        <v>0</v>
      </c>
      <c r="G15" s="75">
        <f t="shared" si="0"/>
        <v>134091918.54000001</v>
      </c>
      <c r="H15" s="77">
        <v>0</v>
      </c>
      <c r="I15" s="198">
        <f t="shared" si="1"/>
        <v>134091918.54000001</v>
      </c>
    </row>
    <row r="16" spans="1:9" ht="31.2" customHeight="1">
      <c r="A16" s="71">
        <v>1022.06</v>
      </c>
      <c r="B16" s="72" t="s">
        <v>264</v>
      </c>
      <c r="C16" s="73">
        <v>1824930.5299999998</v>
      </c>
      <c r="D16" s="74">
        <v>0</v>
      </c>
      <c r="E16" s="204">
        <v>753.97</v>
      </c>
      <c r="F16" s="113">
        <v>0</v>
      </c>
      <c r="G16" s="75">
        <f t="shared" si="0"/>
        <v>1825684.4999999998</v>
      </c>
      <c r="H16" s="77">
        <v>0</v>
      </c>
      <c r="I16" s="198">
        <f t="shared" si="1"/>
        <v>1825684.4999999998</v>
      </c>
    </row>
    <row r="17" spans="1:9" ht="31.2" customHeight="1">
      <c r="A17" s="71">
        <v>1022.07</v>
      </c>
      <c r="B17" s="72" t="s">
        <v>265</v>
      </c>
      <c r="C17" s="73">
        <v>3532276640</v>
      </c>
      <c r="D17" s="74">
        <v>0</v>
      </c>
      <c r="E17" s="204">
        <v>1459360</v>
      </c>
      <c r="F17" s="113">
        <v>0</v>
      </c>
      <c r="G17" s="75">
        <f t="shared" si="0"/>
        <v>3533736000</v>
      </c>
      <c r="H17" s="77"/>
      <c r="I17" s="198">
        <f t="shared" si="1"/>
        <v>3533736000</v>
      </c>
    </row>
    <row r="18" spans="1:9" ht="31.2" customHeight="1">
      <c r="A18" s="71">
        <v>1022.08</v>
      </c>
      <c r="B18" s="72" t="s">
        <v>266</v>
      </c>
      <c r="C18" s="73">
        <v>677720000</v>
      </c>
      <c r="D18" s="74">
        <v>0</v>
      </c>
      <c r="E18" s="204">
        <v>280000</v>
      </c>
      <c r="F18" s="113">
        <v>0</v>
      </c>
      <c r="G18" s="75">
        <f t="shared" si="0"/>
        <v>678000000</v>
      </c>
      <c r="H18" s="77"/>
      <c r="I18" s="198">
        <f t="shared" si="1"/>
        <v>678000000</v>
      </c>
    </row>
    <row r="19" spans="1:9" ht="31.2" customHeight="1">
      <c r="A19" s="71">
        <v>1211</v>
      </c>
      <c r="B19" s="72" t="s">
        <v>13</v>
      </c>
      <c r="C19" s="74">
        <v>4771427038.5700006</v>
      </c>
      <c r="D19" s="73">
        <v>0</v>
      </c>
      <c r="E19" s="204">
        <v>4869940440</v>
      </c>
      <c r="F19" s="113">
        <v>2521794606</v>
      </c>
      <c r="G19" s="75">
        <f t="shared" si="0"/>
        <v>7119572872.5699997</v>
      </c>
      <c r="H19" s="77">
        <v>0</v>
      </c>
      <c r="I19" s="200">
        <f>G19</f>
        <v>7119572872.5699997</v>
      </c>
    </row>
    <row r="20" spans="1:9" ht="31.2" customHeight="1">
      <c r="A20" s="90">
        <v>124.01</v>
      </c>
      <c r="B20" s="72" t="s">
        <v>14</v>
      </c>
      <c r="C20" s="73">
        <v>101658000</v>
      </c>
      <c r="D20" s="74">
        <v>0</v>
      </c>
      <c r="E20" s="204">
        <v>90271000</v>
      </c>
      <c r="F20" s="113">
        <v>89471000</v>
      </c>
      <c r="G20" s="75">
        <f t="shared" si="0"/>
        <v>102458000</v>
      </c>
      <c r="H20" s="77">
        <v>0</v>
      </c>
      <c r="I20" s="200">
        <f t="shared" si="1"/>
        <v>102458000</v>
      </c>
    </row>
    <row r="21" spans="1:9" ht="31.2" customHeight="1">
      <c r="A21" s="90">
        <v>1311.01</v>
      </c>
      <c r="B21" s="72" t="s">
        <v>15</v>
      </c>
      <c r="C21" s="73">
        <v>33959100</v>
      </c>
      <c r="D21" s="74">
        <v>0</v>
      </c>
      <c r="E21" s="236">
        <v>302158009.80000001</v>
      </c>
      <c r="F21" s="113">
        <v>225446710.80000001</v>
      </c>
      <c r="G21" s="204">
        <f t="shared" si="0"/>
        <v>110670399</v>
      </c>
      <c r="H21" s="77">
        <v>0</v>
      </c>
      <c r="I21" s="200">
        <f t="shared" si="1"/>
        <v>110670399</v>
      </c>
    </row>
    <row r="22" spans="1:9" ht="31.2" customHeight="1">
      <c r="A22" s="71">
        <v>1311.02</v>
      </c>
      <c r="B22" s="72" t="s">
        <v>16</v>
      </c>
      <c r="C22" s="73">
        <v>26875999.999999944</v>
      </c>
      <c r="D22" s="74">
        <v>0</v>
      </c>
      <c r="E22" s="236">
        <v>241083411.43000001</v>
      </c>
      <c r="F22" s="113">
        <v>231364211.43000001</v>
      </c>
      <c r="G22" s="204">
        <f t="shared" si="0"/>
        <v>36595199.99999994</v>
      </c>
      <c r="H22" s="77">
        <v>0</v>
      </c>
      <c r="I22" s="200">
        <f t="shared" si="1"/>
        <v>36595199.99999994</v>
      </c>
    </row>
    <row r="23" spans="1:9" ht="31.2" customHeight="1">
      <c r="A23" s="153">
        <v>1311.03</v>
      </c>
      <c r="B23" s="72" t="s">
        <v>17</v>
      </c>
      <c r="C23" s="73">
        <v>81123072.359999895</v>
      </c>
      <c r="D23" s="74">
        <v>0</v>
      </c>
      <c r="E23" s="236">
        <v>1295263808.4100001</v>
      </c>
      <c r="F23" s="113">
        <v>1292896755.02</v>
      </c>
      <c r="G23" s="204">
        <f t="shared" si="0"/>
        <v>83490125.75</v>
      </c>
      <c r="H23" s="77"/>
      <c r="I23" s="200">
        <f t="shared" si="1"/>
        <v>83490125.75</v>
      </c>
    </row>
    <row r="24" spans="1:9" ht="31.2" customHeight="1">
      <c r="A24" s="90">
        <v>1311.04</v>
      </c>
      <c r="B24" s="72" t="s">
        <v>18</v>
      </c>
      <c r="C24" s="73">
        <v>5938546.25</v>
      </c>
      <c r="D24" s="74">
        <v>0</v>
      </c>
      <c r="E24" s="236">
        <v>155948124.71000001</v>
      </c>
      <c r="F24" s="113">
        <v>149619717.15000001</v>
      </c>
      <c r="G24" s="204">
        <f t="shared" si="0"/>
        <v>12266953.810000002</v>
      </c>
      <c r="H24" s="77">
        <v>0</v>
      </c>
      <c r="I24" s="200">
        <f t="shared" si="1"/>
        <v>12266953.810000002</v>
      </c>
    </row>
    <row r="25" spans="1:9" ht="31.2" customHeight="1">
      <c r="A25" s="152">
        <v>1311.05</v>
      </c>
      <c r="B25" s="72" t="s">
        <v>19</v>
      </c>
      <c r="C25" s="73">
        <v>40988700</v>
      </c>
      <c r="D25" s="74">
        <v>0</v>
      </c>
      <c r="E25" s="236">
        <v>655000060.20000005</v>
      </c>
      <c r="F25" s="113">
        <v>666910119</v>
      </c>
      <c r="G25" s="204">
        <f t="shared" si="0"/>
        <v>29078641.200000048</v>
      </c>
      <c r="H25" s="77">
        <v>0</v>
      </c>
      <c r="I25" s="200">
        <f t="shared" si="1"/>
        <v>29078641.200000048</v>
      </c>
    </row>
    <row r="26" spans="1:9" ht="31.2" customHeight="1">
      <c r="A26" s="152">
        <v>1311.06</v>
      </c>
      <c r="B26" s="72" t="s">
        <v>20</v>
      </c>
      <c r="C26" s="74">
        <v>10682925</v>
      </c>
      <c r="D26" s="73">
        <v>0</v>
      </c>
      <c r="E26" s="236">
        <v>13798865.85</v>
      </c>
      <c r="F26" s="113">
        <v>4243414.8899999997</v>
      </c>
      <c r="G26" s="204">
        <f t="shared" si="0"/>
        <v>20238375.960000001</v>
      </c>
      <c r="H26" s="77">
        <v>0</v>
      </c>
      <c r="I26" s="200">
        <f t="shared" si="1"/>
        <v>20238375.960000001</v>
      </c>
    </row>
    <row r="27" spans="1:9" ht="31.2" customHeight="1">
      <c r="A27" s="152">
        <v>1311.07</v>
      </c>
      <c r="B27" s="72" t="s">
        <v>21</v>
      </c>
      <c r="C27" s="73">
        <v>161515296</v>
      </c>
      <c r="D27" s="74">
        <v>0</v>
      </c>
      <c r="E27" s="236">
        <v>633435140.19000006</v>
      </c>
      <c r="F27" s="113">
        <v>667482420.19000006</v>
      </c>
      <c r="G27" s="204">
        <f t="shared" si="0"/>
        <v>127468016</v>
      </c>
      <c r="H27" s="77">
        <v>0</v>
      </c>
      <c r="I27" s="200">
        <f t="shared" si="1"/>
        <v>127468016</v>
      </c>
    </row>
    <row r="28" spans="1:9" ht="31.2" customHeight="1">
      <c r="A28" s="152">
        <v>1311.08</v>
      </c>
      <c r="B28" s="72" t="s">
        <v>23</v>
      </c>
      <c r="C28" s="73">
        <v>0</v>
      </c>
      <c r="D28" s="74">
        <v>0</v>
      </c>
      <c r="E28" s="113">
        <v>3574035155.0300002</v>
      </c>
      <c r="F28" s="113">
        <v>3574035155.0300002</v>
      </c>
      <c r="G28" s="75">
        <f t="shared" ref="G28:G63" si="2">C28+E28-F28</f>
        <v>0</v>
      </c>
      <c r="H28" s="77">
        <v>0</v>
      </c>
      <c r="I28" s="200">
        <f t="shared" si="1"/>
        <v>0</v>
      </c>
    </row>
    <row r="29" spans="1:9" ht="31.2" customHeight="1">
      <c r="A29" s="237">
        <v>1331.01</v>
      </c>
      <c r="B29" s="72" t="s">
        <v>267</v>
      </c>
      <c r="C29" s="73">
        <v>0</v>
      </c>
      <c r="D29" s="74">
        <v>0</v>
      </c>
      <c r="E29" s="223">
        <v>18605000</v>
      </c>
      <c r="F29" s="113">
        <v>18605000</v>
      </c>
      <c r="G29" s="75">
        <f t="shared" si="2"/>
        <v>0</v>
      </c>
      <c r="H29" s="77">
        <v>0</v>
      </c>
      <c r="I29" s="200">
        <f t="shared" si="1"/>
        <v>0</v>
      </c>
    </row>
    <row r="30" spans="1:9" ht="31.2" customHeight="1">
      <c r="A30" s="237">
        <v>1331.02</v>
      </c>
      <c r="B30" s="72" t="s">
        <v>268</v>
      </c>
      <c r="C30" s="73">
        <v>0</v>
      </c>
      <c r="D30" s="74">
        <v>0</v>
      </c>
      <c r="E30" s="223">
        <v>42258000</v>
      </c>
      <c r="F30" s="113">
        <v>42258000</v>
      </c>
      <c r="G30" s="75">
        <f t="shared" si="2"/>
        <v>0</v>
      </c>
      <c r="H30" s="77">
        <v>0</v>
      </c>
      <c r="I30" s="200">
        <f t="shared" si="1"/>
        <v>0</v>
      </c>
    </row>
    <row r="31" spans="1:9" ht="31.2" customHeight="1">
      <c r="A31" s="237">
        <v>1331.03</v>
      </c>
      <c r="B31" s="72" t="s">
        <v>269</v>
      </c>
      <c r="C31" s="73">
        <v>0</v>
      </c>
      <c r="D31" s="74">
        <v>0</v>
      </c>
      <c r="E31" s="223">
        <v>6331155.8600000003</v>
      </c>
      <c r="F31" s="113">
        <v>6331155.8600000003</v>
      </c>
      <c r="G31" s="75">
        <f t="shared" si="2"/>
        <v>0</v>
      </c>
      <c r="H31" s="77">
        <v>0</v>
      </c>
      <c r="I31" s="200">
        <f t="shared" si="1"/>
        <v>0</v>
      </c>
    </row>
    <row r="32" spans="1:9" ht="31.2" customHeight="1">
      <c r="A32" s="237">
        <v>1331.04</v>
      </c>
      <c r="B32" s="72" t="s">
        <v>270</v>
      </c>
      <c r="C32" s="73">
        <v>0</v>
      </c>
      <c r="D32" s="74">
        <v>0</v>
      </c>
      <c r="E32" s="223">
        <v>8855917.1999999993</v>
      </c>
      <c r="F32" s="113">
        <v>8855917.1999999993</v>
      </c>
      <c r="G32" s="75">
        <f t="shared" si="2"/>
        <v>0</v>
      </c>
      <c r="H32" s="77"/>
      <c r="I32" s="200">
        <f t="shared" si="1"/>
        <v>0</v>
      </c>
    </row>
    <row r="33" spans="1:9" ht="31.2" customHeight="1">
      <c r="A33" s="237" t="s">
        <v>271</v>
      </c>
      <c r="B33" s="72" t="s">
        <v>272</v>
      </c>
      <c r="C33" s="73">
        <v>0</v>
      </c>
      <c r="D33" s="74">
        <v>0</v>
      </c>
      <c r="E33" s="223">
        <v>102645418</v>
      </c>
      <c r="F33" s="113">
        <v>102645418</v>
      </c>
      <c r="G33" s="75">
        <f t="shared" si="2"/>
        <v>0</v>
      </c>
      <c r="H33" s="77">
        <v>0</v>
      </c>
      <c r="I33" s="200">
        <f t="shared" si="1"/>
        <v>0</v>
      </c>
    </row>
    <row r="34" spans="1:9" ht="31.2" customHeight="1">
      <c r="A34" s="238" t="s">
        <v>273</v>
      </c>
      <c r="B34" s="72" t="s">
        <v>274</v>
      </c>
      <c r="C34" s="73">
        <v>0</v>
      </c>
      <c r="D34" s="74">
        <v>0</v>
      </c>
      <c r="E34" s="223">
        <v>37675162.259999998</v>
      </c>
      <c r="F34" s="113">
        <v>37675162.259999998</v>
      </c>
      <c r="G34" s="75">
        <f t="shared" si="2"/>
        <v>0</v>
      </c>
      <c r="H34" s="77">
        <v>0</v>
      </c>
      <c r="I34" s="200">
        <f t="shared" si="1"/>
        <v>0</v>
      </c>
    </row>
    <row r="35" spans="1:9" ht="31.2" customHeight="1">
      <c r="A35" s="238" t="s">
        <v>275</v>
      </c>
      <c r="B35" s="72" t="s">
        <v>276</v>
      </c>
      <c r="C35" s="73">
        <v>0</v>
      </c>
      <c r="D35" s="74">
        <v>0</v>
      </c>
      <c r="E35" s="223">
        <v>5674200</v>
      </c>
      <c r="F35" s="113">
        <v>5674200</v>
      </c>
      <c r="G35" s="75">
        <f t="shared" si="2"/>
        <v>0</v>
      </c>
      <c r="H35" s="77">
        <v>0</v>
      </c>
      <c r="I35" s="200">
        <f t="shared" si="1"/>
        <v>0</v>
      </c>
    </row>
    <row r="36" spans="1:9" ht="31.2" customHeight="1">
      <c r="A36" s="238" t="s">
        <v>277</v>
      </c>
      <c r="B36" s="72" t="s">
        <v>278</v>
      </c>
      <c r="C36" s="73">
        <v>0</v>
      </c>
      <c r="D36" s="74">
        <v>0</v>
      </c>
      <c r="E36" s="239">
        <v>6208000</v>
      </c>
      <c r="F36" s="233">
        <v>6208000</v>
      </c>
      <c r="G36" s="113">
        <v>0</v>
      </c>
      <c r="H36" s="242">
        <f>D36+F36-E36</f>
        <v>0</v>
      </c>
      <c r="I36" s="243">
        <f>-H36</f>
        <v>0</v>
      </c>
    </row>
    <row r="37" spans="1:9" ht="31.2" customHeight="1">
      <c r="A37" s="238" t="s">
        <v>279</v>
      </c>
      <c r="B37" s="72" t="s">
        <v>280</v>
      </c>
      <c r="C37" s="73">
        <v>0</v>
      </c>
      <c r="D37" s="74">
        <v>0</v>
      </c>
      <c r="E37" s="223">
        <v>588000</v>
      </c>
      <c r="F37" s="113">
        <v>588000</v>
      </c>
      <c r="G37" s="75">
        <f t="shared" si="2"/>
        <v>0</v>
      </c>
      <c r="H37" s="77">
        <v>0</v>
      </c>
      <c r="I37" s="200">
        <f t="shared" si="1"/>
        <v>0</v>
      </c>
    </row>
    <row r="38" spans="1:9" ht="31.2" customHeight="1">
      <c r="A38" s="238" t="s">
        <v>281</v>
      </c>
      <c r="B38" s="72" t="s">
        <v>282</v>
      </c>
      <c r="C38" s="74">
        <v>0</v>
      </c>
      <c r="D38" s="73">
        <v>0</v>
      </c>
      <c r="E38" s="223">
        <v>23676417</v>
      </c>
      <c r="F38" s="113">
        <v>23676417</v>
      </c>
      <c r="G38" s="75">
        <f t="shared" si="2"/>
        <v>0</v>
      </c>
      <c r="H38" s="77">
        <v>0</v>
      </c>
      <c r="I38" s="200">
        <f t="shared" si="1"/>
        <v>0</v>
      </c>
    </row>
    <row r="39" spans="1:9" ht="31.2" customHeight="1">
      <c r="A39" s="238" t="s">
        <v>286</v>
      </c>
      <c r="B39" s="72" t="s">
        <v>242</v>
      </c>
      <c r="C39" s="73">
        <v>0</v>
      </c>
      <c r="D39" s="74">
        <v>0</v>
      </c>
      <c r="E39" s="223">
        <v>72415572.060000002</v>
      </c>
      <c r="F39" s="113">
        <v>72415572.060000002</v>
      </c>
      <c r="G39" s="75">
        <f t="shared" si="2"/>
        <v>0</v>
      </c>
      <c r="H39" s="77">
        <v>0</v>
      </c>
      <c r="I39" s="200">
        <f t="shared" si="1"/>
        <v>0</v>
      </c>
    </row>
    <row r="40" spans="1:9" ht="31.2" customHeight="1">
      <c r="A40" s="238" t="s">
        <v>310</v>
      </c>
      <c r="B40" s="72" t="s">
        <v>317</v>
      </c>
      <c r="C40" s="73">
        <v>0</v>
      </c>
      <c r="D40" s="74">
        <v>0</v>
      </c>
      <c r="E40" s="223">
        <v>2562250</v>
      </c>
      <c r="F40" s="113">
        <v>2562250</v>
      </c>
      <c r="G40" s="75">
        <f t="shared" si="2"/>
        <v>0</v>
      </c>
      <c r="H40" s="77">
        <v>0</v>
      </c>
      <c r="I40" s="200">
        <f t="shared" si="1"/>
        <v>0</v>
      </c>
    </row>
    <row r="41" spans="1:9" ht="31.2" customHeight="1">
      <c r="A41" s="238" t="s">
        <v>334</v>
      </c>
      <c r="B41" s="72" t="s">
        <v>341</v>
      </c>
      <c r="C41" s="73">
        <v>0</v>
      </c>
      <c r="D41" s="74">
        <v>0</v>
      </c>
      <c r="E41" s="223">
        <v>13140000</v>
      </c>
      <c r="F41" s="113">
        <v>13140000</v>
      </c>
      <c r="G41" s="75">
        <f t="shared" si="2"/>
        <v>0</v>
      </c>
      <c r="H41" s="77">
        <v>0</v>
      </c>
      <c r="I41" s="200">
        <f t="shared" si="1"/>
        <v>0</v>
      </c>
    </row>
    <row r="42" spans="1:9" ht="31.2" customHeight="1">
      <c r="A42" s="238" t="s">
        <v>335</v>
      </c>
      <c r="B42" s="72" t="s">
        <v>342</v>
      </c>
      <c r="C42" s="73">
        <v>0</v>
      </c>
      <c r="D42" s="74">
        <v>0</v>
      </c>
      <c r="E42" s="223">
        <v>3000000</v>
      </c>
      <c r="F42" s="113">
        <v>3000000</v>
      </c>
      <c r="G42" s="75">
        <f t="shared" si="2"/>
        <v>0</v>
      </c>
      <c r="H42" s="77"/>
      <c r="I42" s="200"/>
    </row>
    <row r="43" spans="1:9" ht="31.2" customHeight="1">
      <c r="A43" s="71" t="s">
        <v>240</v>
      </c>
      <c r="B43" s="72" t="s">
        <v>24</v>
      </c>
      <c r="C43" s="74">
        <v>0</v>
      </c>
      <c r="D43" s="74">
        <v>0</v>
      </c>
      <c r="E43" s="204">
        <v>3574035155.0300002</v>
      </c>
      <c r="F43" s="113">
        <v>3574035155.0300002</v>
      </c>
      <c r="G43" s="75">
        <f t="shared" si="2"/>
        <v>0</v>
      </c>
      <c r="H43" s="77">
        <v>0</v>
      </c>
      <c r="I43" s="200">
        <f t="shared" si="1"/>
        <v>0</v>
      </c>
    </row>
    <row r="44" spans="1:9" ht="31.2" customHeight="1">
      <c r="A44" s="90">
        <v>146.08000000000001</v>
      </c>
      <c r="B44" s="72" t="s">
        <v>29</v>
      </c>
      <c r="C44" s="73">
        <v>1048407031.66</v>
      </c>
      <c r="D44" s="74">
        <v>0</v>
      </c>
      <c r="E44" s="204">
        <v>0</v>
      </c>
      <c r="F44" s="113">
        <v>28933650</v>
      </c>
      <c r="G44" s="75">
        <f>C44+E44-F44</f>
        <v>1019473381.66</v>
      </c>
      <c r="H44" s="77">
        <v>0</v>
      </c>
      <c r="I44" s="201">
        <f t="shared" si="1"/>
        <v>1019473381.66</v>
      </c>
    </row>
    <row r="45" spans="1:9" ht="31.2" customHeight="1">
      <c r="A45" s="71">
        <v>146.09</v>
      </c>
      <c r="B45" s="72" t="s">
        <v>243</v>
      </c>
      <c r="C45" s="73">
        <v>48202627.649999991</v>
      </c>
      <c r="D45" s="74">
        <v>0</v>
      </c>
      <c r="E45" s="204">
        <v>0</v>
      </c>
      <c r="F45" s="113">
        <v>12069247.5</v>
      </c>
      <c r="G45" s="75">
        <f t="shared" ref="G45:G47" si="3">C45+E45-F45</f>
        <v>36133380.149999991</v>
      </c>
      <c r="H45" s="77">
        <v>0</v>
      </c>
      <c r="I45" s="201">
        <f t="shared" si="1"/>
        <v>36133380.149999991</v>
      </c>
    </row>
    <row r="46" spans="1:9" ht="31.2" customHeight="1">
      <c r="A46" s="71">
        <v>1601.01</v>
      </c>
      <c r="B46" s="72" t="s">
        <v>30</v>
      </c>
      <c r="C46" s="74">
        <v>72427584</v>
      </c>
      <c r="D46" s="73">
        <v>0</v>
      </c>
      <c r="E46" s="204">
        <v>0</v>
      </c>
      <c r="F46" s="113">
        <v>17761850</v>
      </c>
      <c r="G46" s="75">
        <f t="shared" si="3"/>
        <v>54665734</v>
      </c>
      <c r="H46" s="77">
        <v>0</v>
      </c>
      <c r="I46" s="201">
        <f t="shared" si="1"/>
        <v>54665734</v>
      </c>
    </row>
    <row r="47" spans="1:9" ht="31.2" customHeight="1">
      <c r="A47" s="71">
        <v>1611</v>
      </c>
      <c r="B47" s="72" t="s">
        <v>31</v>
      </c>
      <c r="C47" s="74">
        <v>15676816.98</v>
      </c>
      <c r="D47" s="73">
        <v>0</v>
      </c>
      <c r="E47" s="204">
        <v>14024599.5</v>
      </c>
      <c r="F47" s="113">
        <v>0</v>
      </c>
      <c r="G47" s="75">
        <f t="shared" si="3"/>
        <v>29701416.48</v>
      </c>
      <c r="H47" s="77">
        <v>0</v>
      </c>
      <c r="I47" s="201">
        <f t="shared" si="1"/>
        <v>29701416.48</v>
      </c>
    </row>
    <row r="48" spans="1:9" ht="31.2" customHeight="1">
      <c r="A48" s="71" t="s">
        <v>336</v>
      </c>
      <c r="B48" s="72" t="s">
        <v>32</v>
      </c>
      <c r="C48" s="73">
        <v>0</v>
      </c>
      <c r="D48" s="74">
        <v>0</v>
      </c>
      <c r="E48" s="204">
        <v>140008573.34</v>
      </c>
      <c r="F48" s="113">
        <v>140008573.34</v>
      </c>
      <c r="G48" s="75">
        <f t="shared" si="2"/>
        <v>0</v>
      </c>
      <c r="H48" s="77">
        <v>0</v>
      </c>
      <c r="I48" s="200">
        <f t="shared" si="1"/>
        <v>0</v>
      </c>
    </row>
    <row r="49" spans="1:9" ht="31.2" customHeight="1">
      <c r="A49" s="71" t="s">
        <v>313</v>
      </c>
      <c r="B49" s="72" t="s">
        <v>32</v>
      </c>
      <c r="C49" s="73">
        <v>0</v>
      </c>
      <c r="D49" s="74">
        <v>0</v>
      </c>
      <c r="E49" s="204">
        <v>14016076.199999999</v>
      </c>
      <c r="F49" s="113">
        <v>14016076.199999999</v>
      </c>
      <c r="G49" s="75">
        <f t="shared" si="2"/>
        <v>0</v>
      </c>
      <c r="H49" s="77"/>
      <c r="I49" s="200"/>
    </row>
    <row r="50" spans="1:9" ht="31.2" customHeight="1">
      <c r="A50" s="71">
        <v>2411</v>
      </c>
      <c r="B50" s="72" t="s">
        <v>34</v>
      </c>
      <c r="C50" s="73">
        <v>155359479.06999999</v>
      </c>
      <c r="D50" s="74">
        <v>0</v>
      </c>
      <c r="E50" s="204">
        <v>0</v>
      </c>
      <c r="F50" s="113">
        <v>0</v>
      </c>
      <c r="G50" s="75">
        <f>C50+E50-F50</f>
        <v>155359479.06999999</v>
      </c>
      <c r="H50" s="77"/>
      <c r="I50" s="200">
        <f>G50</f>
        <v>155359479.06999999</v>
      </c>
    </row>
    <row r="51" spans="1:9" ht="31.2" customHeight="1">
      <c r="A51" s="71">
        <v>2412</v>
      </c>
      <c r="B51" s="72" t="s">
        <v>35</v>
      </c>
      <c r="C51" s="73">
        <v>2343164204.29</v>
      </c>
      <c r="D51" s="74">
        <v>0</v>
      </c>
      <c r="E51" s="204">
        <v>0</v>
      </c>
      <c r="F51" s="113">
        <v>0</v>
      </c>
      <c r="G51" s="75">
        <f t="shared" si="2"/>
        <v>2343164204.29</v>
      </c>
      <c r="H51" s="77"/>
      <c r="I51" s="200">
        <f t="shared" ref="I51:I54" si="4">G51</f>
        <v>2343164204.29</v>
      </c>
    </row>
    <row r="52" spans="1:9" ht="31.2" customHeight="1">
      <c r="A52" s="71">
        <v>2413</v>
      </c>
      <c r="B52" s="72" t="s">
        <v>36</v>
      </c>
      <c r="C52" s="73">
        <v>3119173248</v>
      </c>
      <c r="D52" s="74">
        <v>0</v>
      </c>
      <c r="E52" s="75">
        <v>0</v>
      </c>
      <c r="F52" s="113">
        <v>158603200</v>
      </c>
      <c r="G52" s="75">
        <f>C52+E52-F52</f>
        <v>2960570048</v>
      </c>
      <c r="H52" s="77">
        <v>0</v>
      </c>
      <c r="I52" s="200">
        <f t="shared" si="4"/>
        <v>2960570048</v>
      </c>
    </row>
    <row r="53" spans="1:9" ht="31.2" customHeight="1">
      <c r="A53" s="71">
        <v>2414</v>
      </c>
      <c r="B53" s="72" t="s">
        <v>37</v>
      </c>
      <c r="C53" s="73">
        <v>4390475309</v>
      </c>
      <c r="D53" s="74">
        <v>0</v>
      </c>
      <c r="E53" s="75">
        <v>0</v>
      </c>
      <c r="F53" s="113">
        <v>0</v>
      </c>
      <c r="G53" s="75">
        <f t="shared" si="2"/>
        <v>4390475309</v>
      </c>
      <c r="H53" s="77"/>
      <c r="I53" s="200">
        <f t="shared" si="4"/>
        <v>4390475309</v>
      </c>
    </row>
    <row r="54" spans="1:9" ht="31.2" customHeight="1">
      <c r="A54" s="71">
        <v>2421</v>
      </c>
      <c r="B54" s="72" t="s">
        <v>38</v>
      </c>
      <c r="C54" s="73">
        <v>10103000</v>
      </c>
      <c r="D54" s="74">
        <v>0</v>
      </c>
      <c r="E54" s="75">
        <v>0</v>
      </c>
      <c r="F54" s="113">
        <v>0</v>
      </c>
      <c r="G54" s="75">
        <f t="shared" si="2"/>
        <v>10103000</v>
      </c>
      <c r="H54" s="77"/>
      <c r="I54" s="200">
        <f t="shared" si="4"/>
        <v>10103000</v>
      </c>
    </row>
    <row r="55" spans="1:9" ht="31.2" customHeight="1">
      <c r="A55" s="71">
        <v>28411</v>
      </c>
      <c r="B55" s="72" t="s">
        <v>39</v>
      </c>
      <c r="C55" s="73">
        <v>0</v>
      </c>
      <c r="D55" s="74">
        <v>48265010.329999998</v>
      </c>
      <c r="E55" s="75">
        <v>0</v>
      </c>
      <c r="F55" s="113">
        <v>1389937.33</v>
      </c>
      <c r="G55" s="75">
        <v>0</v>
      </c>
      <c r="H55" s="77">
        <f>D55+F55-E55</f>
        <v>49654947.659999996</v>
      </c>
      <c r="I55" s="200">
        <f>-H55</f>
        <v>-49654947.659999996</v>
      </c>
    </row>
    <row r="56" spans="1:9" ht="31.2" customHeight="1">
      <c r="A56" s="71">
        <v>28412</v>
      </c>
      <c r="B56" s="72" t="s">
        <v>40</v>
      </c>
      <c r="C56" s="73">
        <v>0</v>
      </c>
      <c r="D56" s="74">
        <v>275169114.54000002</v>
      </c>
      <c r="E56" s="75">
        <v>0</v>
      </c>
      <c r="F56" s="113">
        <v>5009693.54</v>
      </c>
      <c r="G56" s="75">
        <v>0</v>
      </c>
      <c r="H56" s="77">
        <f t="shared" ref="H56:H61" si="5">D56+F56-E56</f>
        <v>280178808.08000004</v>
      </c>
      <c r="I56" s="200">
        <f t="shared" ref="I56:I61" si="6">-H56</f>
        <v>-280178808.08000004</v>
      </c>
    </row>
    <row r="57" spans="1:9" ht="31.2" customHeight="1">
      <c r="A57" s="71">
        <v>28413</v>
      </c>
      <c r="B57" s="72" t="s">
        <v>41</v>
      </c>
      <c r="C57" s="73">
        <v>0</v>
      </c>
      <c r="D57" s="74">
        <v>1961719253.23</v>
      </c>
      <c r="E57" s="75">
        <v>114878687.67</v>
      </c>
      <c r="F57" s="113">
        <v>22129577.07</v>
      </c>
      <c r="G57" s="75">
        <v>0</v>
      </c>
      <c r="H57" s="77">
        <f t="shared" si="5"/>
        <v>1868970142.6299999</v>
      </c>
      <c r="I57" s="200">
        <f t="shared" si="6"/>
        <v>-1868970142.6299999</v>
      </c>
    </row>
    <row r="58" spans="1:9" ht="31.2" customHeight="1">
      <c r="A58" s="71">
        <v>28414</v>
      </c>
      <c r="B58" s="72" t="s">
        <v>42</v>
      </c>
      <c r="C58" s="73">
        <v>0</v>
      </c>
      <c r="D58" s="74">
        <v>1323507038.3699999</v>
      </c>
      <c r="E58" s="75">
        <v>0</v>
      </c>
      <c r="F58" s="113">
        <v>23591255.149999999</v>
      </c>
      <c r="G58" s="75">
        <v>0</v>
      </c>
      <c r="H58" s="77">
        <f t="shared" si="5"/>
        <v>1347098293.52</v>
      </c>
      <c r="I58" s="200">
        <f t="shared" si="6"/>
        <v>-1347098293.52</v>
      </c>
    </row>
    <row r="59" spans="1:9" ht="31.2" customHeight="1">
      <c r="A59" s="71">
        <v>28421</v>
      </c>
      <c r="B59" s="72" t="s">
        <v>43</v>
      </c>
      <c r="C59" s="73">
        <v>0</v>
      </c>
      <c r="D59" s="74">
        <v>10103000</v>
      </c>
      <c r="E59" s="75">
        <v>0</v>
      </c>
      <c r="F59" s="113">
        <v>0</v>
      </c>
      <c r="G59" s="75">
        <f t="shared" si="2"/>
        <v>0</v>
      </c>
      <c r="H59" s="77">
        <f t="shared" si="5"/>
        <v>10103000</v>
      </c>
      <c r="I59" s="200">
        <f t="shared" si="6"/>
        <v>-10103000</v>
      </c>
    </row>
    <row r="60" spans="1:9" ht="31.2" customHeight="1">
      <c r="A60" s="71">
        <v>303</v>
      </c>
      <c r="B60" s="72" t="s">
        <v>44</v>
      </c>
      <c r="C60" s="73">
        <v>0</v>
      </c>
      <c r="D60" s="74">
        <v>23368900000</v>
      </c>
      <c r="E60" s="75">
        <v>0</v>
      </c>
      <c r="F60" s="113">
        <v>0</v>
      </c>
      <c r="G60" s="75">
        <f t="shared" si="2"/>
        <v>0</v>
      </c>
      <c r="H60" s="77">
        <f t="shared" si="5"/>
        <v>23368900000</v>
      </c>
      <c r="I60" s="231">
        <f t="shared" si="6"/>
        <v>-23368900000</v>
      </c>
    </row>
    <row r="61" spans="1:9" ht="31.2" customHeight="1">
      <c r="A61" s="71">
        <v>308</v>
      </c>
      <c r="B61" s="72" t="s">
        <v>172</v>
      </c>
      <c r="C61" s="73">
        <v>0</v>
      </c>
      <c r="D61" s="74">
        <v>135330133.84</v>
      </c>
      <c r="E61" s="75">
        <v>0</v>
      </c>
      <c r="F61" s="113">
        <v>0</v>
      </c>
      <c r="G61" s="75">
        <f t="shared" si="2"/>
        <v>0</v>
      </c>
      <c r="H61" s="77">
        <f t="shared" si="5"/>
        <v>135330133.84</v>
      </c>
      <c r="I61" s="231">
        <f t="shared" si="6"/>
        <v>-135330133.84</v>
      </c>
    </row>
    <row r="62" spans="1:9" ht="31.2" customHeight="1">
      <c r="A62" s="71">
        <v>329</v>
      </c>
      <c r="B62" s="72" t="s">
        <v>45</v>
      </c>
      <c r="C62" s="73">
        <v>11055995083</v>
      </c>
      <c r="D62" s="74">
        <v>0</v>
      </c>
      <c r="E62" s="75">
        <v>0</v>
      </c>
      <c r="F62" s="113">
        <v>0</v>
      </c>
      <c r="G62" s="75">
        <f t="shared" si="2"/>
        <v>11055995083</v>
      </c>
      <c r="H62" s="77">
        <v>0</v>
      </c>
      <c r="I62" s="245">
        <f t="shared" si="1"/>
        <v>11055995083</v>
      </c>
    </row>
    <row r="63" spans="1:9" ht="31.2" customHeight="1">
      <c r="A63" s="71">
        <v>331</v>
      </c>
      <c r="B63" s="72" t="s">
        <v>256</v>
      </c>
      <c r="C63" s="73">
        <v>0</v>
      </c>
      <c r="D63" s="74">
        <v>2551807669</v>
      </c>
      <c r="E63" s="75">
        <v>0</v>
      </c>
      <c r="F63" s="113">
        <v>0</v>
      </c>
      <c r="G63" s="75">
        <f t="shared" si="2"/>
        <v>0</v>
      </c>
      <c r="H63" s="77">
        <f>D63+F63-E63</f>
        <v>2551807669</v>
      </c>
      <c r="I63" s="245">
        <f t="shared" ref="I63:I72" si="7">-H63</f>
        <v>-2551807669</v>
      </c>
    </row>
    <row r="64" spans="1:9" ht="31.2" customHeight="1">
      <c r="A64" s="71">
        <v>401.03</v>
      </c>
      <c r="B64" s="72" t="s">
        <v>47</v>
      </c>
      <c r="C64" s="74">
        <v>0</v>
      </c>
      <c r="D64" s="73">
        <v>855175200</v>
      </c>
      <c r="E64" s="75">
        <v>855175200</v>
      </c>
      <c r="F64" s="113">
        <v>1191574800</v>
      </c>
      <c r="G64" s="75">
        <v>0</v>
      </c>
      <c r="H64" s="77">
        <f t="shared" ref="H64:H81" si="8">D64+F64-E64</f>
        <v>1191574800</v>
      </c>
      <c r="I64" s="232">
        <f t="shared" si="7"/>
        <v>-1191574800</v>
      </c>
    </row>
    <row r="65" spans="1:9" ht="31.2" customHeight="1">
      <c r="A65" s="71">
        <v>401.04</v>
      </c>
      <c r="B65" s="72" t="s">
        <v>48</v>
      </c>
      <c r="C65" s="74">
        <v>0</v>
      </c>
      <c r="D65" s="73">
        <v>87150000</v>
      </c>
      <c r="E65" s="75">
        <v>87324300</v>
      </c>
      <c r="F65" s="113">
        <v>169888050</v>
      </c>
      <c r="G65" s="75">
        <v>0</v>
      </c>
      <c r="H65" s="77">
        <f t="shared" si="8"/>
        <v>169713750</v>
      </c>
      <c r="I65" s="232">
        <f t="shared" si="7"/>
        <v>-169713750</v>
      </c>
    </row>
    <row r="66" spans="1:9" ht="31.2" customHeight="1">
      <c r="A66" s="71">
        <v>401.05</v>
      </c>
      <c r="B66" s="72" t="s">
        <v>46</v>
      </c>
      <c r="C66" s="74">
        <v>0</v>
      </c>
      <c r="D66" s="73">
        <v>371549000</v>
      </c>
      <c r="E66" s="75">
        <v>372292098</v>
      </c>
      <c r="F66" s="113">
        <v>626306392.33000004</v>
      </c>
      <c r="G66" s="75">
        <v>0</v>
      </c>
      <c r="H66" s="77">
        <f t="shared" si="8"/>
        <v>625563294.33000004</v>
      </c>
      <c r="I66" s="232">
        <f t="shared" si="7"/>
        <v>-625563294.33000004</v>
      </c>
    </row>
    <row r="67" spans="1:9" ht="31.2" customHeight="1">
      <c r="A67" s="71">
        <v>401.06</v>
      </c>
      <c r="B67" s="72" t="s">
        <v>49</v>
      </c>
      <c r="C67" s="74">
        <v>0</v>
      </c>
      <c r="D67" s="73">
        <v>151580212.5</v>
      </c>
      <c r="E67" s="75">
        <v>151580212.5</v>
      </c>
      <c r="F67" s="113">
        <v>194357475</v>
      </c>
      <c r="G67" s="75">
        <v>0</v>
      </c>
      <c r="H67" s="77">
        <f t="shared" si="8"/>
        <v>194357475</v>
      </c>
      <c r="I67" s="232">
        <f t="shared" si="7"/>
        <v>-194357475</v>
      </c>
    </row>
    <row r="68" spans="1:9" ht="31.2" customHeight="1">
      <c r="A68" s="71">
        <v>402.01</v>
      </c>
      <c r="B68" s="72" t="s">
        <v>235</v>
      </c>
      <c r="C68" s="74">
        <v>0</v>
      </c>
      <c r="D68" s="73">
        <v>8013709.9000000022</v>
      </c>
      <c r="E68" s="75">
        <v>8013709.9000000004</v>
      </c>
      <c r="F68" s="113">
        <v>9623305.1999999993</v>
      </c>
      <c r="G68" s="75">
        <v>0</v>
      </c>
      <c r="H68" s="77">
        <f t="shared" si="8"/>
        <v>9623305.2000000011</v>
      </c>
      <c r="I68" s="232">
        <f t="shared" si="7"/>
        <v>-9623305.2000000011</v>
      </c>
    </row>
    <row r="69" spans="1:9" ht="31.2" customHeight="1">
      <c r="A69" s="71">
        <v>402.02</v>
      </c>
      <c r="B69" s="72" t="s">
        <v>234</v>
      </c>
      <c r="C69" s="74">
        <v>0</v>
      </c>
      <c r="D69" s="73">
        <v>2091143.1999999995</v>
      </c>
      <c r="E69" s="75">
        <v>2091143.2</v>
      </c>
      <c r="F69" s="113">
        <v>8855917.1999999993</v>
      </c>
      <c r="G69" s="75">
        <v>0</v>
      </c>
      <c r="H69" s="77">
        <f t="shared" si="8"/>
        <v>8855917.1999999993</v>
      </c>
      <c r="I69" s="232">
        <f t="shared" si="7"/>
        <v>-8855917.1999999993</v>
      </c>
    </row>
    <row r="70" spans="1:9" ht="31.2" customHeight="1">
      <c r="A70" s="71">
        <v>402.05</v>
      </c>
      <c r="B70" s="72" t="s">
        <v>50</v>
      </c>
      <c r="C70" s="74">
        <v>0</v>
      </c>
      <c r="D70" s="73">
        <v>70000</v>
      </c>
      <c r="E70" s="75">
        <v>0</v>
      </c>
      <c r="F70" s="113">
        <v>0</v>
      </c>
      <c r="G70" s="75">
        <v>0</v>
      </c>
      <c r="H70" s="77">
        <f t="shared" si="8"/>
        <v>70000</v>
      </c>
      <c r="I70" s="232">
        <f t="shared" si="7"/>
        <v>-70000</v>
      </c>
    </row>
    <row r="71" spans="1:9" ht="31.2" customHeight="1">
      <c r="A71" s="71">
        <v>402.07</v>
      </c>
      <c r="B71" s="72" t="s">
        <v>51</v>
      </c>
      <c r="C71" s="74">
        <v>0</v>
      </c>
      <c r="D71" s="73">
        <v>14876424</v>
      </c>
      <c r="E71" s="75">
        <v>14515192</v>
      </c>
      <c r="F71" s="113">
        <v>14509200</v>
      </c>
      <c r="G71" s="75">
        <v>0</v>
      </c>
      <c r="H71" s="77">
        <f t="shared" si="8"/>
        <v>14870432</v>
      </c>
      <c r="I71" s="232">
        <f t="shared" si="7"/>
        <v>-14870432</v>
      </c>
    </row>
    <row r="72" spans="1:9" ht="31.2" customHeight="1">
      <c r="A72" s="79">
        <v>402.08</v>
      </c>
      <c r="B72" s="72" t="s">
        <v>52</v>
      </c>
      <c r="C72" s="74">
        <v>0</v>
      </c>
      <c r="D72" s="73">
        <v>60000</v>
      </c>
      <c r="E72" s="75">
        <v>0</v>
      </c>
      <c r="F72" s="113">
        <v>0</v>
      </c>
      <c r="G72" s="75">
        <v>0</v>
      </c>
      <c r="H72" s="77">
        <f t="shared" si="8"/>
        <v>60000</v>
      </c>
      <c r="I72" s="232">
        <f t="shared" si="7"/>
        <v>-60000</v>
      </c>
    </row>
    <row r="73" spans="1:9" ht="31.2" customHeight="1">
      <c r="A73" s="71">
        <v>402.12</v>
      </c>
      <c r="B73" s="72" t="s">
        <v>54</v>
      </c>
      <c r="C73" s="73">
        <v>0</v>
      </c>
      <c r="D73" s="74">
        <v>6770800.000000014</v>
      </c>
      <c r="E73" s="75">
        <v>6770800</v>
      </c>
      <c r="F73" s="113">
        <v>0</v>
      </c>
      <c r="G73" s="75">
        <v>0</v>
      </c>
      <c r="H73" s="77">
        <f t="shared" si="8"/>
        <v>1.3969838619232178E-8</v>
      </c>
      <c r="I73" s="232">
        <f t="shared" ref="I73" si="9">H73</f>
        <v>1.3969838619232178E-8</v>
      </c>
    </row>
    <row r="74" spans="1:9" ht="31.2" customHeight="1">
      <c r="A74" s="71">
        <v>402.14</v>
      </c>
      <c r="B74" s="72" t="s">
        <v>55</v>
      </c>
      <c r="C74" s="73">
        <v>0</v>
      </c>
      <c r="D74" s="74">
        <v>163061600</v>
      </c>
      <c r="E74" s="75">
        <v>163061600</v>
      </c>
      <c r="F74" s="113">
        <v>677775600</v>
      </c>
      <c r="G74" s="75">
        <v>0</v>
      </c>
      <c r="H74" s="77">
        <f t="shared" si="8"/>
        <v>677775600</v>
      </c>
      <c r="I74" s="232">
        <f>-H74</f>
        <v>-677775600</v>
      </c>
    </row>
    <row r="75" spans="1:9" ht="31.2" customHeight="1">
      <c r="A75" s="71">
        <v>402.15</v>
      </c>
      <c r="B75" s="72" t="s">
        <v>56</v>
      </c>
      <c r="C75" s="74">
        <v>0</v>
      </c>
      <c r="D75" s="73">
        <v>19466050</v>
      </c>
      <c r="E75" s="75">
        <v>19466050</v>
      </c>
      <c r="F75" s="113">
        <v>8475000</v>
      </c>
      <c r="G75" s="75">
        <v>0</v>
      </c>
      <c r="H75" s="77">
        <f t="shared" si="8"/>
        <v>8475000</v>
      </c>
      <c r="I75" s="232">
        <f>-H75</f>
        <v>-8475000</v>
      </c>
    </row>
    <row r="76" spans="1:9" ht="31.2" customHeight="1">
      <c r="A76" s="71">
        <v>402.16</v>
      </c>
      <c r="B76" s="72" t="s">
        <v>53</v>
      </c>
      <c r="C76" s="74">
        <v>0</v>
      </c>
      <c r="D76" s="73">
        <v>21160380.000000015</v>
      </c>
      <c r="E76" s="75">
        <v>21160380</v>
      </c>
      <c r="F76" s="113">
        <v>0</v>
      </c>
      <c r="G76" s="75">
        <v>0</v>
      </c>
      <c r="H76" s="77">
        <f t="shared" si="8"/>
        <v>0</v>
      </c>
      <c r="I76" s="232">
        <f t="shared" ref="I76:I84" si="10">-H76</f>
        <v>0</v>
      </c>
    </row>
    <row r="77" spans="1:9" ht="31.2" customHeight="1">
      <c r="A77" s="71">
        <v>402.17</v>
      </c>
      <c r="B77" s="72" t="s">
        <v>57</v>
      </c>
      <c r="C77" s="74">
        <v>0</v>
      </c>
      <c r="D77" s="73">
        <v>19000000</v>
      </c>
      <c r="E77" s="75">
        <v>0</v>
      </c>
      <c r="F77" s="113">
        <v>57114000</v>
      </c>
      <c r="G77" s="75">
        <v>0</v>
      </c>
      <c r="H77" s="77">
        <f t="shared" si="8"/>
        <v>76114000</v>
      </c>
      <c r="I77" s="232">
        <f t="shared" si="10"/>
        <v>-76114000</v>
      </c>
    </row>
    <row r="78" spans="1:9" ht="31.2" customHeight="1">
      <c r="A78" s="71">
        <v>402.18</v>
      </c>
      <c r="B78" s="72" t="s">
        <v>320</v>
      </c>
      <c r="C78" s="74">
        <v>0</v>
      </c>
      <c r="D78" s="73">
        <v>125670062.86</v>
      </c>
      <c r="E78" s="75">
        <v>125670062.86</v>
      </c>
      <c r="F78" s="113">
        <v>270520177.30000001</v>
      </c>
      <c r="G78" s="75">
        <v>0</v>
      </c>
      <c r="H78" s="77">
        <f t="shared" si="8"/>
        <v>270520177.30000001</v>
      </c>
      <c r="I78" s="232">
        <f t="shared" si="10"/>
        <v>-270520177.30000001</v>
      </c>
    </row>
    <row r="79" spans="1:9" ht="31.2" customHeight="1">
      <c r="A79" s="90">
        <v>4042</v>
      </c>
      <c r="B79" s="72" t="s">
        <v>247</v>
      </c>
      <c r="C79" s="74">
        <v>0</v>
      </c>
      <c r="D79" s="73">
        <v>98315974.900000006</v>
      </c>
      <c r="E79" s="75">
        <v>5629603.5</v>
      </c>
      <c r="F79" s="113">
        <v>0</v>
      </c>
      <c r="G79" s="75">
        <v>0</v>
      </c>
      <c r="H79" s="77">
        <f t="shared" si="8"/>
        <v>92686371.400000006</v>
      </c>
      <c r="I79" s="232">
        <f t="shared" si="10"/>
        <v>-92686371.400000006</v>
      </c>
    </row>
    <row r="80" spans="1:9" ht="31.2" customHeight="1">
      <c r="A80" s="71">
        <v>4201</v>
      </c>
      <c r="B80" s="72" t="s">
        <v>59</v>
      </c>
      <c r="C80" s="74">
        <v>0</v>
      </c>
      <c r="D80" s="73">
        <v>200112931.19999999</v>
      </c>
      <c r="E80" s="75">
        <v>200265798.66</v>
      </c>
      <c r="F80" s="113">
        <v>227598296.68000001</v>
      </c>
      <c r="G80" s="75">
        <v>0</v>
      </c>
      <c r="H80" s="77">
        <f t="shared" si="8"/>
        <v>227445429.22</v>
      </c>
      <c r="I80" s="232">
        <f t="shared" si="10"/>
        <v>-227445429.22</v>
      </c>
    </row>
    <row r="81" spans="1:9" ht="31.2" customHeight="1">
      <c r="A81" s="71">
        <v>4221</v>
      </c>
      <c r="B81" s="72" t="s">
        <v>60</v>
      </c>
      <c r="C81" s="74">
        <v>0</v>
      </c>
      <c r="D81" s="73">
        <v>11198132.73</v>
      </c>
      <c r="E81" s="75">
        <v>11438096</v>
      </c>
      <c r="F81" s="113">
        <v>10503177</v>
      </c>
      <c r="G81" s="75">
        <v>0</v>
      </c>
      <c r="H81" s="77">
        <f t="shared" si="8"/>
        <v>10263213.73</v>
      </c>
      <c r="I81" s="232">
        <f t="shared" si="10"/>
        <v>-10263213.73</v>
      </c>
    </row>
    <row r="82" spans="1:9" ht="31.2" customHeight="1">
      <c r="A82" s="71">
        <v>430</v>
      </c>
      <c r="B82" s="72" t="s">
        <v>61</v>
      </c>
      <c r="C82" s="74">
        <v>0</v>
      </c>
      <c r="D82" s="73">
        <v>15120522.77</v>
      </c>
      <c r="E82" s="75">
        <v>12121227</v>
      </c>
      <c r="F82" s="113">
        <v>11948913.32</v>
      </c>
      <c r="G82" s="75">
        <v>0</v>
      </c>
      <c r="H82" s="77">
        <f>D82+F82-E82</f>
        <v>14948209.09</v>
      </c>
      <c r="I82" s="232">
        <f t="shared" si="10"/>
        <v>-14948209.09</v>
      </c>
    </row>
    <row r="83" spans="1:9" ht="31.2" customHeight="1">
      <c r="A83" s="71" t="s">
        <v>239</v>
      </c>
      <c r="B83" s="72" t="s">
        <v>62</v>
      </c>
      <c r="C83" s="74">
        <v>0</v>
      </c>
      <c r="D83" s="73">
        <v>0</v>
      </c>
      <c r="E83" s="75">
        <v>323547615.26999998</v>
      </c>
      <c r="F83" s="113">
        <v>323547615.26999998</v>
      </c>
      <c r="G83" s="75">
        <v>0</v>
      </c>
      <c r="H83" s="77">
        <f t="shared" ref="H83:H87" si="11">D83+F83-E83</f>
        <v>0</v>
      </c>
      <c r="I83" s="232">
        <f t="shared" si="10"/>
        <v>0</v>
      </c>
    </row>
    <row r="84" spans="1:9" ht="31.2" customHeight="1">
      <c r="A84" s="71">
        <v>433.01</v>
      </c>
      <c r="B84" s="72" t="s">
        <v>63</v>
      </c>
      <c r="C84" s="74">
        <v>0</v>
      </c>
      <c r="D84" s="73">
        <v>142199001.81</v>
      </c>
      <c r="E84" s="75">
        <v>106695669</v>
      </c>
      <c r="F84" s="113">
        <v>169859781.41</v>
      </c>
      <c r="G84" s="75">
        <v>0</v>
      </c>
      <c r="H84" s="77">
        <f>D84+F84-E84</f>
        <v>205363114.22000003</v>
      </c>
      <c r="I84" s="232">
        <f t="shared" si="10"/>
        <v>-205363114.22000003</v>
      </c>
    </row>
    <row r="85" spans="1:9" ht="31.2" customHeight="1">
      <c r="A85" s="71" t="s">
        <v>238</v>
      </c>
      <c r="B85" s="72" t="s">
        <v>64</v>
      </c>
      <c r="C85" s="74">
        <v>0</v>
      </c>
      <c r="D85" s="73">
        <v>0</v>
      </c>
      <c r="E85" s="75">
        <v>40000000</v>
      </c>
      <c r="F85" s="113">
        <v>40000000</v>
      </c>
      <c r="G85" s="75">
        <v>0</v>
      </c>
      <c r="H85" s="77">
        <f t="shared" si="11"/>
        <v>0</v>
      </c>
      <c r="I85" s="231">
        <f>-H85</f>
        <v>0</v>
      </c>
    </row>
    <row r="86" spans="1:9" ht="31.2" customHeight="1">
      <c r="A86" s="71" t="s">
        <v>321</v>
      </c>
      <c r="B86" s="72" t="s">
        <v>322</v>
      </c>
      <c r="C86" s="74">
        <v>0</v>
      </c>
      <c r="D86" s="73">
        <v>0</v>
      </c>
      <c r="E86" s="75">
        <v>1129700000</v>
      </c>
      <c r="F86" s="113">
        <v>1129700000</v>
      </c>
      <c r="G86" s="75">
        <v>0</v>
      </c>
      <c r="H86" s="77">
        <f t="shared" si="11"/>
        <v>0</v>
      </c>
      <c r="I86" s="231">
        <f t="shared" ref="I86:I87" si="12">-H86</f>
        <v>0</v>
      </c>
    </row>
    <row r="87" spans="1:9" ht="31.2" customHeight="1">
      <c r="A87" s="71" t="s">
        <v>237</v>
      </c>
      <c r="B87" s="72" t="s">
        <v>65</v>
      </c>
      <c r="C87" s="73">
        <v>0</v>
      </c>
      <c r="D87" s="74">
        <v>0</v>
      </c>
      <c r="E87" s="75">
        <v>617233285</v>
      </c>
      <c r="F87" s="113">
        <v>617233285</v>
      </c>
      <c r="G87" s="75">
        <v>0</v>
      </c>
      <c r="H87" s="77">
        <f t="shared" si="11"/>
        <v>0</v>
      </c>
      <c r="I87" s="231">
        <f t="shared" si="12"/>
        <v>0</v>
      </c>
    </row>
    <row r="88" spans="1:9" ht="31.2" customHeight="1">
      <c r="A88" s="71" t="s">
        <v>236</v>
      </c>
      <c r="B88" s="72" t="s">
        <v>66</v>
      </c>
      <c r="C88" s="74">
        <v>4689771815.0799999</v>
      </c>
      <c r="D88" s="73">
        <v>0</v>
      </c>
      <c r="E88" s="223">
        <v>3574035155.0300002</v>
      </c>
      <c r="F88" s="113">
        <v>0</v>
      </c>
      <c r="G88" s="75">
        <f>C88+E88-F88</f>
        <v>8263806970.1100006</v>
      </c>
      <c r="H88" s="77">
        <v>0</v>
      </c>
      <c r="I88" s="201">
        <f>G88</f>
        <v>8263806970.1100006</v>
      </c>
    </row>
    <row r="89" spans="1:9" ht="31.2" customHeight="1">
      <c r="A89" s="71">
        <v>606.01</v>
      </c>
      <c r="B89" s="72" t="s">
        <v>67</v>
      </c>
      <c r="C89" s="74">
        <v>8399132.4800000004</v>
      </c>
      <c r="D89" s="73">
        <v>0</v>
      </c>
      <c r="E89" s="223">
        <v>3628965.02</v>
      </c>
      <c r="F89" s="113">
        <v>0</v>
      </c>
      <c r="G89" s="75">
        <f t="shared" ref="G89:G123" si="13">C89+E89-F89</f>
        <v>12028097.5</v>
      </c>
      <c r="H89" s="77">
        <v>0</v>
      </c>
      <c r="I89" s="201">
        <f t="shared" ref="I89:I113" si="14">G89</f>
        <v>12028097.5</v>
      </c>
    </row>
    <row r="90" spans="1:9" ht="31.2" customHeight="1">
      <c r="A90" s="71">
        <v>606.02</v>
      </c>
      <c r="B90" s="72" t="s">
        <v>68</v>
      </c>
      <c r="C90" s="74">
        <v>1520000</v>
      </c>
      <c r="D90" s="73">
        <v>0</v>
      </c>
      <c r="E90" s="223">
        <v>598500</v>
      </c>
      <c r="F90" s="113">
        <v>0</v>
      </c>
      <c r="G90" s="75">
        <f t="shared" si="13"/>
        <v>2118500</v>
      </c>
      <c r="H90" s="77">
        <v>0</v>
      </c>
      <c r="I90" s="201">
        <f t="shared" si="14"/>
        <v>2118500</v>
      </c>
    </row>
    <row r="91" spans="1:9" ht="31.2" customHeight="1">
      <c r="A91" s="71">
        <v>606.03</v>
      </c>
      <c r="B91" s="72" t="s">
        <v>69</v>
      </c>
      <c r="C91" s="74">
        <v>27364054.190000001</v>
      </c>
      <c r="D91" s="73">
        <v>0</v>
      </c>
      <c r="E91" s="223">
        <v>12300000</v>
      </c>
      <c r="F91" s="113">
        <v>0</v>
      </c>
      <c r="G91" s="75">
        <f t="shared" si="13"/>
        <v>39664054.189999998</v>
      </c>
      <c r="H91" s="77">
        <v>0</v>
      </c>
      <c r="I91" s="201">
        <f t="shared" si="14"/>
        <v>39664054.189999998</v>
      </c>
    </row>
    <row r="92" spans="1:9" ht="31.2" customHeight="1">
      <c r="A92" s="71">
        <v>606.04</v>
      </c>
      <c r="B92" s="72" t="s">
        <v>70</v>
      </c>
      <c r="C92" s="74">
        <v>8250100</v>
      </c>
      <c r="D92" s="73">
        <v>0</v>
      </c>
      <c r="E92" s="223">
        <v>2511000</v>
      </c>
      <c r="F92" s="113">
        <v>0</v>
      </c>
      <c r="G92" s="75">
        <f t="shared" si="13"/>
        <v>10761100</v>
      </c>
      <c r="H92" s="77">
        <v>0</v>
      </c>
      <c r="I92" s="201">
        <f t="shared" si="14"/>
        <v>10761100</v>
      </c>
    </row>
    <row r="93" spans="1:9" ht="31.2" customHeight="1">
      <c r="A93" s="71">
        <v>606.04999999999995</v>
      </c>
      <c r="B93" s="72" t="s">
        <v>323</v>
      </c>
      <c r="C93" s="74">
        <v>680000</v>
      </c>
      <c r="D93" s="73">
        <v>0</v>
      </c>
      <c r="E93" s="223">
        <v>150000</v>
      </c>
      <c r="F93" s="113">
        <v>0</v>
      </c>
      <c r="G93" s="75">
        <f t="shared" si="13"/>
        <v>830000</v>
      </c>
      <c r="H93" s="77">
        <v>0</v>
      </c>
      <c r="I93" s="201">
        <f t="shared" si="14"/>
        <v>830000</v>
      </c>
    </row>
    <row r="94" spans="1:9" ht="31.2" customHeight="1">
      <c r="A94" s="71">
        <v>606.05999999999995</v>
      </c>
      <c r="B94" s="72" t="s">
        <v>72</v>
      </c>
      <c r="C94" s="74">
        <v>27937550</v>
      </c>
      <c r="D94" s="73">
        <v>0</v>
      </c>
      <c r="E94" s="223">
        <v>8475000</v>
      </c>
      <c r="F94" s="113">
        <v>0</v>
      </c>
      <c r="G94" s="75">
        <f t="shared" si="13"/>
        <v>36412550</v>
      </c>
      <c r="H94" s="77">
        <v>0</v>
      </c>
      <c r="I94" s="201">
        <f t="shared" si="14"/>
        <v>36412550</v>
      </c>
    </row>
    <row r="95" spans="1:9" ht="31.2" customHeight="1">
      <c r="A95" s="71">
        <v>611.02</v>
      </c>
      <c r="B95" s="72" t="s">
        <v>73</v>
      </c>
      <c r="C95" s="74">
        <v>0</v>
      </c>
      <c r="D95" s="73">
        <v>0</v>
      </c>
      <c r="E95" s="223">
        <v>4485981</v>
      </c>
      <c r="F95" s="113">
        <v>0</v>
      </c>
      <c r="G95" s="75">
        <f t="shared" si="13"/>
        <v>4485981</v>
      </c>
      <c r="H95" s="77">
        <v>0</v>
      </c>
      <c r="I95" s="201">
        <f t="shared" si="14"/>
        <v>4485981</v>
      </c>
    </row>
    <row r="96" spans="1:9" ht="31.2" customHeight="1">
      <c r="A96" s="71">
        <v>611.04</v>
      </c>
      <c r="B96" s="72" t="s">
        <v>343</v>
      </c>
      <c r="C96" s="74">
        <v>31429312</v>
      </c>
      <c r="D96" s="73">
        <v>0</v>
      </c>
      <c r="E96" s="223">
        <v>13560000</v>
      </c>
      <c r="F96" s="113">
        <v>0</v>
      </c>
      <c r="G96" s="75">
        <f t="shared" si="13"/>
        <v>44989312</v>
      </c>
      <c r="H96" s="77">
        <v>0</v>
      </c>
      <c r="I96" s="201">
        <f t="shared" si="14"/>
        <v>44989312</v>
      </c>
    </row>
    <row r="97" spans="1:9" ht="31.2" customHeight="1">
      <c r="A97" s="71">
        <v>611.05999999999995</v>
      </c>
      <c r="B97" s="72" t="s">
        <v>74</v>
      </c>
      <c r="C97" s="74">
        <v>6770800</v>
      </c>
      <c r="D97" s="73">
        <v>0</v>
      </c>
      <c r="E97" s="223">
        <v>0</v>
      </c>
      <c r="F97" s="113">
        <v>0</v>
      </c>
      <c r="G97" s="75">
        <f t="shared" si="13"/>
        <v>6770800</v>
      </c>
      <c r="H97" s="77">
        <v>0</v>
      </c>
      <c r="I97" s="201">
        <f t="shared" si="14"/>
        <v>6770800</v>
      </c>
    </row>
    <row r="98" spans="1:9" ht="31.2" customHeight="1">
      <c r="A98" s="71">
        <v>611.07000000000005</v>
      </c>
      <c r="B98" s="72" t="s">
        <v>222</v>
      </c>
      <c r="C98" s="74">
        <v>74630296.650000006</v>
      </c>
      <c r="D98" s="74">
        <v>0</v>
      </c>
      <c r="E98" s="223">
        <v>0</v>
      </c>
      <c r="F98" s="113">
        <v>0</v>
      </c>
      <c r="G98" s="75">
        <f t="shared" si="13"/>
        <v>74630296.650000006</v>
      </c>
      <c r="H98" s="77">
        <v>0</v>
      </c>
      <c r="I98" s="201">
        <f t="shared" si="14"/>
        <v>74630296.650000006</v>
      </c>
    </row>
    <row r="99" spans="1:9" ht="31.2" customHeight="1">
      <c r="A99" s="71">
        <v>612.01</v>
      </c>
      <c r="B99" s="72" t="s">
        <v>75</v>
      </c>
      <c r="C99" s="74">
        <v>24117133.5</v>
      </c>
      <c r="D99" s="73">
        <v>0</v>
      </c>
      <c r="E99" s="223">
        <v>12069247.5</v>
      </c>
      <c r="F99" s="113">
        <v>0</v>
      </c>
      <c r="G99" s="75">
        <f t="shared" si="13"/>
        <v>36186381</v>
      </c>
      <c r="H99" s="77">
        <v>0</v>
      </c>
      <c r="I99" s="201">
        <f t="shared" si="14"/>
        <v>36186381</v>
      </c>
    </row>
    <row r="100" spans="1:9" ht="31.2" customHeight="1">
      <c r="A100" s="71">
        <v>612.04</v>
      </c>
      <c r="B100" s="72" t="s">
        <v>77</v>
      </c>
      <c r="C100" s="74">
        <v>57816090</v>
      </c>
      <c r="D100" s="73">
        <v>0</v>
      </c>
      <c r="E100" s="223">
        <v>28933650</v>
      </c>
      <c r="F100" s="113">
        <v>0</v>
      </c>
      <c r="G100" s="75">
        <f t="shared" si="13"/>
        <v>86749740</v>
      </c>
      <c r="H100" s="77">
        <v>0</v>
      </c>
      <c r="I100" s="201">
        <f t="shared" si="14"/>
        <v>86749740</v>
      </c>
    </row>
    <row r="101" spans="1:9" ht="31.2" customHeight="1">
      <c r="A101" s="71" t="s">
        <v>291</v>
      </c>
      <c r="B101" s="72" t="s">
        <v>292</v>
      </c>
      <c r="C101" s="74">
        <v>850000</v>
      </c>
      <c r="D101" s="73">
        <v>0</v>
      </c>
      <c r="E101" s="223">
        <v>0</v>
      </c>
      <c r="F101" s="113">
        <v>0</v>
      </c>
      <c r="G101" s="75">
        <f t="shared" si="13"/>
        <v>850000</v>
      </c>
      <c r="H101" s="77">
        <v>0</v>
      </c>
      <c r="I101" s="201">
        <f t="shared" si="14"/>
        <v>850000</v>
      </c>
    </row>
    <row r="102" spans="1:9" ht="31.2" customHeight="1">
      <c r="A102" s="71">
        <v>614.01</v>
      </c>
      <c r="B102" s="72" t="s">
        <v>78</v>
      </c>
      <c r="C102" s="74">
        <v>300000</v>
      </c>
      <c r="D102" s="73">
        <v>0</v>
      </c>
      <c r="E102" s="223">
        <v>760000</v>
      </c>
      <c r="F102" s="113">
        <v>0</v>
      </c>
      <c r="G102" s="75">
        <f t="shared" si="13"/>
        <v>1060000</v>
      </c>
      <c r="H102" s="77">
        <v>0</v>
      </c>
      <c r="I102" s="201">
        <f t="shared" si="14"/>
        <v>1060000</v>
      </c>
    </row>
    <row r="103" spans="1:9" ht="31.2" customHeight="1">
      <c r="A103" s="71">
        <v>614.02</v>
      </c>
      <c r="B103" s="72" t="s">
        <v>79</v>
      </c>
      <c r="C103" s="74">
        <v>3391000</v>
      </c>
      <c r="D103" s="73">
        <v>0</v>
      </c>
      <c r="E103" s="223">
        <v>0</v>
      </c>
      <c r="F103" s="113">
        <v>0</v>
      </c>
      <c r="G103" s="75">
        <f t="shared" si="13"/>
        <v>3391000</v>
      </c>
      <c r="H103" s="77">
        <v>0</v>
      </c>
      <c r="I103" s="201">
        <f t="shared" si="14"/>
        <v>3391000</v>
      </c>
    </row>
    <row r="104" spans="1:9" ht="31.2" customHeight="1">
      <c r="A104" s="71">
        <v>621</v>
      </c>
      <c r="B104" s="72" t="s">
        <v>293</v>
      </c>
      <c r="C104" s="74">
        <v>2385782.63</v>
      </c>
      <c r="D104" s="73">
        <v>0</v>
      </c>
      <c r="E104" s="223">
        <v>70000</v>
      </c>
      <c r="F104" s="113">
        <v>0</v>
      </c>
      <c r="G104" s="75">
        <f t="shared" si="13"/>
        <v>2455782.63</v>
      </c>
      <c r="H104" s="77">
        <v>0</v>
      </c>
      <c r="I104" s="201">
        <f t="shared" si="14"/>
        <v>2455782.63</v>
      </c>
    </row>
    <row r="105" spans="1:9" ht="31.2" customHeight="1">
      <c r="A105" s="71" t="s">
        <v>337</v>
      </c>
      <c r="B105" s="72" t="s">
        <v>80</v>
      </c>
      <c r="C105" s="74">
        <v>0</v>
      </c>
      <c r="D105" s="73">
        <v>0</v>
      </c>
      <c r="E105" s="223">
        <v>600000</v>
      </c>
      <c r="F105" s="113">
        <v>0</v>
      </c>
      <c r="G105" s="75">
        <f t="shared" si="13"/>
        <v>600000</v>
      </c>
      <c r="H105" s="77">
        <v>0</v>
      </c>
      <c r="I105" s="201">
        <f t="shared" si="14"/>
        <v>600000</v>
      </c>
    </row>
    <row r="106" spans="1:9" ht="31.2" customHeight="1">
      <c r="A106" s="71">
        <v>622.01</v>
      </c>
      <c r="B106" s="72" t="s">
        <v>80</v>
      </c>
      <c r="C106" s="73">
        <v>1234000</v>
      </c>
      <c r="D106" s="74">
        <v>0</v>
      </c>
      <c r="E106" s="223">
        <v>700000</v>
      </c>
      <c r="F106" s="113">
        <v>0</v>
      </c>
      <c r="G106" s="75">
        <f t="shared" si="13"/>
        <v>1934000</v>
      </c>
      <c r="H106" s="77">
        <v>0</v>
      </c>
      <c r="I106" s="201">
        <f t="shared" si="14"/>
        <v>1934000</v>
      </c>
    </row>
    <row r="107" spans="1:9" ht="31.2" customHeight="1">
      <c r="A107" s="71">
        <v>623.01</v>
      </c>
      <c r="B107" s="72" t="s">
        <v>81</v>
      </c>
      <c r="C107" s="74">
        <v>2199601.34</v>
      </c>
      <c r="D107" s="74">
        <v>0</v>
      </c>
      <c r="E107" s="223">
        <v>1150000</v>
      </c>
      <c r="F107" s="113">
        <v>0</v>
      </c>
      <c r="G107" s="75">
        <f t="shared" si="13"/>
        <v>3349601.34</v>
      </c>
      <c r="H107" s="77">
        <v>0</v>
      </c>
      <c r="I107" s="201">
        <f t="shared" si="14"/>
        <v>3349601.34</v>
      </c>
    </row>
    <row r="108" spans="1:9" ht="31.2" customHeight="1">
      <c r="A108" s="71">
        <v>623.02</v>
      </c>
      <c r="B108" s="72" t="s">
        <v>82</v>
      </c>
      <c r="C108" s="74">
        <v>2635514</v>
      </c>
      <c r="D108" s="74">
        <v>0</v>
      </c>
      <c r="E108" s="223">
        <v>0</v>
      </c>
      <c r="F108" s="113">
        <v>0</v>
      </c>
      <c r="G108" s="75">
        <f t="shared" si="13"/>
        <v>2635514</v>
      </c>
      <c r="H108" s="77">
        <v>0</v>
      </c>
      <c r="I108" s="201">
        <f t="shared" si="14"/>
        <v>2635514</v>
      </c>
    </row>
    <row r="109" spans="1:9" ht="31.2" customHeight="1">
      <c r="A109" s="71">
        <v>624</v>
      </c>
      <c r="B109" s="72" t="s">
        <v>83</v>
      </c>
      <c r="C109" s="74">
        <v>7365900</v>
      </c>
      <c r="D109" s="73">
        <v>0</v>
      </c>
      <c r="E109" s="223">
        <v>0</v>
      </c>
      <c r="F109" s="113">
        <v>0</v>
      </c>
      <c r="G109" s="75">
        <f t="shared" si="13"/>
        <v>7365900</v>
      </c>
      <c r="H109" s="77">
        <v>0</v>
      </c>
      <c r="I109" s="201">
        <f t="shared" si="14"/>
        <v>7365900</v>
      </c>
    </row>
    <row r="110" spans="1:9" ht="31.2" customHeight="1">
      <c r="A110" s="71" t="s">
        <v>338</v>
      </c>
      <c r="B110" s="72" t="s">
        <v>344</v>
      </c>
      <c r="C110" s="73">
        <v>0</v>
      </c>
      <c r="D110" s="74">
        <v>0</v>
      </c>
      <c r="E110" s="223">
        <v>989475</v>
      </c>
      <c r="F110" s="113">
        <v>0</v>
      </c>
      <c r="G110" s="75">
        <f t="shared" si="13"/>
        <v>989475</v>
      </c>
      <c r="H110" s="77">
        <v>0</v>
      </c>
      <c r="I110" s="201">
        <f t="shared" si="14"/>
        <v>989475</v>
      </c>
    </row>
    <row r="111" spans="1:9" ht="31.2" customHeight="1">
      <c r="A111" s="71">
        <v>625.02</v>
      </c>
      <c r="B111" s="72" t="s">
        <v>85</v>
      </c>
      <c r="C111" s="73">
        <v>5090000</v>
      </c>
      <c r="D111" s="74">
        <v>0</v>
      </c>
      <c r="E111" s="223">
        <v>7249000</v>
      </c>
      <c r="F111" s="113">
        <v>0</v>
      </c>
      <c r="G111" s="75">
        <f t="shared" si="13"/>
        <v>12339000</v>
      </c>
      <c r="H111" s="77">
        <v>0</v>
      </c>
      <c r="I111" s="201">
        <f t="shared" si="14"/>
        <v>12339000</v>
      </c>
    </row>
    <row r="112" spans="1:9" ht="31.2" customHeight="1">
      <c r="A112" s="71">
        <v>627</v>
      </c>
      <c r="B112" s="72" t="s">
        <v>87</v>
      </c>
      <c r="C112" s="73">
        <v>851308.72999999975</v>
      </c>
      <c r="D112" s="74">
        <v>0</v>
      </c>
      <c r="E112" s="223">
        <v>273844.47999999998</v>
      </c>
      <c r="F112" s="113">
        <v>0</v>
      </c>
      <c r="G112" s="75">
        <f t="shared" si="13"/>
        <v>1125153.2099999997</v>
      </c>
      <c r="H112" s="77">
        <v>0</v>
      </c>
      <c r="I112" s="201">
        <f t="shared" si="14"/>
        <v>1125153.2099999997</v>
      </c>
    </row>
    <row r="113" spans="1:9" ht="31.2" customHeight="1">
      <c r="A113" s="71">
        <v>631</v>
      </c>
      <c r="B113" s="72" t="s">
        <v>294</v>
      </c>
      <c r="C113" s="73">
        <v>307920085.25</v>
      </c>
      <c r="D113" s="74">
        <v>0</v>
      </c>
      <c r="E113" s="223">
        <v>136901793</v>
      </c>
      <c r="F113" s="113">
        <v>0</v>
      </c>
      <c r="G113" s="75">
        <f t="shared" si="13"/>
        <v>444821878.25</v>
      </c>
      <c r="H113" s="77">
        <v>0</v>
      </c>
      <c r="I113" s="201">
        <f t="shared" si="14"/>
        <v>444821878.25</v>
      </c>
    </row>
    <row r="114" spans="1:9" ht="31.2" customHeight="1">
      <c r="A114" s="71" t="s">
        <v>252</v>
      </c>
      <c r="B114" s="72" t="s">
        <v>295</v>
      </c>
      <c r="C114" s="73">
        <v>2850000</v>
      </c>
      <c r="D114" s="74">
        <v>0</v>
      </c>
      <c r="E114" s="223">
        <v>0</v>
      </c>
      <c r="F114" s="113">
        <v>0</v>
      </c>
      <c r="G114" s="75">
        <f t="shared" si="13"/>
        <v>2850000</v>
      </c>
      <c r="H114" s="77">
        <v>0</v>
      </c>
      <c r="I114" s="201">
        <f t="shared" ref="I114:I123" si="15">G114</f>
        <v>2850000</v>
      </c>
    </row>
    <row r="115" spans="1:9" ht="31.2" customHeight="1">
      <c r="A115" s="71">
        <v>635</v>
      </c>
      <c r="B115" s="72" t="s">
        <v>89</v>
      </c>
      <c r="C115" s="73">
        <v>20864534.73</v>
      </c>
      <c r="D115" s="74">
        <v>0</v>
      </c>
      <c r="E115" s="223">
        <v>4828976</v>
      </c>
      <c r="F115" s="113">
        <v>0</v>
      </c>
      <c r="G115" s="75">
        <f t="shared" si="13"/>
        <v>25693510.73</v>
      </c>
      <c r="H115" s="77">
        <v>0</v>
      </c>
      <c r="I115" s="201">
        <f t="shared" si="15"/>
        <v>25693510.73</v>
      </c>
    </row>
    <row r="116" spans="1:9" ht="31.2" customHeight="1">
      <c r="A116" s="71" t="s">
        <v>296</v>
      </c>
      <c r="B116" s="72" t="s">
        <v>86</v>
      </c>
      <c r="C116" s="73">
        <v>9940000</v>
      </c>
      <c r="D116" s="74">
        <v>0</v>
      </c>
      <c r="E116" s="223">
        <v>4580000</v>
      </c>
      <c r="F116" s="113">
        <v>0</v>
      </c>
      <c r="G116" s="75">
        <f t="shared" si="13"/>
        <v>14520000</v>
      </c>
      <c r="H116" s="77">
        <v>0</v>
      </c>
      <c r="I116" s="201">
        <f t="shared" si="15"/>
        <v>14520000</v>
      </c>
    </row>
    <row r="117" spans="1:9" ht="31.2" customHeight="1">
      <c r="A117" s="71">
        <v>638.01</v>
      </c>
      <c r="B117" s="72" t="s">
        <v>341</v>
      </c>
      <c r="C117" s="73">
        <v>0</v>
      </c>
      <c r="D117" s="74">
        <v>0</v>
      </c>
      <c r="E117" s="240">
        <v>9570000</v>
      </c>
      <c r="F117" s="113">
        <v>0</v>
      </c>
      <c r="G117" s="75">
        <f t="shared" si="13"/>
        <v>9570000</v>
      </c>
      <c r="H117" s="77">
        <v>0</v>
      </c>
      <c r="I117" s="201">
        <f t="shared" si="15"/>
        <v>9570000</v>
      </c>
    </row>
    <row r="118" spans="1:9" ht="31.2" customHeight="1">
      <c r="A118" s="71" t="s">
        <v>324</v>
      </c>
      <c r="B118" s="72" t="s">
        <v>325</v>
      </c>
      <c r="C118" s="73">
        <v>750000</v>
      </c>
      <c r="D118" s="74">
        <v>0</v>
      </c>
      <c r="E118" s="240">
        <v>250000</v>
      </c>
      <c r="F118" s="113">
        <v>0</v>
      </c>
      <c r="G118" s="75">
        <f t="shared" si="13"/>
        <v>1000000</v>
      </c>
      <c r="H118" s="77">
        <v>0</v>
      </c>
      <c r="I118" s="201">
        <f t="shared" si="15"/>
        <v>1000000</v>
      </c>
    </row>
    <row r="119" spans="1:9" ht="31.2" customHeight="1">
      <c r="A119" s="71" t="s">
        <v>339</v>
      </c>
      <c r="B119" s="72" t="s">
        <v>92</v>
      </c>
      <c r="C119" s="73">
        <v>200000</v>
      </c>
      <c r="D119" s="74">
        <v>0</v>
      </c>
      <c r="E119" s="240">
        <v>0</v>
      </c>
      <c r="F119" s="113">
        <v>0</v>
      </c>
      <c r="G119" s="75">
        <f t="shared" si="13"/>
        <v>200000</v>
      </c>
      <c r="H119" s="77">
        <v>0</v>
      </c>
      <c r="I119" s="201">
        <f t="shared" si="15"/>
        <v>200000</v>
      </c>
    </row>
    <row r="120" spans="1:9" ht="31.2" customHeight="1">
      <c r="A120" s="160" t="s">
        <v>340</v>
      </c>
      <c r="B120" s="72" t="s">
        <v>93</v>
      </c>
      <c r="C120" s="73">
        <v>62879421.5</v>
      </c>
      <c r="D120" s="74">
        <v>0</v>
      </c>
      <c r="E120" s="240">
        <v>0</v>
      </c>
      <c r="F120" s="113">
        <v>0</v>
      </c>
      <c r="G120" s="75">
        <f t="shared" si="13"/>
        <v>62879421.5</v>
      </c>
      <c r="H120" s="77">
        <v>0</v>
      </c>
      <c r="I120" s="201">
        <f t="shared" si="15"/>
        <v>62879421.5</v>
      </c>
    </row>
    <row r="121" spans="1:9" ht="31.2" customHeight="1">
      <c r="A121" s="161" t="s">
        <v>326</v>
      </c>
      <c r="B121" s="72" t="s">
        <v>93</v>
      </c>
      <c r="C121" s="73">
        <v>60000.5</v>
      </c>
      <c r="D121" s="74">
        <v>0</v>
      </c>
      <c r="E121" s="240">
        <v>590000</v>
      </c>
      <c r="F121" s="113">
        <v>0</v>
      </c>
      <c r="G121" s="75">
        <f t="shared" si="13"/>
        <v>650000.5</v>
      </c>
      <c r="H121" s="77">
        <v>0</v>
      </c>
      <c r="I121" s="201">
        <f t="shared" si="15"/>
        <v>650000.5</v>
      </c>
    </row>
    <row r="122" spans="1:9" ht="31.2" customHeight="1">
      <c r="A122" s="161">
        <v>663</v>
      </c>
      <c r="B122" s="72" t="s">
        <v>94</v>
      </c>
      <c r="C122" s="73">
        <v>567753979.25</v>
      </c>
      <c r="D122" s="74">
        <v>0</v>
      </c>
      <c r="E122" s="240">
        <v>64858231.159999996</v>
      </c>
      <c r="F122" s="113">
        <v>0</v>
      </c>
      <c r="G122" s="75">
        <f t="shared" si="13"/>
        <v>632612210.40999997</v>
      </c>
      <c r="H122" s="77">
        <v>0</v>
      </c>
      <c r="I122" s="201">
        <f t="shared" si="15"/>
        <v>632612210.40999997</v>
      </c>
    </row>
    <row r="123" spans="1:9" ht="31.2" customHeight="1">
      <c r="A123" s="160">
        <v>682</v>
      </c>
      <c r="B123" s="72" t="s">
        <v>95</v>
      </c>
      <c r="C123" s="73">
        <v>30163404.940000001</v>
      </c>
      <c r="D123" s="74">
        <v>0</v>
      </c>
      <c r="E123" s="223">
        <v>14445300.83</v>
      </c>
      <c r="F123" s="113">
        <v>0</v>
      </c>
      <c r="G123" s="75">
        <f t="shared" si="13"/>
        <v>44608705.770000003</v>
      </c>
      <c r="H123" s="77">
        <v>0</v>
      </c>
      <c r="I123" s="201">
        <f t="shared" si="15"/>
        <v>44608705.770000003</v>
      </c>
    </row>
    <row r="124" spans="1:9" ht="31.2" customHeight="1">
      <c r="A124" s="193">
        <v>701.01</v>
      </c>
      <c r="B124" s="72" t="s">
        <v>96</v>
      </c>
      <c r="C124" s="73">
        <v>0</v>
      </c>
      <c r="D124" s="74">
        <v>5407089674.1999998</v>
      </c>
      <c r="E124" s="203">
        <v>0</v>
      </c>
      <c r="F124" s="113">
        <v>4458050173.7399998</v>
      </c>
      <c r="G124" s="75">
        <v>0</v>
      </c>
      <c r="H124" s="77">
        <f>D124+F124-E124</f>
        <v>9865139847.9399986</v>
      </c>
      <c r="I124" s="43">
        <f t="shared" ref="I124:I131" si="16">-H124</f>
        <v>-9865139847.9399986</v>
      </c>
    </row>
    <row r="125" spans="1:9" ht="31.2" customHeight="1">
      <c r="A125" s="160">
        <v>701.03</v>
      </c>
      <c r="B125" s="72" t="s">
        <v>97</v>
      </c>
      <c r="C125" s="73">
        <v>0</v>
      </c>
      <c r="D125" s="74">
        <v>876219338.38</v>
      </c>
      <c r="E125" s="203">
        <v>0</v>
      </c>
      <c r="F125" s="113">
        <v>93296034.629999995</v>
      </c>
      <c r="G125" s="75">
        <v>0</v>
      </c>
      <c r="H125" s="77">
        <f t="shared" ref="H125:H131" si="17">D125+F125-E125</f>
        <v>969515373.00999999</v>
      </c>
      <c r="I125" s="43">
        <f t="shared" si="16"/>
        <v>-969515373.00999999</v>
      </c>
    </row>
    <row r="126" spans="1:9" ht="31.2" customHeight="1">
      <c r="A126" s="71" t="s">
        <v>329</v>
      </c>
      <c r="B126" s="72" t="s">
        <v>298</v>
      </c>
      <c r="C126" s="73">
        <v>0</v>
      </c>
      <c r="D126" s="74">
        <v>6015000</v>
      </c>
      <c r="E126" s="203">
        <v>0</v>
      </c>
      <c r="F126" s="113">
        <v>8637990.6600000001</v>
      </c>
      <c r="G126" s="75">
        <v>0</v>
      </c>
      <c r="H126" s="77">
        <f t="shared" si="17"/>
        <v>14652990.66</v>
      </c>
      <c r="I126" s="43">
        <f t="shared" si="16"/>
        <v>-14652990.66</v>
      </c>
    </row>
    <row r="127" spans="1:9" ht="31.2" customHeight="1">
      <c r="A127" s="71" t="s">
        <v>330</v>
      </c>
      <c r="B127" s="72" t="s">
        <v>331</v>
      </c>
      <c r="C127" s="73">
        <v>0</v>
      </c>
      <c r="D127" s="74">
        <v>802074733.71000004</v>
      </c>
      <c r="E127" s="203">
        <v>0</v>
      </c>
      <c r="F127" s="113">
        <v>66019625.700000003</v>
      </c>
      <c r="G127" s="75">
        <v>0</v>
      </c>
      <c r="H127" s="77">
        <f t="shared" si="17"/>
        <v>868094359.41000009</v>
      </c>
      <c r="I127" s="43">
        <f t="shared" si="16"/>
        <v>-868094359.41000009</v>
      </c>
    </row>
    <row r="128" spans="1:9" ht="31.2" customHeight="1">
      <c r="A128" s="71">
        <v>763</v>
      </c>
      <c r="B128" s="72" t="s">
        <v>98</v>
      </c>
      <c r="C128" s="73">
        <v>0</v>
      </c>
      <c r="D128" s="74">
        <v>139292750.41000003</v>
      </c>
      <c r="E128" s="203">
        <v>0</v>
      </c>
      <c r="F128" s="113">
        <v>3985152.05</v>
      </c>
      <c r="G128" s="75">
        <v>0</v>
      </c>
      <c r="H128" s="77">
        <f t="shared" si="17"/>
        <v>143277902.46000004</v>
      </c>
      <c r="I128" s="43">
        <f t="shared" si="16"/>
        <v>-143277902.46000004</v>
      </c>
    </row>
    <row r="129" spans="1:9" ht="31.2" customHeight="1">
      <c r="A129" s="71">
        <v>768</v>
      </c>
      <c r="B129" s="72" t="s">
        <v>99</v>
      </c>
      <c r="C129" s="73">
        <v>0</v>
      </c>
      <c r="D129" s="74">
        <v>10160200</v>
      </c>
      <c r="E129" s="203">
        <v>0</v>
      </c>
      <c r="F129" s="113">
        <v>8475000</v>
      </c>
      <c r="G129" s="75">
        <v>0</v>
      </c>
      <c r="H129" s="77">
        <f t="shared" si="17"/>
        <v>18635200</v>
      </c>
      <c r="I129" s="43">
        <f t="shared" si="16"/>
        <v>-18635200</v>
      </c>
    </row>
    <row r="130" spans="1:9" ht="31.2" customHeight="1">
      <c r="A130" s="71" t="s">
        <v>299</v>
      </c>
      <c r="B130" s="72" t="s">
        <v>345</v>
      </c>
      <c r="C130" s="73">
        <v>0</v>
      </c>
      <c r="D130" s="74">
        <v>28922000</v>
      </c>
      <c r="E130" s="203">
        <v>0</v>
      </c>
      <c r="F130" s="113">
        <v>19230000</v>
      </c>
      <c r="G130" s="75">
        <v>0</v>
      </c>
      <c r="H130" s="77">
        <f t="shared" si="17"/>
        <v>48152000</v>
      </c>
      <c r="I130" s="43">
        <f t="shared" si="16"/>
        <v>-48152000</v>
      </c>
    </row>
    <row r="131" spans="1:9" ht="31.2" customHeight="1">
      <c r="A131" s="71" t="s">
        <v>327</v>
      </c>
      <c r="B131" s="72" t="s">
        <v>328</v>
      </c>
      <c r="C131" s="73">
        <v>0</v>
      </c>
      <c r="D131" s="74">
        <v>507500</v>
      </c>
      <c r="E131" s="203">
        <v>0</v>
      </c>
      <c r="F131" s="113">
        <v>0</v>
      </c>
      <c r="G131" s="75">
        <f t="shared" ref="G131" si="18">C131+E131-F131</f>
        <v>0</v>
      </c>
      <c r="H131" s="77">
        <f t="shared" si="17"/>
        <v>507500</v>
      </c>
      <c r="I131" s="43">
        <f t="shared" si="16"/>
        <v>-507500</v>
      </c>
    </row>
    <row r="132" spans="1:9" ht="31.2" customHeight="1">
      <c r="A132" s="50" t="s">
        <v>253</v>
      </c>
      <c r="B132" s="50"/>
      <c r="C132" s="51">
        <f t="shared" ref="C132:H132" si="19">SUM(C8:C131)</f>
        <v>39257723561.880013</v>
      </c>
      <c r="D132" s="51">
        <f t="shared" si="19"/>
        <v>39257723561.880005</v>
      </c>
      <c r="E132" s="52">
        <f t="shared" si="19"/>
        <v>28004726471.610004</v>
      </c>
      <c r="F132" s="52">
        <f t="shared" si="19"/>
        <v>28004726471.610008</v>
      </c>
      <c r="G132" s="52">
        <f t="shared" si="19"/>
        <v>45338298256.900002</v>
      </c>
      <c r="H132" s="52">
        <f t="shared" si="19"/>
        <v>45338298256.900009</v>
      </c>
      <c r="I132" s="53">
        <f>SUM(I8:I131)</f>
        <v>-3.0994415283203125E-6</v>
      </c>
    </row>
    <row r="133" spans="1:9" ht="31.2" customHeight="1">
      <c r="D133" s="33">
        <f>C132-D132</f>
        <v>0</v>
      </c>
      <c r="F133" s="33">
        <f>E132-F132</f>
        <v>0</v>
      </c>
      <c r="H133" s="33">
        <f>G132-H132</f>
        <v>0</v>
      </c>
    </row>
    <row r="134" spans="1:9" ht="31.2" customHeight="1">
      <c r="D134" s="44"/>
      <c r="E134" s="47">
        <f>SUM(E88:E131)</f>
        <v>3908564119.02</v>
      </c>
      <c r="F134" s="47">
        <f>SUM(F124:F131)</f>
        <v>4657693976.7799997</v>
      </c>
    </row>
    <row r="135" spans="1:9" ht="31.2" customHeight="1">
      <c r="D135" s="44"/>
      <c r="F135" s="60">
        <f>F134-E134</f>
        <v>749129857.75999975</v>
      </c>
    </row>
    <row r="137" spans="1:9" ht="31.2" customHeight="1">
      <c r="B137" s="252" t="s">
        <v>349</v>
      </c>
      <c r="C137" s="251">
        <v>39257723561.879997</v>
      </c>
      <c r="D137" s="251">
        <v>39257723561.879997</v>
      </c>
      <c r="E137" s="241">
        <v>28004726471.610001</v>
      </c>
      <c r="F137" s="241">
        <v>28004726471.610001</v>
      </c>
      <c r="G137" s="241">
        <v>45338298256.900002</v>
      </c>
      <c r="H137" s="241">
        <v>45338298256.900002</v>
      </c>
    </row>
    <row r="138" spans="1:9" ht="31.2" customHeight="1">
      <c r="C138" s="33">
        <f t="shared" ref="C138:H138" si="20">C132-C137</f>
        <v>0</v>
      </c>
      <c r="D138" s="33">
        <f t="shared" si="20"/>
        <v>0</v>
      </c>
      <c r="E138" s="33">
        <f t="shared" si="20"/>
        <v>0</v>
      </c>
      <c r="F138" s="33">
        <f t="shared" si="20"/>
        <v>0</v>
      </c>
      <c r="G138" s="33">
        <f t="shared" si="20"/>
        <v>0</v>
      </c>
      <c r="H138" s="33">
        <f t="shared" si="20"/>
        <v>0</v>
      </c>
    </row>
  </sheetData>
  <autoFilter ref="A7:H7" xr:uid="{9F3797E1-9A3F-4606-AEFC-8F1F0D331D4B}"/>
  <mergeCells count="3">
    <mergeCell ref="C6:D6"/>
    <mergeCell ref="E6:F6"/>
    <mergeCell ref="G6:H6"/>
  </mergeCells>
  <phoneticPr fontId="40" type="noConversion"/>
  <pageMargins left="0.25" right="0.25" top="0.25" bottom="0.25" header="0" footer="0"/>
  <pageSetup paperSize="9" fitToWidth="0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Q130"/>
  <sheetViews>
    <sheetView topLeftCell="B1" zoomScaleNormal="100" workbookViewId="0">
      <pane xSplit="6" ySplit="7" topLeftCell="H74" activePane="bottomRight" state="frozen"/>
      <selection activeCell="B1" sqref="B1"/>
      <selection pane="topRight" activeCell="H1" sqref="H1"/>
      <selection pane="bottomLeft" activeCell="B8" sqref="B8"/>
      <selection pane="bottomRight" activeCell="K68" sqref="K68"/>
    </sheetView>
  </sheetViews>
  <sheetFormatPr defaultColWidth="8.6640625" defaultRowHeight="13.2"/>
  <cols>
    <col min="1" max="1" width="3.6640625" style="2" customWidth="1"/>
    <col min="2" max="2" width="5.109375" style="2" customWidth="1"/>
    <col min="3" max="3" width="8.109375" style="2" customWidth="1"/>
    <col min="4" max="4" width="40.109375" style="2" customWidth="1"/>
    <col min="5" max="5" width="1.6640625" style="3" customWidth="1"/>
    <col min="6" max="6" width="1.88671875" style="2" customWidth="1"/>
    <col min="7" max="7" width="19.33203125" style="2" customWidth="1"/>
    <col min="8" max="8" width="19.109375" style="4" customWidth="1"/>
    <col min="9" max="9" width="19" style="3" customWidth="1"/>
    <col min="10" max="10" width="18.5546875" style="3" customWidth="1"/>
    <col min="11" max="11" width="17.44140625" style="3" customWidth="1"/>
    <col min="12" max="13" width="17.44140625" style="4" customWidth="1"/>
    <col min="14" max="16" width="18.33203125" style="4" bestFit="1" customWidth="1"/>
    <col min="17" max="19" width="18.33203125" style="4" customWidth="1"/>
    <col min="20" max="20" width="17.6640625" style="2" bestFit="1" customWidth="1"/>
    <col min="21" max="21" width="23.6640625" style="2" hidden="1" customWidth="1"/>
    <col min="22" max="16384" width="8.6640625" style="2"/>
  </cols>
  <sheetData>
    <row r="1" spans="1:22">
      <c r="A1" s="1" t="s">
        <v>123</v>
      </c>
      <c r="B1" s="1"/>
    </row>
    <row r="2" spans="1:22" ht="15">
      <c r="A2" s="5" t="s">
        <v>124</v>
      </c>
      <c r="B2" s="6"/>
      <c r="C2" s="5"/>
      <c r="D2" s="5"/>
      <c r="E2" s="7"/>
      <c r="F2" s="8"/>
    </row>
    <row r="3" spans="1:22" ht="15">
      <c r="A3" s="5" t="s">
        <v>346</v>
      </c>
      <c r="B3" s="6"/>
      <c r="C3" s="5"/>
      <c r="D3" s="5"/>
      <c r="E3" s="7"/>
      <c r="F3" s="8"/>
    </row>
    <row r="4" spans="1:22" ht="15">
      <c r="A4" s="5" t="s">
        <v>348</v>
      </c>
      <c r="B4" s="6"/>
      <c r="C4" s="5"/>
      <c r="D4" s="5"/>
      <c r="E4" s="7"/>
      <c r="F4" s="8"/>
    </row>
    <row r="6" spans="1:22" ht="17.7" customHeight="1">
      <c r="A6" s="1" t="s">
        <v>125</v>
      </c>
      <c r="B6" s="1"/>
      <c r="C6" s="1"/>
    </row>
    <row r="7" spans="1:22" ht="17.7" customHeight="1">
      <c r="A7" s="1"/>
      <c r="B7" s="1" t="s">
        <v>126</v>
      </c>
      <c r="C7" s="1"/>
      <c r="E7" s="9"/>
      <c r="G7" s="10">
        <v>44896</v>
      </c>
      <c r="H7" s="10">
        <v>44927</v>
      </c>
      <c r="I7" s="10">
        <v>44958</v>
      </c>
      <c r="J7" s="10">
        <v>44986</v>
      </c>
      <c r="K7" s="10">
        <v>45017</v>
      </c>
      <c r="L7" s="10">
        <v>45047</v>
      </c>
      <c r="M7" s="10">
        <v>45078</v>
      </c>
      <c r="N7" s="10">
        <v>45108</v>
      </c>
      <c r="O7" s="10">
        <v>45139</v>
      </c>
      <c r="P7" s="10">
        <v>45170</v>
      </c>
      <c r="Q7" s="10">
        <v>45200</v>
      </c>
      <c r="R7" s="10">
        <v>45231</v>
      </c>
      <c r="S7" s="10">
        <v>45261</v>
      </c>
      <c r="U7" s="2">
        <v>17220</v>
      </c>
    </row>
    <row r="8" spans="1:22" ht="17.7" customHeight="1">
      <c r="A8" s="1"/>
      <c r="B8" s="1"/>
      <c r="C8" s="1" t="s">
        <v>127</v>
      </c>
      <c r="E8" s="9"/>
    </row>
    <row r="9" spans="1:22" ht="15.45" customHeight="1">
      <c r="C9" s="90">
        <v>1011</v>
      </c>
      <c r="D9" s="91" t="s">
        <v>1</v>
      </c>
      <c r="E9" s="92"/>
      <c r="F9" s="91"/>
      <c r="G9" s="93">
        <v>6685000</v>
      </c>
      <c r="H9" s="94">
        <f>VLOOKUP(C9,TBJan23!$A$8:J154,10,0)</f>
        <v>4527500</v>
      </c>
      <c r="I9" s="94">
        <f>VLOOKUP(C9,'TBFeb23 '!$A8:$I$172,9,0)</f>
        <v>0</v>
      </c>
      <c r="J9" s="94">
        <v>0</v>
      </c>
      <c r="K9" s="4"/>
      <c r="T9" s="41"/>
      <c r="U9" s="41" t="e">
        <f>#REF!/$U$7</f>
        <v>#REF!</v>
      </c>
      <c r="V9" s="41"/>
    </row>
    <row r="10" spans="1:22" ht="15.45" customHeight="1">
      <c r="C10" s="90" t="s">
        <v>309</v>
      </c>
      <c r="D10" s="91" t="s">
        <v>314</v>
      </c>
      <c r="E10" s="92"/>
      <c r="F10" s="91"/>
      <c r="G10" s="93"/>
      <c r="H10" s="94"/>
      <c r="I10" s="94">
        <f>VLOOKUP(C10,'TBFeb23 '!$A9:$I$172,9,0)</f>
        <v>10621500</v>
      </c>
      <c r="J10" s="94">
        <f>VLOOKUP(C10,TBMar23!$A$8:I132,9,0)</f>
        <v>16474500</v>
      </c>
      <c r="K10" s="4"/>
      <c r="T10" s="41"/>
      <c r="U10" s="41"/>
      <c r="V10" s="41"/>
    </row>
    <row r="11" spans="1:22" ht="15.45" customHeight="1">
      <c r="C11" s="90">
        <v>1012.01</v>
      </c>
      <c r="D11" s="91" t="s">
        <v>2</v>
      </c>
      <c r="E11" s="92"/>
      <c r="F11" s="91"/>
      <c r="G11" s="93">
        <v>50388</v>
      </c>
      <c r="H11" s="94">
        <f>VLOOKUP(C11,TBJan23!$A$8:J155,10,0)</f>
        <v>52020</v>
      </c>
      <c r="I11" s="94">
        <f>VLOOKUP(C11,'TBFeb23 '!$A10:$I$172,9,0)</f>
        <v>51000</v>
      </c>
      <c r="J11" s="94">
        <f>VLOOKUP(C11,TBMar23!$A$8:I133,9,0)</f>
        <v>51102</v>
      </c>
      <c r="K11" s="4"/>
      <c r="T11" s="41"/>
      <c r="U11" s="41" t="e">
        <f>#REF!/$U$7</f>
        <v>#REF!</v>
      </c>
      <c r="V11" s="41"/>
    </row>
    <row r="12" spans="1:22" ht="15.45" customHeight="1">
      <c r="C12" s="90">
        <v>1012.02</v>
      </c>
      <c r="D12" s="91" t="s">
        <v>128</v>
      </c>
      <c r="E12" s="92"/>
      <c r="F12" s="91"/>
      <c r="G12" s="93">
        <v>18491595</v>
      </c>
      <c r="H12" s="94">
        <f>VLOOKUP(C12,TBJan23!$A$8:J156,10,0)</f>
        <v>18027255</v>
      </c>
      <c r="I12" s="94">
        <f>VLOOKUP(C12,'TBFeb23 '!$A11:$I$172,9,0)</f>
        <v>18044295</v>
      </c>
      <c r="J12" s="94">
        <f>VLOOKUP(C12,TBMar23!$A$8:I134,9,0)</f>
        <v>18051750</v>
      </c>
      <c r="K12" s="4"/>
      <c r="T12" s="41"/>
      <c r="U12" s="41" t="e">
        <f>#REF!/$U$7</f>
        <v>#REF!</v>
      </c>
      <c r="V12" s="41"/>
    </row>
    <row r="13" spans="1:22" ht="15.45" customHeight="1">
      <c r="C13" s="90">
        <v>1021.01</v>
      </c>
      <c r="D13" s="91" t="s">
        <v>4</v>
      </c>
      <c r="E13" s="92"/>
      <c r="F13" s="91"/>
      <c r="G13" s="93">
        <v>446493412.0199964</v>
      </c>
      <c r="H13" s="94">
        <f>VLOOKUP(C13,TBJan23!$A$8:J157,10,0)</f>
        <v>775873857.98000002</v>
      </c>
      <c r="I13" s="94">
        <f>VLOOKUP(C13,'TBFeb23 '!$A12:$I$172,9,0)</f>
        <v>320821548.25</v>
      </c>
      <c r="J13" s="94">
        <f>VLOOKUP(C13,TBMar23!$A$8:I135,9,0)</f>
        <v>306319645.16000009</v>
      </c>
      <c r="K13" s="4"/>
      <c r="T13" s="41"/>
      <c r="U13" s="41" t="e">
        <f>#REF!/$U$7</f>
        <v>#REF!</v>
      </c>
      <c r="V13" s="41"/>
    </row>
    <row r="14" spans="1:22" ht="15.45" customHeight="1">
      <c r="C14" s="90">
        <v>1021.02</v>
      </c>
      <c r="D14" s="91" t="s">
        <v>5</v>
      </c>
      <c r="E14" s="92"/>
      <c r="F14" s="91"/>
      <c r="G14" s="93">
        <v>11210420</v>
      </c>
      <c r="H14" s="94">
        <f>VLOOKUP(C14,TBJan23!$A$8:J158,10,0)</f>
        <v>11210420</v>
      </c>
      <c r="I14" s="94">
        <f>VLOOKUP(C14,'TBFeb23 '!$A13:$I$172,9,0)</f>
        <v>11090420</v>
      </c>
      <c r="J14" s="94">
        <f>VLOOKUP(C14,TBMar23!$A$8:I135,9,0)</f>
        <v>11070420</v>
      </c>
      <c r="K14" s="4"/>
      <c r="T14" s="41"/>
      <c r="U14" s="41" t="e">
        <f>#REF!/$U$7</f>
        <v>#REF!</v>
      </c>
      <c r="V14" s="41"/>
    </row>
    <row r="15" spans="1:22" ht="15.45" customHeight="1">
      <c r="C15" s="90">
        <v>1021.03</v>
      </c>
      <c r="D15" s="91" t="s">
        <v>129</v>
      </c>
      <c r="E15" s="92"/>
      <c r="F15" s="91"/>
      <c r="G15" s="93">
        <v>0</v>
      </c>
      <c r="H15" s="94">
        <f>VLOOKUP(C15,TBJan23!$A$8:J159,10,0)</f>
        <v>0</v>
      </c>
      <c r="I15" s="94">
        <f>VLOOKUP(C15,'TBFeb23 '!$A14:$I$172,9,0)</f>
        <v>0</v>
      </c>
      <c r="J15" s="94">
        <v>0</v>
      </c>
      <c r="K15" s="4"/>
      <c r="T15" s="41"/>
      <c r="U15" s="41" t="e">
        <f>#REF!/$U$7</f>
        <v>#REF!</v>
      </c>
      <c r="V15" s="41"/>
    </row>
    <row r="16" spans="1:22" ht="15.45" customHeight="1">
      <c r="C16" s="90">
        <v>1022.01</v>
      </c>
      <c r="D16" s="91" t="s">
        <v>6</v>
      </c>
      <c r="E16" s="92"/>
      <c r="F16" s="91"/>
      <c r="G16" s="93">
        <v>996669586.37999725</v>
      </c>
      <c r="H16" s="94">
        <f>VLOOKUP(C16,TBJan23!$A$8:J160,10,0)</f>
        <v>401007736.79999995</v>
      </c>
      <c r="I16" s="94">
        <f>VLOOKUP(C16,'TBFeb23 '!$A15:$I$172,9,0)</f>
        <v>433181725</v>
      </c>
      <c r="J16" s="94">
        <f>VLOOKUP(C16,TBMar23!$A$8:I135,9,0)</f>
        <v>927525833.97000074</v>
      </c>
      <c r="K16" s="4"/>
      <c r="T16" s="41"/>
      <c r="U16" s="41" t="e">
        <f>#REF!/$U$7</f>
        <v>#REF!</v>
      </c>
      <c r="V16" s="41"/>
    </row>
    <row r="17" spans="3:22" ht="15.45" customHeight="1">
      <c r="C17" s="90">
        <v>1022.02</v>
      </c>
      <c r="D17" s="91" t="s">
        <v>7</v>
      </c>
      <c r="E17" s="92"/>
      <c r="F17" s="91"/>
      <c r="G17" s="93">
        <v>1622154769.8500009</v>
      </c>
      <c r="H17" s="94">
        <f>VLOOKUP(C17,TBJan23!$A$8:J161,10,0)</f>
        <v>901953840.83999979</v>
      </c>
      <c r="I17" s="94">
        <f>VLOOKUP(C17,'TBFeb23 '!$A16:$I$172,9,0)</f>
        <v>636743354.5</v>
      </c>
      <c r="J17" s="94">
        <f>VLOOKUP(C17,TBMar23!$A$8:I135,9,0)</f>
        <v>116736847</v>
      </c>
      <c r="K17" s="4"/>
      <c r="T17" s="41"/>
      <c r="U17" s="41" t="e">
        <f>#REF!/$U$7</f>
        <v>#REF!</v>
      </c>
      <c r="V17" s="41"/>
    </row>
    <row r="18" spans="3:22" ht="15.45" customHeight="1">
      <c r="C18" s="90">
        <v>1022.03</v>
      </c>
      <c r="D18" s="91" t="s">
        <v>8</v>
      </c>
      <c r="E18" s="92"/>
      <c r="F18" s="91"/>
      <c r="G18" s="93">
        <v>0</v>
      </c>
      <c r="H18" s="94">
        <f>VLOOKUP(C18,TBJan23!$A$8:J162,10,0)</f>
        <v>0</v>
      </c>
      <c r="I18" s="94">
        <f>VLOOKUP(C18,'TBFeb23 '!$A17:$I$172,9,0)</f>
        <v>0</v>
      </c>
      <c r="J18" s="94">
        <v>0</v>
      </c>
      <c r="K18" s="4"/>
      <c r="T18" s="41"/>
      <c r="U18" s="41" t="e">
        <f>#REF!/$U$7</f>
        <v>#REF!</v>
      </c>
      <c r="V18" s="41"/>
    </row>
    <row r="19" spans="3:22" ht="15.45" customHeight="1">
      <c r="C19" s="90">
        <v>1022.04</v>
      </c>
      <c r="D19" s="91" t="s">
        <v>9</v>
      </c>
      <c r="E19" s="92"/>
      <c r="F19" s="91"/>
      <c r="G19" s="93">
        <v>0</v>
      </c>
      <c r="H19" s="94">
        <f>VLOOKUP(C19,TBJan23!$A$8:J163,10,0)</f>
        <v>0</v>
      </c>
      <c r="I19" s="94">
        <f>VLOOKUP(C19,'TBFeb23 '!$A18:$I$172,9,0)</f>
        <v>0</v>
      </c>
      <c r="J19" s="94">
        <v>0</v>
      </c>
      <c r="K19" s="4"/>
      <c r="T19" s="41"/>
      <c r="U19" s="41" t="e">
        <f>#REF!/$U$7</f>
        <v>#REF!</v>
      </c>
      <c r="V19" s="41"/>
    </row>
    <row r="20" spans="3:22" ht="15.45" customHeight="1">
      <c r="C20" s="90">
        <v>1022.05</v>
      </c>
      <c r="D20" s="91" t="s">
        <v>10</v>
      </c>
      <c r="E20" s="92"/>
      <c r="F20" s="91"/>
      <c r="G20" s="93">
        <v>132218378.76000006</v>
      </c>
      <c r="H20" s="94">
        <f>VLOOKUP(C20,TBJan23!$A$8:J164,10,0)</f>
        <v>136500755.40000001</v>
      </c>
      <c r="I20" s="94">
        <f>VLOOKUP(C20,'TBFeb23 '!$A19:$I$172,9,0)</f>
        <v>133824270</v>
      </c>
      <c r="J20" s="94">
        <f>VLOOKUP(C20,TBMar23!$A$8:I137,9,0)</f>
        <v>134091918.54000001</v>
      </c>
      <c r="K20" s="4"/>
      <c r="T20" s="41"/>
      <c r="U20" s="41" t="e">
        <f>#REF!/$U$7</f>
        <v>#REF!</v>
      </c>
      <c r="V20" s="41"/>
    </row>
    <row r="21" spans="3:22" ht="15.45" customHeight="1">
      <c r="C21" s="90">
        <v>1022.06</v>
      </c>
      <c r="D21" s="91" t="s">
        <v>11</v>
      </c>
      <c r="E21" s="92"/>
      <c r="F21" s="91"/>
      <c r="G21" s="93">
        <v>1227737.7300012971</v>
      </c>
      <c r="H21" s="94">
        <f>VLOOKUP(C21,TBJan23!$A$8:J165,10,0)</f>
        <v>1823207.17</v>
      </c>
      <c r="I21" s="94">
        <f>VLOOKUP(C21,'TBFeb23 '!$A20:$I$172,9,0)</f>
        <v>1824930.53</v>
      </c>
      <c r="J21" s="94">
        <f>VLOOKUP(C21,TBMar23!$A$8:I138,9,0)</f>
        <v>1825684.4999999998</v>
      </c>
      <c r="K21" s="4"/>
      <c r="T21" s="41"/>
      <c r="U21" s="41" t="e">
        <f>#REF!/$U$7</f>
        <v>#REF!</v>
      </c>
      <c r="V21" s="41"/>
    </row>
    <row r="22" spans="3:22" ht="15.45" customHeight="1">
      <c r="C22" s="90">
        <v>1022.07</v>
      </c>
      <c r="D22" s="91" t="s">
        <v>12</v>
      </c>
      <c r="E22" s="92"/>
      <c r="F22" s="91"/>
      <c r="G22" s="93">
        <v>3619838240</v>
      </c>
      <c r="H22" s="94">
        <f>VLOOKUP(C22,TBJan23!$A$8:J166,10,0)</f>
        <v>3528856325</v>
      </c>
      <c r="I22" s="94">
        <f>VLOOKUP(C22,'TBFeb23 '!$A21:$I$172,9,0)</f>
        <v>3532276640</v>
      </c>
      <c r="J22" s="94">
        <f>VLOOKUP(C22,TBMar23!$A$8:I139,9,0)</f>
        <v>3533736000</v>
      </c>
      <c r="K22" s="4"/>
      <c r="T22" s="41"/>
      <c r="U22" s="41" t="e">
        <f>#REF!/$U$7</f>
        <v>#REF!</v>
      </c>
      <c r="V22" s="41"/>
    </row>
    <row r="23" spans="3:22" ht="15.45" customHeight="1">
      <c r="C23" s="90">
        <v>1022.08</v>
      </c>
      <c r="D23" s="112" t="s">
        <v>266</v>
      </c>
      <c r="E23" s="92"/>
      <c r="F23" s="91"/>
      <c r="G23" s="93"/>
      <c r="H23" s="94">
        <f>VLOOKUP(C23,TBJan23!$A$8:J167,10,0)</f>
        <v>677080000</v>
      </c>
      <c r="I23" s="94">
        <f>VLOOKUP(C23,'TBFeb23 '!$A22:$I$172,9,0)</f>
        <v>677720000</v>
      </c>
      <c r="J23" s="94">
        <f>VLOOKUP(C23,TBMar23!$A$8:I140,9,0)</f>
        <v>678000000</v>
      </c>
      <c r="K23" s="4"/>
      <c r="T23" s="41"/>
      <c r="U23" s="41"/>
      <c r="V23" s="41"/>
    </row>
    <row r="24" spans="3:22" ht="13.8">
      <c r="C24" s="95"/>
      <c r="D24" s="96" t="s">
        <v>130</v>
      </c>
      <c r="E24" s="97"/>
      <c r="F24" s="95"/>
      <c r="G24" s="98">
        <v>6855039527.739996</v>
      </c>
      <c r="H24" s="98">
        <f>SUM(H9:H23)</f>
        <v>6456912918.1900005</v>
      </c>
      <c r="I24" s="98">
        <f>SUM(I9:I23)</f>
        <v>5776199683.2799997</v>
      </c>
      <c r="J24" s="98">
        <f>SUM(J9:J23)</f>
        <v>5743883701.170001</v>
      </c>
      <c r="K24" s="11"/>
      <c r="L24" s="11"/>
      <c r="M24" s="11"/>
      <c r="N24" s="11"/>
      <c r="O24" s="11"/>
      <c r="P24" s="11"/>
      <c r="Q24" s="11"/>
      <c r="R24" s="11"/>
      <c r="S24" s="11"/>
      <c r="T24" s="41"/>
      <c r="U24" s="59" t="e">
        <f>#REF!/$U$7</f>
        <v>#REF!</v>
      </c>
      <c r="V24" s="41"/>
    </row>
    <row r="25" spans="3:22" ht="13.8">
      <c r="C25" s="96" t="s">
        <v>131</v>
      </c>
      <c r="D25" s="95"/>
      <c r="E25" s="97"/>
      <c r="F25" s="95"/>
      <c r="G25" s="93"/>
      <c r="H25" s="94"/>
      <c r="I25" s="94"/>
      <c r="J25" s="94"/>
      <c r="K25" s="4"/>
      <c r="T25" s="41"/>
      <c r="V25" s="41"/>
    </row>
    <row r="26" spans="3:22" ht="13.8">
      <c r="C26" s="90">
        <v>1211</v>
      </c>
      <c r="D26" s="91" t="s">
        <v>13</v>
      </c>
      <c r="E26" s="97"/>
      <c r="F26" s="95"/>
      <c r="G26" s="93">
        <v>1214743436.3200006</v>
      </c>
      <c r="H26" s="94">
        <f>VLOOKUP(C26,TBJan23!$A$8:J170,10,0)</f>
        <v>3136723349.3499999</v>
      </c>
      <c r="I26" s="94">
        <f>VLOOKUP(C26,'TBFeb23 '!$A24:$I$172,9,0)</f>
        <v>4771427038.5699997</v>
      </c>
      <c r="J26" s="94">
        <f>VLOOKUP(C26,TBMar23!$A$8:I143,9,0)</f>
        <v>7119572872.5699997</v>
      </c>
      <c r="K26" s="4"/>
      <c r="T26" s="41"/>
      <c r="U26" s="41" t="e">
        <f>#REF!/$U$7</f>
        <v>#REF!</v>
      </c>
      <c r="V26" s="41"/>
    </row>
    <row r="27" spans="3:22" ht="13.8">
      <c r="C27" s="90">
        <v>1134</v>
      </c>
      <c r="D27" s="91" t="s">
        <v>132</v>
      </c>
      <c r="E27" s="97"/>
      <c r="F27" s="95"/>
      <c r="G27" s="93">
        <v>0</v>
      </c>
      <c r="H27" s="94">
        <f>VLOOKUP(C27,TBJan23!$A$8:J171,10,0)</f>
        <v>0</v>
      </c>
      <c r="I27" s="94">
        <v>0</v>
      </c>
      <c r="J27" s="94">
        <v>0</v>
      </c>
      <c r="K27" s="4"/>
      <c r="T27" s="41"/>
      <c r="U27" s="41" t="e">
        <f>#REF!/$U$7</f>
        <v>#REF!</v>
      </c>
      <c r="V27" s="41"/>
    </row>
    <row r="28" spans="3:22" ht="13.8">
      <c r="C28" s="90">
        <v>124.01</v>
      </c>
      <c r="D28" s="91" t="s">
        <v>14</v>
      </c>
      <c r="E28" s="93"/>
      <c r="F28" s="95"/>
      <c r="G28" s="93">
        <v>78955989.359999895</v>
      </c>
      <c r="H28" s="94">
        <f>VLOOKUP(C28,TBJan23!$A$8:J172,10,0)</f>
        <v>28174989.359999999</v>
      </c>
      <c r="I28" s="94">
        <f>VLOOKUP(C28,'TBFeb23 '!$A25:$I$172,9,0)</f>
        <v>101658000</v>
      </c>
      <c r="J28" s="94">
        <f>VLOOKUP(C28,TBMar23!$A$8:I145,9,0)</f>
        <v>102458000</v>
      </c>
      <c r="K28" s="4"/>
      <c r="T28" s="41"/>
      <c r="U28" s="41" t="e">
        <f>#REF!/$U$7</f>
        <v>#REF!</v>
      </c>
      <c r="V28" s="41"/>
    </row>
    <row r="29" spans="3:22" ht="13.8">
      <c r="C29" s="95"/>
      <c r="D29" s="96" t="s">
        <v>133</v>
      </c>
      <c r="E29" s="97"/>
      <c r="F29" s="95"/>
      <c r="G29" s="98">
        <v>1293699425.6800005</v>
      </c>
      <c r="H29" s="98">
        <f>SUM(H26:H28)</f>
        <v>3164898338.71</v>
      </c>
      <c r="I29" s="98">
        <f>SUM(I26:I28)</f>
        <v>4873085038.5699997</v>
      </c>
      <c r="J29" s="98">
        <f>SUM(J26:J28)</f>
        <v>7222030872.5699997</v>
      </c>
      <c r="K29" s="11"/>
      <c r="L29" s="11"/>
      <c r="M29" s="11"/>
      <c r="N29" s="11"/>
      <c r="O29" s="11"/>
      <c r="P29" s="11"/>
      <c r="Q29" s="11"/>
      <c r="R29" s="11"/>
      <c r="S29" s="11"/>
      <c r="T29" s="41"/>
      <c r="U29" s="59" t="e">
        <f>#REF!/$U$7</f>
        <v>#REF!</v>
      </c>
      <c r="V29" s="41"/>
    </row>
    <row r="30" spans="3:22" ht="13.8">
      <c r="C30" s="96" t="s">
        <v>134</v>
      </c>
      <c r="D30" s="95"/>
      <c r="E30" s="97"/>
      <c r="F30" s="95"/>
      <c r="G30" s="93"/>
      <c r="H30" s="94"/>
      <c r="I30" s="94"/>
      <c r="J30" s="94"/>
      <c r="K30" s="4"/>
      <c r="T30" s="41"/>
      <c r="U30" s="41" t="e">
        <f>#REF!/$U$7</f>
        <v>#REF!</v>
      </c>
      <c r="V30" s="41"/>
    </row>
    <row r="31" spans="3:22" ht="13.8">
      <c r="C31" s="90">
        <v>1311.01</v>
      </c>
      <c r="D31" s="91" t="s">
        <v>15</v>
      </c>
      <c r="E31" s="97"/>
      <c r="F31" s="95"/>
      <c r="G31" s="93">
        <v>84288750.000000119</v>
      </c>
      <c r="H31" s="94">
        <f>VLOOKUP(C31,TBJan23!$A$8:J175,10,0)</f>
        <v>114864754.5</v>
      </c>
      <c r="I31" s="94">
        <f>VLOOKUP(C31,'TBFeb23 '!$A24:$I$172,9,0)</f>
        <v>33959100</v>
      </c>
      <c r="J31" s="94">
        <f>VLOOKUP(C31,TBMar23!$A$8:I148,9,0)</f>
        <v>110670399</v>
      </c>
      <c r="K31" s="4"/>
      <c r="T31" s="41"/>
      <c r="U31" s="41" t="e">
        <f>#REF!/$U$7</f>
        <v>#REF!</v>
      </c>
      <c r="V31" s="41"/>
    </row>
    <row r="32" spans="3:22" ht="13.8">
      <c r="C32" s="90">
        <v>1311.02</v>
      </c>
      <c r="D32" s="91" t="s">
        <v>16</v>
      </c>
      <c r="E32" s="97"/>
      <c r="F32" s="95"/>
      <c r="G32" s="93">
        <v>40971199.910000056</v>
      </c>
      <c r="H32" s="94">
        <f>VLOOKUP(C32,TBJan23!$A$8:J176,10,0)</f>
        <v>55245371.430000007</v>
      </c>
      <c r="I32" s="94">
        <f>VLOOKUP(C32,'TBFeb23 '!$A25:$I$172,9,0)</f>
        <v>26876000</v>
      </c>
      <c r="J32" s="94">
        <f>VLOOKUP(C32,TBMar23!$A$8:I149,9,0)</f>
        <v>36595199.99999994</v>
      </c>
      <c r="K32" s="4"/>
      <c r="T32" s="41"/>
      <c r="U32" s="41" t="e">
        <f>#REF!/$U$7</f>
        <v>#REF!</v>
      </c>
      <c r="V32" s="41"/>
    </row>
    <row r="33" spans="3:22" ht="13.8">
      <c r="C33" s="90">
        <v>1311.03</v>
      </c>
      <c r="D33" s="91" t="s">
        <v>17</v>
      </c>
      <c r="E33" s="97"/>
      <c r="F33" s="95"/>
      <c r="G33" s="93">
        <v>93782556.520000041</v>
      </c>
      <c r="H33" s="94">
        <f>VLOOKUP(C33,TBJan23!$A$8:J177,10,0)</f>
        <v>82195657.679999948</v>
      </c>
      <c r="I33" s="94">
        <f>VLOOKUP(C33,'TBFeb23 '!$A26:$I$172,9,0)</f>
        <v>81123072.359999895</v>
      </c>
      <c r="J33" s="94">
        <f>VLOOKUP(C33,TBMar23!$A$8:I150,9,0)</f>
        <v>83490125.75</v>
      </c>
      <c r="K33" s="4"/>
      <c r="T33" s="41"/>
      <c r="U33" s="41" t="e">
        <f>#REF!/$U$7</f>
        <v>#REF!</v>
      </c>
      <c r="V33" s="41"/>
    </row>
    <row r="34" spans="3:22" ht="13.8">
      <c r="C34" s="90">
        <v>1311.04</v>
      </c>
      <c r="D34" s="91" t="s">
        <v>18</v>
      </c>
      <c r="E34" s="97"/>
      <c r="F34" s="95"/>
      <c r="G34" s="93">
        <v>3218656.9999999106</v>
      </c>
      <c r="H34" s="94">
        <f>VLOOKUP(C34,TBJan23!$A$8:J178,10,0)</f>
        <v>13905405</v>
      </c>
      <c r="I34" s="94">
        <f>VLOOKUP(C34,'TBFeb23 '!$A27:$I$172,9,0)</f>
        <v>5938546.25</v>
      </c>
      <c r="J34" s="94">
        <f>VLOOKUP(C34,TBMar23!$A$8:I151,9,0)</f>
        <v>12266953.810000002</v>
      </c>
      <c r="K34" s="4"/>
      <c r="T34" s="41"/>
      <c r="U34" s="41" t="e">
        <f>#REF!/$U$7</f>
        <v>#REF!</v>
      </c>
      <c r="V34" s="41"/>
    </row>
    <row r="35" spans="3:22" ht="13.8">
      <c r="C35" s="90">
        <v>1311.05</v>
      </c>
      <c r="D35" s="91" t="s">
        <v>19</v>
      </c>
      <c r="E35" s="99"/>
      <c r="F35" s="95"/>
      <c r="G35" s="93">
        <v>39822081.000000596</v>
      </c>
      <c r="H35" s="94">
        <f>VLOOKUP(C35,TBJan23!$A$8:J179,10,0)</f>
        <v>104776032</v>
      </c>
      <c r="I35" s="94">
        <f>VLOOKUP(C35,'TBFeb23 '!$A28:$I$172,9,0)</f>
        <v>40988700</v>
      </c>
      <c r="J35" s="94">
        <f>VLOOKUP(C35,TBMar23!$A$8:I152,9,0)</f>
        <v>29078641.200000048</v>
      </c>
      <c r="K35" s="4"/>
      <c r="T35" s="41"/>
      <c r="U35" s="41" t="e">
        <f>#REF!/$U$7</f>
        <v>#REF!</v>
      </c>
      <c r="V35" s="41"/>
    </row>
    <row r="36" spans="3:22" ht="13.8">
      <c r="C36" s="90">
        <v>1311.06</v>
      </c>
      <c r="D36" s="91" t="s">
        <v>20</v>
      </c>
      <c r="E36" s="97"/>
      <c r="F36" s="95"/>
      <c r="G36" s="93">
        <v>20377499.299999993</v>
      </c>
      <c r="H36" s="94">
        <f>VLOOKUP(C36,TBJan23!$A$8:J180,10,0)</f>
        <v>14025000.299999997</v>
      </c>
      <c r="I36" s="94">
        <f>VLOOKUP(C36,'TBFeb23 '!$A29:$I$172,9,0)</f>
        <v>10682924.999999996</v>
      </c>
      <c r="J36" s="94">
        <f>VLOOKUP(C36,TBMar23!$A$8:I153,9,0)</f>
        <v>20238375.960000001</v>
      </c>
      <c r="K36" s="4"/>
      <c r="T36" s="41"/>
      <c r="U36" s="41" t="e">
        <f>#REF!/$U$7</f>
        <v>#REF!</v>
      </c>
      <c r="V36" s="41"/>
    </row>
    <row r="37" spans="3:22" ht="13.8">
      <c r="C37" s="90">
        <v>1311.07</v>
      </c>
      <c r="D37" s="91" t="s">
        <v>135</v>
      </c>
      <c r="E37" s="97"/>
      <c r="F37" s="95"/>
      <c r="G37" s="93">
        <v>0</v>
      </c>
      <c r="H37" s="94">
        <f>VLOOKUP(C37,TBJan23!$A$8:J181,10,0)</f>
        <v>0</v>
      </c>
      <c r="I37" s="94">
        <f>VLOOKUP(C37,'TBFeb23 '!$A30:$I$172,9,0)</f>
        <v>0</v>
      </c>
      <c r="J37" s="94">
        <f>VLOOKUP(C37,TBMar23!$A$8:I154,9,0)</f>
        <v>127468016</v>
      </c>
      <c r="K37" s="4"/>
      <c r="T37" s="41"/>
      <c r="U37" s="41" t="e">
        <f>#REF!/$U$7</f>
        <v>#REF!</v>
      </c>
      <c r="V37" s="41"/>
    </row>
    <row r="38" spans="3:22" ht="13.8">
      <c r="C38" s="90">
        <v>1311.08</v>
      </c>
      <c r="D38" s="91" t="s">
        <v>21</v>
      </c>
      <c r="E38" s="99"/>
      <c r="F38" s="95"/>
      <c r="G38" s="93">
        <v>133516836.31999999</v>
      </c>
      <c r="H38" s="94">
        <f>VLOOKUP(C38,TBJan23!$A$8:J182,10,0)</f>
        <v>177854885.22999999</v>
      </c>
      <c r="I38" s="94">
        <f>VLOOKUP(C38,'TBFeb23 '!$A31:$I$172,9,0)</f>
        <v>161515295.99999994</v>
      </c>
      <c r="J38" s="94">
        <f>VLOOKUP(C38,TBMar23!$A$8:I155,9,0)</f>
        <v>0</v>
      </c>
      <c r="K38" s="4"/>
      <c r="T38" s="41"/>
      <c r="U38" s="41" t="e">
        <f>#REF!/$U$7</f>
        <v>#REF!</v>
      </c>
      <c r="V38" s="41"/>
    </row>
    <row r="39" spans="3:22" ht="17.7" customHeight="1">
      <c r="C39" s="90">
        <v>1331.001</v>
      </c>
      <c r="D39" s="91" t="s">
        <v>23</v>
      </c>
      <c r="E39" s="97"/>
      <c r="F39" s="95"/>
      <c r="G39" s="93">
        <v>-3.814697265625E-6</v>
      </c>
      <c r="H39" s="199">
        <v>1.0728836059570313E-6</v>
      </c>
      <c r="I39" s="94">
        <v>0</v>
      </c>
      <c r="J39" s="246">
        <v>0</v>
      </c>
      <c r="K39" s="4"/>
      <c r="T39" s="41"/>
      <c r="U39" s="41" t="e">
        <f>#REF!/$U$7</f>
        <v>#REF!</v>
      </c>
      <c r="V39" s="41"/>
    </row>
    <row r="40" spans="3:22" ht="13.8">
      <c r="C40" s="95"/>
      <c r="D40" s="96" t="s">
        <v>136</v>
      </c>
      <c r="E40" s="97"/>
      <c r="F40" s="95"/>
      <c r="G40" s="98">
        <v>415977580.04999691</v>
      </c>
      <c r="H40" s="98">
        <f>SUM(H31:H39)</f>
        <v>562867106.14000106</v>
      </c>
      <c r="I40" s="98">
        <f>SUM(I31:I39)</f>
        <v>361083639.60999984</v>
      </c>
      <c r="J40" s="98">
        <f>SUM(J31:J39)</f>
        <v>419807711.71999997</v>
      </c>
      <c r="K40" s="11"/>
      <c r="L40" s="11"/>
      <c r="M40" s="11"/>
      <c r="N40" s="11"/>
      <c r="O40" s="11"/>
      <c r="P40" s="11"/>
      <c r="Q40" s="11"/>
      <c r="R40" s="11"/>
      <c r="S40" s="11"/>
      <c r="T40" s="41"/>
      <c r="U40" s="59" t="e">
        <f>#REF!/$U$7</f>
        <v>#REF!</v>
      </c>
      <c r="V40" s="41"/>
    </row>
    <row r="41" spans="3:22" ht="13.8">
      <c r="C41" s="96" t="s">
        <v>137</v>
      </c>
      <c r="D41" s="96"/>
      <c r="E41" s="97"/>
      <c r="F41" s="95"/>
      <c r="G41" s="100"/>
      <c r="H41" s="94"/>
      <c r="I41" s="94"/>
      <c r="J41" s="94"/>
      <c r="K41" s="4"/>
      <c r="T41" s="41"/>
      <c r="U41" s="41" t="e">
        <f>#REF!/$U$7</f>
        <v>#REF!</v>
      </c>
      <c r="V41" s="41"/>
    </row>
    <row r="42" spans="3:22" ht="13.8">
      <c r="C42" s="90">
        <v>146.01</v>
      </c>
      <c r="D42" s="91" t="s">
        <v>25</v>
      </c>
      <c r="E42" s="97"/>
      <c r="F42" s="95"/>
      <c r="G42" s="93">
        <v>0</v>
      </c>
      <c r="H42" s="94">
        <f>VLOOKUP(C42,TBJan23!$A$8:J186,10,0)</f>
        <v>0</v>
      </c>
      <c r="I42" s="94">
        <f>VLOOKUP(C42,'TBFeb23 '!$A35:$I$172,9,0)</f>
        <v>0</v>
      </c>
      <c r="J42" s="94">
        <v>0</v>
      </c>
      <c r="K42" s="4"/>
      <c r="T42" s="41"/>
      <c r="U42" s="41" t="e">
        <f>#REF!/$U$7</f>
        <v>#REF!</v>
      </c>
      <c r="V42" s="41"/>
    </row>
    <row r="43" spans="3:22" ht="13.8">
      <c r="C43" s="90">
        <v>146.02000000000001</v>
      </c>
      <c r="D43" s="91" t="s">
        <v>138</v>
      </c>
      <c r="E43" s="97"/>
      <c r="F43" s="95"/>
      <c r="G43" s="93">
        <v>0</v>
      </c>
      <c r="H43" s="94">
        <f>VLOOKUP(C43,TBJan23!$A$8:J187,10,0)</f>
        <v>0</v>
      </c>
      <c r="I43" s="94">
        <f>VLOOKUP(C43,'TBFeb23 '!$A36:$I$172,9,0)</f>
        <v>0</v>
      </c>
      <c r="J43" s="94">
        <v>0</v>
      </c>
      <c r="K43" s="4"/>
      <c r="T43" s="41"/>
      <c r="U43" s="41" t="e">
        <f>#REF!/$U$7</f>
        <v>#REF!</v>
      </c>
      <c r="V43" s="41"/>
    </row>
    <row r="44" spans="3:22" ht="13.8">
      <c r="C44" s="90">
        <v>146.03</v>
      </c>
      <c r="D44" s="91" t="s">
        <v>139</v>
      </c>
      <c r="E44" s="97"/>
      <c r="F44" s="95"/>
      <c r="G44" s="93">
        <v>0</v>
      </c>
      <c r="H44" s="94">
        <f>VLOOKUP(C44,TBJan23!$A$8:J188,10,0)</f>
        <v>0</v>
      </c>
      <c r="I44" s="94">
        <f>VLOOKUP(C44,'TBFeb23 '!$A37:$I$172,9,0)</f>
        <v>0</v>
      </c>
      <c r="J44" s="94">
        <v>0</v>
      </c>
      <c r="K44" s="4"/>
      <c r="T44" s="41"/>
      <c r="U44" s="41" t="e">
        <f>#REF!/$U$7</f>
        <v>#REF!</v>
      </c>
      <c r="V44" s="41"/>
    </row>
    <row r="45" spans="3:22" ht="13.8">
      <c r="C45" s="90">
        <v>146.04</v>
      </c>
      <c r="D45" s="91" t="s">
        <v>140</v>
      </c>
      <c r="E45" s="97"/>
      <c r="F45" s="95"/>
      <c r="G45" s="93">
        <v>0</v>
      </c>
      <c r="H45" s="94">
        <f>VLOOKUP(C45,TBJan23!$A$8:J189,10,0)</f>
        <v>0</v>
      </c>
      <c r="I45" s="94">
        <f>VLOOKUP(C45,'TBFeb23 '!$A38:$I$172,9,0)</f>
        <v>0</v>
      </c>
      <c r="J45" s="94">
        <v>0</v>
      </c>
      <c r="K45" s="4"/>
      <c r="T45" s="41"/>
      <c r="U45" s="41" t="e">
        <f>#REF!/$U$7</f>
        <v>#REF!</v>
      </c>
      <c r="V45" s="41"/>
    </row>
    <row r="46" spans="3:22" ht="13.8">
      <c r="C46" s="90">
        <v>146.05000000000001</v>
      </c>
      <c r="D46" s="91" t="s">
        <v>26</v>
      </c>
      <c r="E46" s="97"/>
      <c r="F46" s="95"/>
      <c r="G46" s="93">
        <v>0</v>
      </c>
      <c r="H46" s="94">
        <f>VLOOKUP(C46,TBJan23!$A$8:J190,10,0)</f>
        <v>0</v>
      </c>
      <c r="I46" s="94">
        <f>VLOOKUP(C46,'TBFeb23 '!$A39:$I$172,9,0)</f>
        <v>0</v>
      </c>
      <c r="J46" s="94">
        <v>0</v>
      </c>
      <c r="K46" s="4"/>
      <c r="T46" s="41"/>
      <c r="U46" s="41" t="e">
        <f>#REF!/$U$7</f>
        <v>#REF!</v>
      </c>
      <c r="V46" s="41"/>
    </row>
    <row r="47" spans="3:22" ht="13.8">
      <c r="C47" s="90">
        <v>146.06</v>
      </c>
      <c r="D47" s="91" t="s">
        <v>27</v>
      </c>
      <c r="E47" s="99"/>
      <c r="F47" s="95"/>
      <c r="G47" s="93">
        <v>0</v>
      </c>
      <c r="H47" s="94">
        <f>VLOOKUP(C47,TBJan23!$A$8:J191,10,0)</f>
        <v>0</v>
      </c>
      <c r="I47" s="94">
        <f>VLOOKUP(C47,'TBFeb23 '!$A40:$I$172,9,0)</f>
        <v>0</v>
      </c>
      <c r="J47" s="94">
        <v>0</v>
      </c>
      <c r="K47" s="4"/>
      <c r="T47" s="41"/>
      <c r="U47" s="41" t="e">
        <f>#REF!/$U$7</f>
        <v>#REF!</v>
      </c>
      <c r="V47" s="41"/>
    </row>
    <row r="48" spans="3:22" ht="13.8">
      <c r="C48" s="90">
        <v>146.07</v>
      </c>
      <c r="D48" s="91" t="s">
        <v>28</v>
      </c>
      <c r="E48" s="99"/>
      <c r="F48" s="95"/>
      <c r="G48" s="93">
        <v>0</v>
      </c>
      <c r="H48" s="94">
        <f>VLOOKUP(C48,TBJan23!$A$8:J192,10,0)</f>
        <v>0</v>
      </c>
      <c r="I48" s="94">
        <f>VLOOKUP(C48,'TBFeb23 '!$A41:$I$172,9,0)</f>
        <v>0</v>
      </c>
      <c r="J48" s="94">
        <v>0</v>
      </c>
      <c r="K48" s="4"/>
      <c r="T48" s="41"/>
      <c r="U48" s="41" t="e">
        <f>#REF!/$U$7</f>
        <v>#REF!</v>
      </c>
      <c r="V48" s="41"/>
    </row>
    <row r="49" spans="2:251" ht="13.8">
      <c r="C49" s="90">
        <v>146.08000000000001</v>
      </c>
      <c r="D49" s="91" t="s">
        <v>29</v>
      </c>
      <c r="E49" s="99"/>
      <c r="F49" s="95"/>
      <c r="G49" s="93">
        <v>1134716846.5400002</v>
      </c>
      <c r="H49" s="94">
        <f>VLOOKUP(C49,TBJan23!$A$8:J193,10,0)</f>
        <v>1077328732.6599998</v>
      </c>
      <c r="I49" s="94">
        <f>VLOOKUP(C49,'TBFeb23 '!$A42:$I$172,9,0)</f>
        <v>1048407031.6599998</v>
      </c>
      <c r="J49" s="94">
        <f>VLOOKUP(C49,TBMar23!$A$8:I166,9,0)</f>
        <v>1019473381.66</v>
      </c>
      <c r="K49" s="4"/>
      <c r="T49" s="41"/>
      <c r="U49" s="41" t="e">
        <f>#REF!/$U$7</f>
        <v>#REF!</v>
      </c>
      <c r="V49" s="41"/>
    </row>
    <row r="50" spans="2:251" ht="13.8">
      <c r="C50" s="90">
        <v>146.09</v>
      </c>
      <c r="D50" s="91" t="s">
        <v>243</v>
      </c>
      <c r="E50" s="99"/>
      <c r="F50" s="95"/>
      <c r="G50" s="93">
        <v>74182549.349999994</v>
      </c>
      <c r="H50" s="94">
        <f>VLOOKUP(C50,TBJan23!$A$8:J194,10,0)</f>
        <v>60266890.799999997</v>
      </c>
      <c r="I50" s="94">
        <f>VLOOKUP(C50,'TBFeb23 '!$A43:$I$172,9,0)</f>
        <v>48202627.649999999</v>
      </c>
      <c r="J50" s="94">
        <f>VLOOKUP(C50,TBMar23!$A$8:I167,9,0)</f>
        <v>36133380.149999991</v>
      </c>
      <c r="K50" s="4"/>
      <c r="T50" s="41"/>
      <c r="U50" s="41" t="e">
        <f>#REF!/$U$7</f>
        <v>#REF!</v>
      </c>
      <c r="V50" s="41"/>
    </row>
    <row r="51" spans="2:251" ht="13.8">
      <c r="C51" s="90">
        <v>166</v>
      </c>
      <c r="D51" s="91" t="s">
        <v>32</v>
      </c>
      <c r="E51" s="97"/>
      <c r="F51" s="95"/>
      <c r="G51" s="93">
        <v>-5.9604644775390625E-8</v>
      </c>
      <c r="H51" s="94">
        <v>0</v>
      </c>
      <c r="I51" s="94">
        <f>VLOOKUP(C51,'TBFeb23 '!$A44:$I$172,9,0)</f>
        <v>0</v>
      </c>
      <c r="J51" s="94"/>
      <c r="K51" s="4"/>
      <c r="T51" s="41"/>
      <c r="U51" s="41" t="e">
        <f>#REF!/$U$7</f>
        <v>#REF!</v>
      </c>
      <c r="V51" s="41"/>
    </row>
    <row r="52" spans="2:251" ht="13.8">
      <c r="C52" s="95"/>
      <c r="D52" s="96" t="s">
        <v>141</v>
      </c>
      <c r="E52" s="99"/>
      <c r="F52" s="95"/>
      <c r="G52" s="98">
        <v>1208899395.8900001</v>
      </c>
      <c r="H52" s="98">
        <f>SUM(H42:H51)</f>
        <v>1137595623.4599998</v>
      </c>
      <c r="I52" s="98">
        <f>SUM(I42:I51)</f>
        <v>1096609659.3099999</v>
      </c>
      <c r="J52" s="98">
        <f>SUM(J42:J51)</f>
        <v>1055606761.8099999</v>
      </c>
      <c r="K52" s="11"/>
      <c r="L52" s="11"/>
      <c r="M52" s="11"/>
      <c r="N52" s="11"/>
      <c r="O52" s="11"/>
      <c r="P52" s="11"/>
      <c r="Q52" s="11"/>
      <c r="R52" s="11"/>
      <c r="S52" s="11"/>
      <c r="T52" s="41"/>
      <c r="U52" s="59" t="e">
        <f>#REF!/$U$7</f>
        <v>#REF!</v>
      </c>
      <c r="V52" s="41"/>
    </row>
    <row r="53" spans="2:251" ht="13.8">
      <c r="C53" s="96" t="s">
        <v>120</v>
      </c>
      <c r="D53" s="95"/>
      <c r="E53" s="99"/>
      <c r="F53" s="95"/>
      <c r="G53" s="93"/>
      <c r="H53" s="94"/>
      <c r="I53" s="94"/>
      <c r="J53" s="94"/>
      <c r="K53" s="4"/>
      <c r="T53" s="41"/>
      <c r="U53" s="41" t="e">
        <f>#REF!/$U$7</f>
        <v>#REF!</v>
      </c>
      <c r="V53" s="41"/>
    </row>
    <row r="54" spans="2:251" ht="13.8">
      <c r="C54" s="90">
        <v>1601.01</v>
      </c>
      <c r="D54" s="95" t="s">
        <v>142</v>
      </c>
      <c r="E54" s="99"/>
      <c r="F54" s="95"/>
      <c r="G54" s="93">
        <v>72427584</v>
      </c>
      <c r="H54" s="94">
        <f>VLOOKUP(C54,TBJan23!$A$8:J198,10,0)</f>
        <v>72427584</v>
      </c>
      <c r="I54" s="94">
        <f>VLOOKUP(C54,'TBFeb23 '!$A47:$I$172,9,0)</f>
        <v>72427584</v>
      </c>
      <c r="J54" s="94">
        <f>VLOOKUP(C54,TBMar23!$A$8:I171,9,0)</f>
        <v>54665734</v>
      </c>
      <c r="K54" s="4"/>
      <c r="T54" s="41"/>
      <c r="U54" s="41" t="e">
        <f>#REF!/$U$7</f>
        <v>#REF!</v>
      </c>
      <c r="V54" s="41"/>
    </row>
    <row r="55" spans="2:251" ht="13.8">
      <c r="C55" s="90">
        <v>1601</v>
      </c>
      <c r="D55" s="91" t="s">
        <v>143</v>
      </c>
      <c r="E55" s="99"/>
      <c r="F55" s="95"/>
      <c r="G55" s="93">
        <v>0</v>
      </c>
      <c r="H55" s="94">
        <f>VLOOKUP(C55,TBJan23!$A$8:J199,10,0)</f>
        <v>0</v>
      </c>
      <c r="I55" s="94">
        <f>VLOOKUP(C55,'TBFeb23 '!$A48:$I$172,9,0)</f>
        <v>0</v>
      </c>
      <c r="J55" s="94">
        <v>0</v>
      </c>
      <c r="K55" s="4"/>
      <c r="T55" s="41"/>
      <c r="U55" s="41" t="e">
        <f>#REF!/$U$7</f>
        <v>#REF!</v>
      </c>
      <c r="V55" s="41"/>
    </row>
    <row r="56" spans="2:251" ht="13.8">
      <c r="C56" s="90">
        <v>1611</v>
      </c>
      <c r="D56" s="91" t="s">
        <v>31</v>
      </c>
      <c r="E56" s="95"/>
      <c r="F56" s="95"/>
      <c r="G56" s="93">
        <v>15676816.98</v>
      </c>
      <c r="H56" s="94">
        <f>VLOOKUP(C56,TBJan23!$A$8:J200,10,0)</f>
        <v>15676816.98</v>
      </c>
      <c r="I56" s="94">
        <f>VLOOKUP(C56,'TBFeb23 '!$A49:$I$172,9,0)</f>
        <v>15676816.98</v>
      </c>
      <c r="J56" s="94">
        <f>VLOOKUP(C56,TBMar23!$A$8:I173,9,0)</f>
        <v>29701416.48</v>
      </c>
      <c r="K56" s="4"/>
      <c r="T56" s="41"/>
      <c r="U56" s="41" t="e">
        <f>#REF!/$U$7</f>
        <v>#REF!</v>
      </c>
      <c r="V56" s="41"/>
    </row>
    <row r="57" spans="2:251" ht="13.8">
      <c r="C57" s="95"/>
      <c r="D57" s="96" t="s">
        <v>144</v>
      </c>
      <c r="E57" s="99"/>
      <c r="F57" s="95"/>
      <c r="G57" s="98">
        <v>88104400.980000004</v>
      </c>
      <c r="H57" s="98">
        <f>SUM(H54:H56)</f>
        <v>88104400.980000004</v>
      </c>
      <c r="I57" s="98">
        <f>SUM(I54:I56)</f>
        <v>88104400.980000004</v>
      </c>
      <c r="J57" s="98">
        <f>SUM(J54:J56)</f>
        <v>84367150.480000004</v>
      </c>
      <c r="K57" s="11"/>
      <c r="L57" s="11"/>
      <c r="M57" s="11"/>
      <c r="N57" s="11"/>
      <c r="O57" s="11"/>
      <c r="P57" s="11"/>
      <c r="Q57" s="11"/>
      <c r="R57" s="11"/>
      <c r="S57" s="11"/>
      <c r="T57" s="41"/>
      <c r="U57" s="59" t="e">
        <f>#REF!/$U$7</f>
        <v>#REF!</v>
      </c>
      <c r="V57" s="41"/>
      <c r="IQ57" s="11"/>
    </row>
    <row r="58" spans="2:251" ht="13.8">
      <c r="B58" s="1" t="s">
        <v>145</v>
      </c>
      <c r="C58" s="95"/>
      <c r="D58" s="95"/>
      <c r="E58" s="99"/>
      <c r="F58" s="95"/>
      <c r="G58" s="93"/>
      <c r="H58" s="94"/>
      <c r="I58" s="94"/>
      <c r="J58" s="94"/>
      <c r="K58" s="4"/>
      <c r="T58" s="41"/>
      <c r="U58" s="41" t="e">
        <f>#REF!/$U$7</f>
        <v>#REF!</v>
      </c>
      <c r="V58" s="41"/>
    </row>
    <row r="59" spans="2:251" ht="13.8">
      <c r="C59" s="90">
        <v>231</v>
      </c>
      <c r="D59" s="91" t="s">
        <v>33</v>
      </c>
      <c r="E59" s="99"/>
      <c r="F59" s="95"/>
      <c r="G59" s="93">
        <v>0</v>
      </c>
      <c r="H59" s="94">
        <f>VLOOKUP(C59,TBJan23!$A$8:J203,10,0)</f>
        <v>0</v>
      </c>
      <c r="I59" s="94">
        <f>VLOOKUP(C59,'TBFeb23 '!$A52:$I$172,9,0)</f>
        <v>0</v>
      </c>
      <c r="J59" s="94">
        <v>0</v>
      </c>
      <c r="K59" s="16"/>
      <c r="L59" s="16"/>
      <c r="M59" s="16"/>
      <c r="N59" s="16"/>
      <c r="O59" s="16"/>
      <c r="P59" s="16"/>
      <c r="Q59" s="16"/>
      <c r="R59" s="16"/>
      <c r="S59" s="16"/>
      <c r="T59" s="41"/>
      <c r="U59" s="41" t="e">
        <f>#REF!/$U$7</f>
        <v>#REF!</v>
      </c>
      <c r="V59" s="41"/>
    </row>
    <row r="60" spans="2:251" ht="13.8">
      <c r="C60" s="90">
        <v>232</v>
      </c>
      <c r="D60" s="91" t="s">
        <v>244</v>
      </c>
      <c r="E60" s="99"/>
      <c r="F60" s="95"/>
      <c r="G60" s="93">
        <v>0</v>
      </c>
      <c r="H60" s="94">
        <f>VLOOKUP(C60,TBJan23!$A$8:J204,10,0)</f>
        <v>0</v>
      </c>
      <c r="I60" s="94">
        <f>VLOOKUP(C60,'TBFeb23 '!$A53:$I$172,9,0)</f>
        <v>0</v>
      </c>
      <c r="J60" s="94">
        <v>0</v>
      </c>
      <c r="K60" s="16"/>
      <c r="L60" s="16"/>
      <c r="M60" s="16"/>
      <c r="N60" s="16"/>
      <c r="O60" s="16"/>
      <c r="P60" s="16"/>
      <c r="Q60" s="16"/>
      <c r="R60" s="16"/>
      <c r="S60" s="16"/>
      <c r="T60" s="41"/>
      <c r="U60" s="41" t="e">
        <f>#REF!/$U$7</f>
        <v>#REF!</v>
      </c>
      <c r="V60" s="41"/>
    </row>
    <row r="61" spans="2:251" ht="13.8">
      <c r="C61" s="90">
        <v>2411</v>
      </c>
      <c r="D61" s="91" t="s">
        <v>34</v>
      </c>
      <c r="E61" s="99"/>
      <c r="F61" s="95"/>
      <c r="G61" s="93">
        <v>143926479.06999999</v>
      </c>
      <c r="H61" s="94">
        <f>VLOOKUP(C61,TBJan23!$A$8:J205,10,0)</f>
        <v>155359479.06999999</v>
      </c>
      <c r="I61" s="94">
        <f>VLOOKUP(C61,'TBFeb23 '!$A54:$I$172,9,0)</f>
        <v>155359479.06999999</v>
      </c>
      <c r="J61" s="94">
        <f>VLOOKUP(C61,TBMar23!$A$8:I178,9,0)</f>
        <v>155359479.06999999</v>
      </c>
      <c r="K61" s="16"/>
      <c r="L61" s="16"/>
      <c r="M61" s="16"/>
      <c r="N61" s="16"/>
      <c r="O61" s="16"/>
      <c r="P61" s="16"/>
      <c r="Q61" s="16"/>
      <c r="R61" s="16"/>
      <c r="S61" s="16"/>
      <c r="T61" s="41"/>
      <c r="U61" s="41" t="e">
        <f>#REF!/$U$7</f>
        <v>#REF!</v>
      </c>
      <c r="V61" s="41"/>
    </row>
    <row r="62" spans="2:251" ht="13.8">
      <c r="C62" s="90">
        <v>2412</v>
      </c>
      <c r="D62" s="91" t="s">
        <v>35</v>
      </c>
      <c r="E62" s="99"/>
      <c r="F62" s="95"/>
      <c r="G62" s="93">
        <v>2343164204.29</v>
      </c>
      <c r="H62" s="94">
        <f>VLOOKUP(C62,TBJan23!$A$8:J206,10,0)</f>
        <v>2343164204.29</v>
      </c>
      <c r="I62" s="94">
        <f>VLOOKUP(C62,'TBFeb23 '!$A55:$I$172,9,0)</f>
        <v>2343164204.29</v>
      </c>
      <c r="J62" s="94">
        <f>VLOOKUP(C62,TBMar23!$A$8:I179,9,0)</f>
        <v>2343164204.29</v>
      </c>
      <c r="K62" s="16"/>
      <c r="L62" s="16"/>
      <c r="M62" s="16"/>
      <c r="N62" s="16"/>
      <c r="O62" s="16"/>
      <c r="P62" s="16"/>
      <c r="Q62" s="16"/>
      <c r="R62" s="16"/>
      <c r="S62" s="16"/>
      <c r="T62" s="41"/>
      <c r="U62" s="41" t="e">
        <f>#REF!/$U$7</f>
        <v>#REF!</v>
      </c>
      <c r="V62" s="41"/>
    </row>
    <row r="63" spans="2:251" ht="13.8">
      <c r="C63" s="90">
        <v>2413</v>
      </c>
      <c r="D63" s="91" t="s">
        <v>36</v>
      </c>
      <c r="E63" s="99"/>
      <c r="F63" s="95"/>
      <c r="G63" s="93">
        <v>3149994248</v>
      </c>
      <c r="H63" s="94">
        <f>VLOOKUP(C63,TBJan23!$A$8:J207,10,0)</f>
        <v>3149994248</v>
      </c>
      <c r="I63" s="94">
        <f>VLOOKUP(C63,'TBFeb23 '!$A56:$I$172,9,0)</f>
        <v>3119173248</v>
      </c>
      <c r="J63" s="94">
        <f>VLOOKUP(C63,TBMar23!$A$8:I180,9,0)</f>
        <v>2960570048</v>
      </c>
      <c r="K63" s="16"/>
      <c r="L63" s="16"/>
      <c r="M63" s="16"/>
      <c r="N63" s="16"/>
      <c r="O63" s="16"/>
      <c r="P63" s="16"/>
      <c r="Q63" s="16"/>
      <c r="R63" s="16"/>
      <c r="S63" s="16"/>
      <c r="T63" s="41"/>
      <c r="U63" s="41" t="e">
        <f>#REF!/$U$7</f>
        <v>#REF!</v>
      </c>
      <c r="V63" s="41"/>
    </row>
    <row r="64" spans="2:251" ht="13.8">
      <c r="C64" s="90">
        <v>2414</v>
      </c>
      <c r="D64" s="91" t="s">
        <v>37</v>
      </c>
      <c r="E64" s="99"/>
      <c r="F64" s="95"/>
      <c r="G64" s="93">
        <v>5186562006</v>
      </c>
      <c r="H64" s="94">
        <f>VLOOKUP(C64,TBJan23!$A$8:J208,10,0)</f>
        <v>5186562006</v>
      </c>
      <c r="I64" s="94">
        <f>VLOOKUP(C64,'TBFeb23 '!$A57:$I$172,9,0)</f>
        <v>4390475309</v>
      </c>
      <c r="J64" s="94">
        <f>VLOOKUP(C64,TBMar23!$A$8:I181,9,0)</f>
        <v>4390475309</v>
      </c>
      <c r="K64" s="16"/>
      <c r="L64" s="16"/>
      <c r="M64" s="16"/>
      <c r="N64" s="16"/>
      <c r="O64" s="16"/>
      <c r="P64" s="16"/>
      <c r="Q64" s="16"/>
      <c r="R64" s="16"/>
      <c r="S64" s="16"/>
      <c r="T64" s="41"/>
      <c r="U64" s="41" t="e">
        <f>#REF!/$U$7</f>
        <v>#REF!</v>
      </c>
      <c r="V64" s="41"/>
    </row>
    <row r="65" spans="1:22" ht="13.8">
      <c r="C65" s="90">
        <v>2421</v>
      </c>
      <c r="D65" s="91" t="s">
        <v>38</v>
      </c>
      <c r="E65" s="99"/>
      <c r="F65" s="95"/>
      <c r="G65" s="93">
        <v>10103000</v>
      </c>
      <c r="H65" s="94">
        <f>VLOOKUP(C65,TBJan23!$A$8:J209,10,0)</f>
        <v>10103000</v>
      </c>
      <c r="I65" s="94">
        <f>VLOOKUP(C65,'TBFeb23 '!$A58:$I$172,9,0)</f>
        <v>10103000</v>
      </c>
      <c r="J65" s="94">
        <f>VLOOKUP(C65,TBMar23!$A$8:I182,9,0)</f>
        <v>10103000</v>
      </c>
      <c r="K65" s="16"/>
      <c r="L65" s="16"/>
      <c r="M65" s="16"/>
      <c r="N65" s="16"/>
      <c r="O65" s="16"/>
      <c r="P65" s="16"/>
      <c r="Q65" s="16"/>
      <c r="R65" s="16"/>
      <c r="S65" s="16"/>
      <c r="T65" s="41"/>
      <c r="U65" s="41" t="e">
        <f>#REF!/$U$7</f>
        <v>#REF!</v>
      </c>
      <c r="V65" s="41"/>
    </row>
    <row r="66" spans="1:22" ht="13.8">
      <c r="C66" s="90">
        <v>28411</v>
      </c>
      <c r="D66" s="91" t="s">
        <v>39</v>
      </c>
      <c r="E66" s="99"/>
      <c r="F66" s="95"/>
      <c r="G66" s="93">
        <v>-45485136</v>
      </c>
      <c r="H66" s="94">
        <f>VLOOKUP(C66,TBJan23!$A$8:J210,10,0)</f>
        <v>-46779798</v>
      </c>
      <c r="I66" s="94">
        <f>VLOOKUP(C66,'TBFeb23 '!$A59:$I$172,9,0)</f>
        <v>-48265010.329999998</v>
      </c>
      <c r="J66" s="94">
        <f>VLOOKUP(C66,TBMar23!$A$8:I183,9,0)</f>
        <v>-49654947.659999996</v>
      </c>
      <c r="K66" s="16"/>
      <c r="L66" s="16"/>
      <c r="M66" s="16"/>
      <c r="N66" s="16"/>
      <c r="O66" s="16"/>
      <c r="P66" s="16"/>
      <c r="Q66" s="16"/>
      <c r="R66" s="16"/>
      <c r="S66" s="16"/>
      <c r="T66" s="41"/>
      <c r="U66" s="41" t="e">
        <f>#REF!/$U$7</f>
        <v>#REF!</v>
      </c>
      <c r="V66" s="41"/>
    </row>
    <row r="67" spans="1:22" ht="13.8">
      <c r="C67" s="90">
        <v>28412</v>
      </c>
      <c r="D67" s="91" t="s">
        <v>40</v>
      </c>
      <c r="E67" s="99"/>
      <c r="F67" s="95"/>
      <c r="G67" s="93">
        <v>-265149727</v>
      </c>
      <c r="H67" s="94">
        <f>VLOOKUP(C67,TBJan23!$A$8:J211,10,0)</f>
        <v>-270159421</v>
      </c>
      <c r="I67" s="94">
        <f>VLOOKUP(C67,'TBFeb23 '!$A60:$I$172,9,0)</f>
        <v>-275169114.54000002</v>
      </c>
      <c r="J67" s="94">
        <f>VLOOKUP(C67,TBMar23!$A$8:I184,9,0)</f>
        <v>-280178808.08000004</v>
      </c>
      <c r="K67" s="16"/>
      <c r="L67" s="16"/>
      <c r="M67" s="16"/>
      <c r="N67" s="16"/>
      <c r="O67" s="16"/>
      <c r="P67" s="16"/>
      <c r="Q67" s="16"/>
      <c r="R67" s="16"/>
      <c r="S67" s="16"/>
      <c r="T67" s="41"/>
      <c r="U67" s="41" t="e">
        <f>#REF!/$U$7</f>
        <v>#REF!</v>
      </c>
      <c r="V67" s="41"/>
    </row>
    <row r="68" spans="1:22" ht="13.8">
      <c r="C68" s="90">
        <v>28413</v>
      </c>
      <c r="D68" s="91" t="s">
        <v>41</v>
      </c>
      <c r="E68" s="99"/>
      <c r="F68" s="95"/>
      <c r="G68" s="93">
        <v>-1936627144</v>
      </c>
      <c r="H68" s="94">
        <f>VLOOKUP(C68,TBJan23!$A$8:J212,10,0)</f>
        <v>-1960335256</v>
      </c>
      <c r="I68" s="94">
        <f>VLOOKUP(C68,'TBFeb23 '!$A61:$I$172,9,0)</f>
        <v>-1961719253.23</v>
      </c>
      <c r="J68" s="94">
        <f>VLOOKUP(C68,TBMar23!$A$8:I185,9,0)</f>
        <v>-1868970142.6299999</v>
      </c>
      <c r="K68" s="16"/>
      <c r="L68" s="16"/>
      <c r="M68" s="16"/>
      <c r="N68" s="16"/>
      <c r="O68" s="16"/>
      <c r="P68" s="16"/>
      <c r="Q68" s="16"/>
      <c r="R68" s="16"/>
      <c r="S68" s="16"/>
      <c r="T68" s="41"/>
      <c r="U68" s="41" t="e">
        <f>#REF!/$U$7</f>
        <v>#REF!</v>
      </c>
      <c r="V68" s="41"/>
    </row>
    <row r="69" spans="1:22" ht="13.8">
      <c r="C69" s="90">
        <v>28414</v>
      </c>
      <c r="D69" s="91" t="s">
        <v>42</v>
      </c>
      <c r="E69" s="99"/>
      <c r="F69" s="95"/>
      <c r="G69" s="93">
        <v>-2001760549.79</v>
      </c>
      <c r="H69" s="94">
        <f>VLOOKUP(C69,TBJan23!$A$8:J213,10,0)</f>
        <v>-2026719883.0699999</v>
      </c>
      <c r="I69" s="94">
        <f>VLOOKUP(C69,'TBFeb23 '!$A62:$I$172,9,0)</f>
        <v>-1323507038.3699999</v>
      </c>
      <c r="J69" s="94">
        <f>VLOOKUP(C69,TBMar23!$A$8:I186,9,0)</f>
        <v>-1347098293.52</v>
      </c>
      <c r="K69" s="16"/>
      <c r="L69" s="16"/>
      <c r="M69" s="16"/>
      <c r="N69" s="16"/>
      <c r="O69" s="16"/>
      <c r="P69" s="16"/>
      <c r="Q69" s="16"/>
      <c r="R69" s="16"/>
      <c r="S69" s="16"/>
      <c r="T69" s="41"/>
      <c r="U69" s="41" t="e">
        <f>#REF!/$U$7</f>
        <v>#REF!</v>
      </c>
      <c r="V69" s="41"/>
    </row>
    <row r="70" spans="1:22" ht="13.8">
      <c r="C70" s="90">
        <v>28421</v>
      </c>
      <c r="D70" s="91" t="s">
        <v>43</v>
      </c>
      <c r="E70" s="99"/>
      <c r="F70" s="95"/>
      <c r="G70" s="93">
        <v>-10103000</v>
      </c>
      <c r="H70" s="94">
        <f>VLOOKUP(C70,TBJan23!$A$8:J214,10,0)</f>
        <v>-10103000</v>
      </c>
      <c r="I70" s="94">
        <f>VLOOKUP(C70,'TBFeb23 '!$A63:$I$172,9,0)</f>
        <v>-10103000</v>
      </c>
      <c r="J70" s="94">
        <f>VLOOKUP(C70,TBMar23!$A$8:I187,9,0)</f>
        <v>-10103000</v>
      </c>
      <c r="K70" s="16"/>
      <c r="L70" s="16"/>
      <c r="M70" s="16"/>
      <c r="N70" s="16"/>
      <c r="O70" s="16"/>
      <c r="P70" s="16"/>
      <c r="Q70" s="16"/>
      <c r="R70" s="16"/>
      <c r="S70" s="16"/>
      <c r="T70" s="41"/>
      <c r="U70" s="41" t="e">
        <f>#REF!/$U$7</f>
        <v>#REF!</v>
      </c>
      <c r="V70" s="41"/>
    </row>
    <row r="71" spans="1:22" ht="13.8">
      <c r="C71" s="90">
        <v>2841</v>
      </c>
      <c r="D71" s="91" t="s">
        <v>146</v>
      </c>
      <c r="E71" s="99"/>
      <c r="F71" s="95"/>
      <c r="G71" s="93">
        <v>0</v>
      </c>
      <c r="H71" s="94">
        <v>0</v>
      </c>
      <c r="I71" s="94">
        <v>0</v>
      </c>
      <c r="J71" s="94">
        <v>0</v>
      </c>
      <c r="K71" s="16"/>
      <c r="L71" s="16"/>
      <c r="M71" s="16"/>
      <c r="N71" s="16"/>
      <c r="O71" s="16"/>
      <c r="P71" s="16"/>
      <c r="Q71" s="16"/>
      <c r="R71" s="16"/>
      <c r="S71" s="16"/>
      <c r="T71" s="41"/>
      <c r="U71" s="41" t="e">
        <f>#REF!/$U$7</f>
        <v>#REF!</v>
      </c>
      <c r="V71" s="41"/>
    </row>
    <row r="72" spans="1:22" ht="13.8">
      <c r="C72" s="95"/>
      <c r="D72" s="96" t="s">
        <v>147</v>
      </c>
      <c r="E72" s="99"/>
      <c r="F72" s="95"/>
      <c r="G72" s="98">
        <v>6574624380.5700006</v>
      </c>
      <c r="H72" s="98">
        <f>SUM(H59:H71)</f>
        <v>6531085579.2900009</v>
      </c>
      <c r="I72" s="98">
        <f>SUM(I59:I71)</f>
        <v>6399511823.8900003</v>
      </c>
      <c r="J72" s="98">
        <f>SUM(J59:J71)</f>
        <v>6303666848.4700012</v>
      </c>
      <c r="K72" s="11"/>
      <c r="L72" s="11"/>
      <c r="M72" s="11"/>
      <c r="N72" s="11"/>
      <c r="O72" s="11"/>
      <c r="P72" s="11"/>
      <c r="Q72" s="11"/>
      <c r="R72" s="11"/>
      <c r="S72" s="11"/>
      <c r="T72" s="41"/>
      <c r="U72" s="41" t="e">
        <f>#REF!/$U$7</f>
        <v>#REF!</v>
      </c>
      <c r="V72" s="41"/>
    </row>
    <row r="73" spans="1:22" ht="14.4" thickBot="1">
      <c r="C73" s="95"/>
      <c r="D73" s="247" t="s">
        <v>148</v>
      </c>
      <c r="E73" s="248"/>
      <c r="F73" s="249"/>
      <c r="G73" s="250">
        <v>16436344710.909992</v>
      </c>
      <c r="H73" s="114">
        <f>H24+H29+H40+H52+H57+H72</f>
        <v>17941463966.770004</v>
      </c>
      <c r="I73" s="114">
        <f>I24+I29+I40+I52+I57+I72</f>
        <v>18594594245.639999</v>
      </c>
      <c r="J73" s="114">
        <f>J24+J29+J40+J52+J57+J72</f>
        <v>20829363046.220001</v>
      </c>
      <c r="K73" s="13"/>
      <c r="L73" s="13"/>
      <c r="M73" s="13"/>
      <c r="N73" s="13"/>
      <c r="O73" s="13"/>
      <c r="P73" s="13"/>
      <c r="Q73" s="13"/>
      <c r="R73" s="13"/>
      <c r="S73" s="56"/>
      <c r="T73" s="41"/>
      <c r="U73" s="59" t="e">
        <f>#REF!/$U$7</f>
        <v>#REF!</v>
      </c>
      <c r="V73" s="41"/>
    </row>
    <row r="74" spans="1:22" ht="14.4" thickTop="1">
      <c r="A74" s="1" t="s">
        <v>149</v>
      </c>
      <c r="B74" s="1"/>
      <c r="C74" s="96"/>
      <c r="D74" s="95"/>
      <c r="E74" s="97"/>
      <c r="F74" s="95"/>
      <c r="G74" s="93"/>
      <c r="H74" s="94"/>
      <c r="I74" s="94"/>
      <c r="J74" s="94"/>
      <c r="K74" s="4"/>
      <c r="T74" s="41"/>
      <c r="U74" s="41" t="e">
        <f>#REF!/$U$7</f>
        <v>#REF!</v>
      </c>
      <c r="V74" s="41"/>
    </row>
    <row r="75" spans="1:22" ht="13.8">
      <c r="A75" s="1"/>
      <c r="B75" s="1"/>
      <c r="C75" s="96" t="s">
        <v>150</v>
      </c>
      <c r="D75" s="95"/>
      <c r="E75" s="97"/>
      <c r="F75" s="95"/>
      <c r="G75" s="93"/>
      <c r="H75" s="94"/>
      <c r="I75" s="94"/>
      <c r="J75" s="94"/>
      <c r="K75" s="4"/>
      <c r="T75" s="41"/>
      <c r="U75" s="41" t="e">
        <f>#REF!/$U$7</f>
        <v>#REF!</v>
      </c>
      <c r="V75" s="41"/>
    </row>
    <row r="76" spans="1:22" s="3" customFormat="1" ht="13.8">
      <c r="A76" s="1"/>
      <c r="B76" s="1"/>
      <c r="C76" s="96" t="s">
        <v>151</v>
      </c>
      <c r="D76" s="95"/>
      <c r="E76" s="97"/>
      <c r="F76" s="95"/>
      <c r="G76" s="93"/>
      <c r="H76" s="94"/>
      <c r="I76" s="94"/>
      <c r="J76" s="94"/>
      <c r="K76" s="4"/>
      <c r="L76" s="4"/>
      <c r="M76" s="4"/>
      <c r="N76" s="4"/>
      <c r="O76" s="4"/>
      <c r="P76" s="4"/>
      <c r="Q76" s="4"/>
      <c r="R76" s="4"/>
      <c r="S76" s="4"/>
      <c r="T76" s="41"/>
      <c r="U76" s="41" t="e">
        <f>#REF!/$U$7</f>
        <v>#REF!</v>
      </c>
      <c r="V76" s="41"/>
    </row>
    <row r="77" spans="1:22" s="3" customFormat="1" ht="13.8">
      <c r="A77" s="2"/>
      <c r="B77" s="2"/>
      <c r="C77" s="96" t="s">
        <v>152</v>
      </c>
      <c r="D77" s="95"/>
      <c r="E77" s="97"/>
      <c r="F77" s="95"/>
      <c r="G77" s="93"/>
      <c r="H77" s="94"/>
      <c r="I77" s="94"/>
      <c r="J77" s="94"/>
      <c r="K77" s="4"/>
      <c r="L77" s="4"/>
      <c r="M77" s="4"/>
      <c r="N77" s="4"/>
      <c r="O77" s="4"/>
      <c r="P77" s="4"/>
      <c r="Q77" s="4"/>
      <c r="R77" s="4"/>
      <c r="S77" s="4"/>
      <c r="T77" s="41"/>
      <c r="U77" s="41" t="e">
        <f>#REF!/$U$7</f>
        <v>#REF!</v>
      </c>
      <c r="V77" s="41"/>
    </row>
    <row r="78" spans="1:22" s="3" customFormat="1" ht="13.8">
      <c r="A78" s="2"/>
      <c r="B78" s="2"/>
      <c r="C78" s="90">
        <v>401.01</v>
      </c>
      <c r="D78" s="90" t="s">
        <v>153</v>
      </c>
      <c r="E78" s="258"/>
      <c r="F78" s="258"/>
      <c r="G78" s="93">
        <v>0</v>
      </c>
      <c r="H78" s="94">
        <f>VLOOKUP(C78,TBJan23!$A$8:J222,10,0)</f>
        <v>0</v>
      </c>
      <c r="I78" s="94">
        <f>-VLOOKUP(C78,'TBFeb23 '!$A71:$I$172,9,0)</f>
        <v>0</v>
      </c>
      <c r="J78" s="94">
        <v>0</v>
      </c>
      <c r="K78" s="16"/>
      <c r="L78" s="16"/>
      <c r="M78" s="16"/>
      <c r="N78" s="16"/>
      <c r="O78" s="16"/>
      <c r="P78" s="16"/>
      <c r="Q78" s="16"/>
      <c r="R78" s="16"/>
      <c r="S78" s="16"/>
      <c r="T78" s="41"/>
      <c r="U78" s="41" t="e">
        <f>#REF!/$U$7</f>
        <v>#REF!</v>
      </c>
      <c r="V78" s="41"/>
    </row>
    <row r="79" spans="1:22" s="3" customFormat="1" ht="13.8">
      <c r="A79" s="2"/>
      <c r="B79" s="2"/>
      <c r="C79" s="90">
        <v>401.02</v>
      </c>
      <c r="D79" s="90" t="s">
        <v>154</v>
      </c>
      <c r="E79" s="95"/>
      <c r="F79" s="95"/>
      <c r="G79" s="93">
        <v>109788000</v>
      </c>
      <c r="H79" s="94">
        <f>-VLOOKUP(C79,TBJan23!$A$8:J223,10,0)</f>
        <v>194389562</v>
      </c>
      <c r="I79" s="94">
        <f>-VLOOKUP(C79,'TBFeb23 '!$A72:$I$172,9,0)</f>
        <v>0</v>
      </c>
      <c r="J79" s="94">
        <v>0</v>
      </c>
      <c r="K79" s="16"/>
      <c r="L79" s="16"/>
      <c r="M79" s="16"/>
      <c r="N79" s="16"/>
      <c r="O79" s="16"/>
      <c r="P79" s="16"/>
      <c r="Q79" s="16"/>
      <c r="R79" s="16"/>
      <c r="S79" s="16"/>
      <c r="T79" s="41"/>
      <c r="U79" s="41" t="e">
        <f>#REF!/$U$7</f>
        <v>#REF!</v>
      </c>
      <c r="V79" s="41"/>
    </row>
    <row r="80" spans="1:22" s="3" customFormat="1" ht="13.8">
      <c r="A80" s="2"/>
      <c r="B80" s="2"/>
      <c r="C80" s="90">
        <v>401.03</v>
      </c>
      <c r="D80" s="90" t="s">
        <v>155</v>
      </c>
      <c r="E80" s="258"/>
      <c r="F80" s="258"/>
      <c r="G80" s="93">
        <v>190605400</v>
      </c>
      <c r="H80" s="94">
        <f>-VLOOKUP(C80,TBJan23!$A$8:J224,10,0)</f>
        <v>594000000</v>
      </c>
      <c r="I80" s="94">
        <f>-VLOOKUP(C80,'TBFeb23 '!$A73:$I$172,9,0)</f>
        <v>855175200</v>
      </c>
      <c r="J80" s="94">
        <f>-VLOOKUP(C80,TBMar23!$A$8:I197,9,0)</f>
        <v>1191574800</v>
      </c>
      <c r="K80" s="16"/>
      <c r="L80" s="16"/>
      <c r="M80" s="16"/>
      <c r="N80" s="16"/>
      <c r="O80" s="16"/>
      <c r="P80" s="16"/>
      <c r="Q80" s="16"/>
      <c r="R80" s="16"/>
      <c r="S80" s="16"/>
      <c r="T80" s="41"/>
      <c r="U80" s="41" t="e">
        <f>#REF!/$U$7</f>
        <v>#REF!</v>
      </c>
      <c r="V80" s="41"/>
    </row>
    <row r="81" spans="1:22" s="3" customFormat="1" ht="13.8">
      <c r="A81" s="2"/>
      <c r="B81" s="2"/>
      <c r="C81" s="90">
        <v>401.04</v>
      </c>
      <c r="D81" s="90" t="s">
        <v>156</v>
      </c>
      <c r="E81" s="95"/>
      <c r="F81" s="95"/>
      <c r="G81" s="93">
        <v>58687200</v>
      </c>
      <c r="H81" s="94">
        <f>-VLOOKUP(C81,TBJan23!$A$8:J225,10,0)</f>
        <v>112710000</v>
      </c>
      <c r="I81" s="94">
        <f>-VLOOKUP(C81,'TBFeb23 '!$A74:$I$172,9,0)</f>
        <v>87150000</v>
      </c>
      <c r="J81" s="94">
        <f>-VLOOKUP(C81,TBMar23!$A$8:I198,9,0)</f>
        <v>169713750</v>
      </c>
      <c r="K81" s="16"/>
      <c r="L81" s="16"/>
      <c r="M81" s="16"/>
      <c r="N81" s="16"/>
      <c r="O81" s="16"/>
      <c r="P81" s="16"/>
      <c r="Q81" s="16"/>
      <c r="R81" s="16"/>
      <c r="S81" s="16"/>
      <c r="T81" s="41"/>
      <c r="U81" s="41" t="e">
        <f>#REF!/$U$7</f>
        <v>#REF!</v>
      </c>
      <c r="V81" s="41"/>
    </row>
    <row r="82" spans="1:22" s="3" customFormat="1" ht="13.8">
      <c r="A82" s="2"/>
      <c r="B82" s="2"/>
      <c r="C82" s="90">
        <v>401.05</v>
      </c>
      <c r="D82" s="90" t="s">
        <v>157</v>
      </c>
      <c r="E82" s="258"/>
      <c r="F82" s="258"/>
      <c r="G82" s="93">
        <v>267061340</v>
      </c>
      <c r="H82" s="94">
        <f>-VLOOKUP(C82,TBJan23!$A$8:J226,10,0)</f>
        <v>542766480</v>
      </c>
      <c r="I82" s="94">
        <f>-VLOOKUP(C82,'TBFeb23 '!$A75:$I$172,9,0)</f>
        <v>371549000</v>
      </c>
      <c r="J82" s="94">
        <f>-VLOOKUP(C82,TBMar23!$A$8:I199,9,0)</f>
        <v>625563294.33000004</v>
      </c>
      <c r="K82" s="16"/>
      <c r="L82" s="16"/>
      <c r="M82" s="16"/>
      <c r="N82" s="16"/>
      <c r="O82" s="16"/>
      <c r="P82" s="16"/>
      <c r="Q82" s="16"/>
      <c r="R82" s="16"/>
      <c r="S82" s="16"/>
      <c r="T82" s="41"/>
      <c r="U82" s="41" t="e">
        <f>#REF!/$U$7</f>
        <v>#REF!</v>
      </c>
      <c r="V82" s="41"/>
    </row>
    <row r="83" spans="1:22" s="3" customFormat="1" ht="13.8">
      <c r="A83" s="2"/>
      <c r="B83" s="2"/>
      <c r="C83" s="90">
        <v>401.06</v>
      </c>
      <c r="D83" s="90" t="s">
        <v>158</v>
      </c>
      <c r="E83" s="95"/>
      <c r="F83" s="95"/>
      <c r="G83" s="93">
        <v>39813362.5</v>
      </c>
      <c r="H83" s="94">
        <f>-VLOOKUP(C83,TBJan23!$A$8:J227,10,0)</f>
        <v>110343749.5</v>
      </c>
      <c r="I83" s="94">
        <f>-VLOOKUP(C83,'TBFeb23 '!$A76:$I$172,9,0)</f>
        <v>151580212.5</v>
      </c>
      <c r="J83" s="94">
        <f>-VLOOKUP(C83,TBMar23!$A$8:I200,9,0)</f>
        <v>194357475</v>
      </c>
      <c r="K83" s="16"/>
      <c r="L83" s="16"/>
      <c r="M83" s="16"/>
      <c r="N83" s="16"/>
      <c r="O83" s="16"/>
      <c r="P83" s="16"/>
      <c r="Q83" s="16"/>
      <c r="R83" s="16"/>
      <c r="S83" s="16"/>
      <c r="T83" s="41"/>
      <c r="U83" s="41" t="e">
        <f>#REF!/$U$7</f>
        <v>#REF!</v>
      </c>
      <c r="V83" s="41"/>
    </row>
    <row r="84" spans="1:22" s="3" customFormat="1" ht="13.8">
      <c r="A84" s="2"/>
      <c r="B84" s="2"/>
      <c r="C84" s="90">
        <v>402</v>
      </c>
      <c r="D84" s="90" t="s">
        <v>159</v>
      </c>
      <c r="E84" s="258"/>
      <c r="F84" s="258"/>
      <c r="G84" s="93">
        <v>0</v>
      </c>
      <c r="H84" s="94">
        <f>-VLOOKUP(C84,TBJan23!$A$8:J228,10,0)</f>
        <v>0</v>
      </c>
      <c r="I84" s="94">
        <f>-VLOOKUP(C84,'TBFeb23 '!$A77:$I$172,9,0)</f>
        <v>0</v>
      </c>
      <c r="J84" s="94">
        <v>0</v>
      </c>
      <c r="K84" s="16"/>
      <c r="L84" s="16"/>
      <c r="M84" s="16"/>
      <c r="N84" s="16"/>
      <c r="O84" s="16"/>
      <c r="P84" s="16"/>
      <c r="Q84" s="16"/>
      <c r="R84" s="16"/>
      <c r="S84" s="16"/>
      <c r="T84" s="41"/>
      <c r="U84" s="41" t="e">
        <f>#REF!/$U$7</f>
        <v>#REF!</v>
      </c>
      <c r="V84" s="41"/>
    </row>
    <row r="85" spans="1:22" s="3" customFormat="1" ht="13.8">
      <c r="A85" s="2"/>
      <c r="B85" s="2"/>
      <c r="C85" s="90">
        <v>402.01</v>
      </c>
      <c r="D85" s="90" t="s">
        <v>160</v>
      </c>
      <c r="E85" s="95"/>
      <c r="F85" s="95"/>
      <c r="G85" s="93">
        <v>3985935.7100000167</v>
      </c>
      <c r="H85" s="94">
        <f>-VLOOKUP(C85,TBJan23!$A$8:J229,10,0)</f>
        <v>4629439.7399999993</v>
      </c>
      <c r="I85" s="94">
        <f>-VLOOKUP(C85,'TBFeb23 '!$A78:$I$172,9,0)</f>
        <v>8013709.9000000004</v>
      </c>
      <c r="J85" s="94">
        <f>-VLOOKUP(C85,TBMar23!$A$8:I202,9,0)</f>
        <v>9623305.2000000011</v>
      </c>
      <c r="K85" s="16"/>
      <c r="L85" s="16"/>
      <c r="M85" s="16"/>
      <c r="N85" s="16"/>
      <c r="O85" s="16"/>
      <c r="P85" s="16"/>
      <c r="Q85" s="16"/>
      <c r="R85" s="16"/>
      <c r="S85" s="16"/>
      <c r="T85" s="41"/>
      <c r="U85" s="41" t="e">
        <f>#REF!/$U$7</f>
        <v>#REF!</v>
      </c>
      <c r="V85" s="41"/>
    </row>
    <row r="86" spans="1:22" s="3" customFormat="1" ht="13.8">
      <c r="A86" s="2"/>
      <c r="B86" s="2"/>
      <c r="C86" s="90">
        <v>402.02</v>
      </c>
      <c r="D86" s="90" t="s">
        <v>161</v>
      </c>
      <c r="E86" s="258"/>
      <c r="F86" s="258"/>
      <c r="G86" s="93">
        <v>3084131.6</v>
      </c>
      <c r="H86" s="94">
        <f>-VLOOKUP(C86,TBJan23!$A$8:J230,10,0)</f>
        <v>2793144.8</v>
      </c>
      <c r="I86" s="94">
        <f>-VLOOKUP(C86,'TBFeb23 '!$A79:$I$172,9,0)</f>
        <v>2091143.2000000002</v>
      </c>
      <c r="J86" s="94">
        <f>-VLOOKUP(C86,TBMar23!$A$8:I203,9,0)</f>
        <v>8855917.1999999993</v>
      </c>
      <c r="K86" s="16"/>
      <c r="L86" s="16"/>
      <c r="M86" s="16"/>
      <c r="N86" s="16"/>
      <c r="O86" s="16"/>
      <c r="P86" s="16"/>
      <c r="Q86" s="16"/>
      <c r="R86" s="16"/>
      <c r="S86" s="16"/>
      <c r="T86" s="41"/>
      <c r="U86" s="41" t="e">
        <f>#REF!/$U$7</f>
        <v>#REF!</v>
      </c>
      <c r="V86" s="41"/>
    </row>
    <row r="87" spans="1:22" s="3" customFormat="1" ht="13.8">
      <c r="A87" s="2"/>
      <c r="B87" s="2"/>
      <c r="C87" s="90">
        <v>402.03</v>
      </c>
      <c r="D87" s="90" t="s">
        <v>162</v>
      </c>
      <c r="E87" s="95"/>
      <c r="F87" s="95"/>
      <c r="G87" s="93">
        <v>0</v>
      </c>
      <c r="H87" s="94">
        <f>-VLOOKUP(C87,TBJan23!$A$8:J231,10,0)</f>
        <v>0</v>
      </c>
      <c r="I87" s="94">
        <f>-VLOOKUP(C87,'TBFeb23 '!$A80:$I$172,9,0)</f>
        <v>0</v>
      </c>
      <c r="J87" s="94">
        <v>0</v>
      </c>
      <c r="K87" s="16"/>
      <c r="L87" s="16"/>
      <c r="M87" s="16"/>
      <c r="N87" s="16"/>
      <c r="O87" s="16"/>
      <c r="P87" s="16"/>
      <c r="Q87" s="16"/>
      <c r="R87" s="16"/>
      <c r="S87" s="16"/>
      <c r="T87" s="41"/>
      <c r="U87" s="41" t="e">
        <f>#REF!/$U$7</f>
        <v>#REF!</v>
      </c>
      <c r="V87" s="41"/>
    </row>
    <row r="88" spans="1:22" s="3" customFormat="1" ht="13.8">
      <c r="A88" s="2"/>
      <c r="B88" s="2"/>
      <c r="C88" s="90">
        <v>402.04</v>
      </c>
      <c r="D88" s="90" t="s">
        <v>163</v>
      </c>
      <c r="E88" s="258"/>
      <c r="F88" s="258"/>
      <c r="G88" s="93">
        <v>0</v>
      </c>
      <c r="H88" s="94">
        <f>-VLOOKUP(C88,TBJan23!$A$8:J232,10,0)</f>
        <v>0</v>
      </c>
      <c r="I88" s="94">
        <f>-VLOOKUP(C88,'TBFeb23 '!$A81:$I$172,9,0)</f>
        <v>0</v>
      </c>
      <c r="J88" s="94">
        <v>0</v>
      </c>
      <c r="K88" s="16"/>
      <c r="L88" s="16"/>
      <c r="M88" s="16"/>
      <c r="N88" s="16"/>
      <c r="O88" s="16"/>
      <c r="P88" s="16"/>
      <c r="Q88" s="16"/>
      <c r="R88" s="16"/>
      <c r="S88" s="16"/>
      <c r="T88" s="41"/>
      <c r="U88" s="41" t="e">
        <f>#REF!/$U$7</f>
        <v>#REF!</v>
      </c>
      <c r="V88" s="41"/>
    </row>
    <row r="89" spans="1:22" s="3" customFormat="1" ht="13.8">
      <c r="A89" s="2"/>
      <c r="B89" s="2"/>
      <c r="C89" s="90">
        <v>403</v>
      </c>
      <c r="D89" s="90" t="s">
        <v>164</v>
      </c>
      <c r="E89" s="95"/>
      <c r="F89" s="95"/>
      <c r="G89" s="93">
        <v>0</v>
      </c>
      <c r="H89" s="94">
        <f>-VLOOKUP(C89,TBJan23!$A$8:J233,10,0)</f>
        <v>0</v>
      </c>
      <c r="I89" s="94">
        <f>-VLOOKUP(C89,'TBFeb23 '!$A82:$I$172,9,0)</f>
        <v>0</v>
      </c>
      <c r="J89" s="94">
        <v>0</v>
      </c>
      <c r="K89" s="16"/>
      <c r="L89" s="16"/>
      <c r="M89" s="16"/>
      <c r="N89" s="16"/>
      <c r="O89" s="16"/>
      <c r="P89" s="16"/>
      <c r="Q89" s="16"/>
      <c r="R89" s="16"/>
      <c r="S89" s="16"/>
      <c r="T89" s="41"/>
      <c r="U89" s="41" t="e">
        <f>#REF!/$U$7</f>
        <v>#REF!</v>
      </c>
      <c r="V89" s="41"/>
    </row>
    <row r="90" spans="1:22" s="3" customFormat="1" ht="13.8">
      <c r="A90" s="2"/>
      <c r="B90" s="2"/>
      <c r="C90" s="90">
        <v>404</v>
      </c>
      <c r="D90" s="91" t="s">
        <v>58</v>
      </c>
      <c r="E90" s="258"/>
      <c r="F90" s="258"/>
      <c r="G90" s="93">
        <v>0</v>
      </c>
      <c r="H90" s="94">
        <f>-VLOOKUP(C90,TBJan23!$A$8:J234,10,0)</f>
        <v>0</v>
      </c>
      <c r="I90" s="94">
        <f>-VLOOKUP(C90,'TBFeb23 '!$A83:$I$172,9,0)</f>
        <v>0</v>
      </c>
      <c r="J90" s="94">
        <v>0</v>
      </c>
      <c r="K90" s="16"/>
      <c r="L90" s="16"/>
      <c r="M90" s="16"/>
      <c r="N90" s="16"/>
      <c r="O90" s="16"/>
      <c r="P90" s="16"/>
      <c r="Q90" s="16"/>
      <c r="R90" s="16"/>
      <c r="S90" s="16"/>
      <c r="T90" s="41"/>
      <c r="U90" s="41" t="e">
        <f>#REF!/$U$7</f>
        <v>#REF!</v>
      </c>
      <c r="V90" s="41"/>
    </row>
    <row r="91" spans="1:22" s="3" customFormat="1" ht="13.8">
      <c r="A91" s="2"/>
      <c r="B91" s="2"/>
      <c r="C91" s="90">
        <v>402.05</v>
      </c>
      <c r="D91" s="91" t="s">
        <v>165</v>
      </c>
      <c r="E91" s="95"/>
      <c r="F91" s="95"/>
      <c r="G91" s="93">
        <v>70000</v>
      </c>
      <c r="H91" s="94">
        <f>-VLOOKUP(C91,TBJan23!$A$8:J235,10,0)</f>
        <v>70000</v>
      </c>
      <c r="I91" s="94">
        <f>-VLOOKUP(C91,'TBFeb23 '!$A84:$I$172,9,0)</f>
        <v>70000</v>
      </c>
      <c r="J91" s="94">
        <f>-VLOOKUP(C91,TBMar23!$A$8:I208,9,0)</f>
        <v>70000</v>
      </c>
      <c r="K91" s="16"/>
      <c r="L91" s="16"/>
      <c r="M91" s="16"/>
      <c r="N91" s="16"/>
      <c r="O91" s="16"/>
      <c r="P91" s="16"/>
      <c r="Q91" s="16"/>
      <c r="R91" s="16"/>
      <c r="S91" s="57"/>
      <c r="T91" s="41"/>
      <c r="U91" s="41" t="e">
        <f>#REF!/$U$7</f>
        <v>#REF!</v>
      </c>
      <c r="V91" s="41"/>
    </row>
    <row r="92" spans="1:22" s="3" customFormat="1" ht="13.8">
      <c r="A92" s="2"/>
      <c r="B92" s="2"/>
      <c r="C92" s="90">
        <v>402.07</v>
      </c>
      <c r="D92" s="91" t="s">
        <v>51</v>
      </c>
      <c r="E92" s="95"/>
      <c r="F92" s="95"/>
      <c r="G92" s="93">
        <v>14862728.000000015</v>
      </c>
      <c r="H92" s="94">
        <f>-VLOOKUP(C92,TBJan23!$A$8:J236,10,0)</f>
        <v>373216</v>
      </c>
      <c r="I92" s="94">
        <f>-VLOOKUP(C92,'TBFeb23 '!$A85:$I$172,9,0)</f>
        <v>14876424</v>
      </c>
      <c r="J92" s="94">
        <f>-VLOOKUP(C92,TBMar23!$A$8:I209,9,0)</f>
        <v>14870432</v>
      </c>
      <c r="K92" s="16"/>
      <c r="L92" s="16"/>
      <c r="M92" s="16"/>
      <c r="N92" s="16"/>
      <c r="O92" s="16"/>
      <c r="P92" s="16"/>
      <c r="Q92" s="16"/>
      <c r="R92" s="16"/>
      <c r="S92" s="57"/>
      <c r="T92" s="41"/>
      <c r="U92" s="41" t="e">
        <f>#REF!/$U$7</f>
        <v>#REF!</v>
      </c>
      <c r="V92" s="41"/>
    </row>
    <row r="93" spans="1:22" s="3" customFormat="1" ht="13.8">
      <c r="A93" s="2"/>
      <c r="B93" s="2"/>
      <c r="C93" s="90">
        <v>402.08</v>
      </c>
      <c r="D93" s="91" t="s">
        <v>52</v>
      </c>
      <c r="E93" s="258"/>
      <c r="F93" s="258"/>
      <c r="G93" s="93">
        <v>60000</v>
      </c>
      <c r="H93" s="94">
        <f>-VLOOKUP(C93,TBJan23!$A$8:J237,10,0)</f>
        <v>60000</v>
      </c>
      <c r="I93" s="94">
        <f>-VLOOKUP(C93,'TBFeb23 '!$A86:$I$172,9,0)</f>
        <v>60000</v>
      </c>
      <c r="J93" s="94">
        <f>-VLOOKUP(C93,TBMar23!$A$8:I210,9,0)</f>
        <v>60000</v>
      </c>
      <c r="K93" s="16"/>
      <c r="L93" s="16"/>
      <c r="M93" s="16"/>
      <c r="N93" s="16"/>
      <c r="O93" s="16"/>
      <c r="P93" s="16"/>
      <c r="Q93" s="16"/>
      <c r="R93" s="16"/>
      <c r="S93" s="16"/>
      <c r="T93" s="41"/>
      <c r="U93" s="41" t="e">
        <f>#REF!/$U$7</f>
        <v>#REF!</v>
      </c>
      <c r="V93" s="41"/>
    </row>
    <row r="94" spans="1:22" s="3" customFormat="1" ht="13.8">
      <c r="A94" s="2"/>
      <c r="B94" s="2"/>
      <c r="C94" s="90">
        <v>402.11</v>
      </c>
      <c r="D94" s="91" t="s">
        <v>53</v>
      </c>
      <c r="E94" s="90"/>
      <c r="F94" s="90"/>
      <c r="G94" s="93">
        <v>0</v>
      </c>
      <c r="H94" s="94">
        <f>-VLOOKUP(C94,TBJan23!$A$8:J238,10,0)</f>
        <v>0</v>
      </c>
      <c r="I94" s="94">
        <f>-VLOOKUP(C94,'TBFeb23 '!$A87:$I$172,9,0)</f>
        <v>0</v>
      </c>
      <c r="J94" s="94">
        <v>0</v>
      </c>
      <c r="K94" s="16"/>
      <c r="L94" s="16"/>
      <c r="M94" s="16"/>
      <c r="N94" s="16"/>
      <c r="O94" s="16"/>
      <c r="P94" s="16"/>
      <c r="Q94" s="16"/>
      <c r="R94" s="16"/>
      <c r="S94" s="16"/>
      <c r="T94" s="41"/>
      <c r="U94" s="41" t="e">
        <f>#REF!/$U$7</f>
        <v>#REF!</v>
      </c>
      <c r="V94" s="41"/>
    </row>
    <row r="95" spans="1:22" s="3" customFormat="1" ht="13.8">
      <c r="A95" s="2"/>
      <c r="B95" s="2"/>
      <c r="C95" s="90">
        <v>402.12</v>
      </c>
      <c r="D95" s="91" t="s">
        <v>54</v>
      </c>
      <c r="E95" s="90"/>
      <c r="F95" s="90"/>
      <c r="G95" s="93">
        <v>76699489.829999998</v>
      </c>
      <c r="H95" s="94">
        <f>-VLOOKUP(C95,TBJan23!$A$8:J239,10,0)</f>
        <v>25896955.840000004</v>
      </c>
      <c r="I95" s="94">
        <f>-VLOOKUP(C95,'TBFeb23 '!$A88:$I$172,9,0)</f>
        <v>6770800.0000000037</v>
      </c>
      <c r="J95" s="94">
        <f>VLOOKUP(C95,TBMar23!$A$8:I212,9,0)</f>
        <v>1.3969838619232178E-8</v>
      </c>
      <c r="K95" s="16"/>
      <c r="L95" s="16"/>
      <c r="M95" s="16"/>
      <c r="N95" s="16"/>
      <c r="O95" s="16"/>
      <c r="P95" s="16"/>
      <c r="Q95" s="16"/>
      <c r="R95" s="16"/>
      <c r="S95" s="57"/>
      <c r="T95" s="41"/>
      <c r="U95" s="41" t="e">
        <f>#REF!/$U$7</f>
        <v>#REF!</v>
      </c>
      <c r="V95" s="41"/>
    </row>
    <row r="96" spans="1:22" s="4" customFormat="1" ht="14.4">
      <c r="A96" s="2"/>
      <c r="B96" s="2"/>
      <c r="C96" s="90">
        <v>402.14</v>
      </c>
      <c r="D96" s="103" t="s">
        <v>55</v>
      </c>
      <c r="E96" s="90"/>
      <c r="F96" s="90"/>
      <c r="G96" s="93">
        <v>491601600</v>
      </c>
      <c r="H96" s="94">
        <f>-VLOOKUP(C96,TBJan23!$A$8:J240,10,0)</f>
        <v>587412800</v>
      </c>
      <c r="I96" s="94">
        <f>-VLOOKUP(C96,'TBFeb23 '!$A89:$I$172,9,0)</f>
        <v>163061600</v>
      </c>
      <c r="J96" s="94">
        <f>-VLOOKUP(C96,TBMar23!$A$8:I213,9,0)</f>
        <v>677775600</v>
      </c>
      <c r="K96" s="16"/>
      <c r="L96" s="16"/>
      <c r="M96" s="16"/>
      <c r="N96" s="16"/>
      <c r="O96" s="16"/>
      <c r="P96" s="16"/>
      <c r="Q96" s="16"/>
      <c r="R96" s="16"/>
      <c r="S96" s="16"/>
      <c r="T96" s="41"/>
      <c r="U96" s="41" t="e">
        <f>#REF!/$U$7</f>
        <v>#REF!</v>
      </c>
      <c r="V96" s="41"/>
    </row>
    <row r="97" spans="1:22" s="4" customFormat="1" ht="13.8">
      <c r="A97" s="2"/>
      <c r="B97" s="2"/>
      <c r="C97" s="90">
        <v>402.15</v>
      </c>
      <c r="D97" s="55" t="s">
        <v>56</v>
      </c>
      <c r="E97" s="90"/>
      <c r="F97" s="90"/>
      <c r="G97" s="93">
        <v>11285950</v>
      </c>
      <c r="H97" s="94">
        <f>-VLOOKUP(C97,TBJan23!$A$8:J241,10,0)</f>
        <v>19466050</v>
      </c>
      <c r="I97" s="94">
        <f>-VLOOKUP(C97,'TBFeb23 '!$A90:$I$172,9,0)</f>
        <v>19466050</v>
      </c>
      <c r="J97" s="94">
        <f>-VLOOKUP(C97,TBMar23!$A$8:I214,9,0)</f>
        <v>8475000</v>
      </c>
      <c r="K97" s="16"/>
      <c r="L97" s="16"/>
      <c r="M97" s="16"/>
      <c r="N97" s="16"/>
      <c r="O97" s="16"/>
      <c r="P97" s="16"/>
      <c r="Q97" s="16"/>
      <c r="R97" s="16"/>
      <c r="S97" s="16"/>
      <c r="T97" s="41"/>
      <c r="U97" s="41" t="e">
        <f>#REF!/$U$7</f>
        <v>#REF!</v>
      </c>
      <c r="V97" s="41"/>
    </row>
    <row r="98" spans="1:22" s="4" customFormat="1" ht="13.8">
      <c r="A98" s="2"/>
      <c r="B98" s="2"/>
      <c r="C98" s="90">
        <v>402.16</v>
      </c>
      <c r="D98" s="55" t="s">
        <v>166</v>
      </c>
      <c r="E98" s="90"/>
      <c r="F98" s="90"/>
      <c r="G98" s="93">
        <v>0</v>
      </c>
      <c r="H98" s="94">
        <f>-VLOOKUP(C98,TBJan23!$A$8:J242,10,0)</f>
        <v>74781793.300000012</v>
      </c>
      <c r="I98" s="94">
        <f>-VLOOKUP(C98,'TBFeb23 '!$A91:$I$172,9,0)</f>
        <v>21160380.000000015</v>
      </c>
      <c r="J98" s="94">
        <f>VLOOKUP(C98,TBMar23!$A$8:I215,9,0)</f>
        <v>0</v>
      </c>
      <c r="K98" s="16"/>
      <c r="L98" s="16"/>
      <c r="M98" s="16"/>
      <c r="N98" s="16"/>
      <c r="O98" s="16"/>
      <c r="P98" s="16"/>
      <c r="Q98" s="16"/>
      <c r="R98" s="16"/>
      <c r="S98" s="16"/>
      <c r="T98" s="41"/>
      <c r="U98" s="41" t="e">
        <f>#REF!/$U$7</f>
        <v>#REF!</v>
      </c>
      <c r="V98" s="41"/>
    </row>
    <row r="99" spans="1:22" s="4" customFormat="1" ht="13.8">
      <c r="A99" s="2"/>
      <c r="B99" s="2"/>
      <c r="C99" s="90">
        <v>402.17</v>
      </c>
      <c r="D99" s="202" t="s">
        <v>57</v>
      </c>
      <c r="E99" s="90"/>
      <c r="F99" s="90"/>
      <c r="G99" s="93">
        <v>0</v>
      </c>
      <c r="H99" s="94">
        <f>-VLOOKUP(C99,TBJan23!$A$8:J243,10,0)</f>
        <v>0</v>
      </c>
      <c r="I99" s="94">
        <f>-VLOOKUP(C99,'TBFeb23 '!$A92:$I$172,9,0)</f>
        <v>19000000</v>
      </c>
      <c r="J99" s="94">
        <f>-VLOOKUP(C99,TBMar23!$A$8:I216,9,0)</f>
        <v>76114000</v>
      </c>
      <c r="K99" s="16"/>
      <c r="L99" s="16"/>
      <c r="M99" s="16"/>
      <c r="N99" s="16"/>
      <c r="O99" s="16"/>
      <c r="P99" s="16"/>
      <c r="Q99" s="16"/>
      <c r="R99" s="16"/>
      <c r="S99" s="16"/>
      <c r="T99" s="41"/>
      <c r="U99" s="41" t="e">
        <f>#REF!/$U$7</f>
        <v>#REF!</v>
      </c>
      <c r="V99" s="41"/>
    </row>
    <row r="100" spans="1:22" s="4" customFormat="1" ht="13.8">
      <c r="A100" s="2"/>
      <c r="B100" s="2"/>
      <c r="C100" s="90">
        <v>402.18</v>
      </c>
      <c r="D100" s="202" t="s">
        <v>320</v>
      </c>
      <c r="E100" s="90"/>
      <c r="F100" s="90"/>
      <c r="G100" s="93"/>
      <c r="H100" s="94"/>
      <c r="I100" s="94">
        <f>-VLOOKUP(C100,'TBFeb23 '!$A93:$I$172,9,0)</f>
        <v>125670062.86</v>
      </c>
      <c r="J100" s="94">
        <f>-VLOOKUP(C100,TBMar23!$A$8:I217,9,0)</f>
        <v>270520177.30000001</v>
      </c>
      <c r="K100" s="16"/>
      <c r="L100" s="16"/>
      <c r="M100" s="16"/>
      <c r="N100" s="16"/>
      <c r="O100" s="16"/>
      <c r="P100" s="16"/>
      <c r="Q100" s="16"/>
      <c r="R100" s="16"/>
      <c r="S100" s="16"/>
      <c r="T100" s="41"/>
      <c r="U100" s="41"/>
      <c r="V100" s="41"/>
    </row>
    <row r="101" spans="1:22" s="4" customFormat="1" ht="13.8">
      <c r="A101" s="2"/>
      <c r="B101" s="2"/>
      <c r="C101" s="90">
        <v>4042</v>
      </c>
      <c r="D101" s="55" t="s">
        <v>247</v>
      </c>
      <c r="E101" s="90"/>
      <c r="F101" s="90"/>
      <c r="G101" s="93">
        <v>109565218.00999999</v>
      </c>
      <c r="H101" s="94">
        <f>-VLOOKUP(C101,TBJan23!$A$8:J244,10,0)</f>
        <v>103943253.48999999</v>
      </c>
      <c r="I101" s="94">
        <f>-VLOOKUP(C101,'TBFeb23 '!$A93:$I$172,9,0)</f>
        <v>98315974.899999991</v>
      </c>
      <c r="J101" s="94">
        <f>-VLOOKUP(C101,TBMar23!$A$8:I218,9,0)</f>
        <v>92686371.400000006</v>
      </c>
      <c r="K101" s="16"/>
      <c r="L101" s="16"/>
      <c r="M101" s="16"/>
      <c r="N101" s="16"/>
      <c r="O101" s="16"/>
      <c r="P101" s="16"/>
      <c r="Q101" s="16"/>
      <c r="R101" s="16"/>
      <c r="S101" s="16"/>
      <c r="T101" s="41"/>
      <c r="U101" s="41" t="e">
        <f>#REF!/$U$7</f>
        <v>#REF!</v>
      </c>
      <c r="V101" s="41"/>
    </row>
    <row r="102" spans="1:22" s="3" customFormat="1" ht="13.8">
      <c r="A102" s="2"/>
      <c r="B102" s="2"/>
      <c r="C102" s="95"/>
      <c r="D102" s="96" t="s">
        <v>167</v>
      </c>
      <c r="E102" s="95"/>
      <c r="F102" s="95"/>
      <c r="G102" s="98">
        <v>1377170355.6500001</v>
      </c>
      <c r="H102" s="98">
        <f>SUM(H78:H101)</f>
        <v>2373636444.6700001</v>
      </c>
      <c r="I102" s="98">
        <f>SUM(I78:I101)</f>
        <v>1944010557.3600001</v>
      </c>
      <c r="J102" s="98">
        <f>SUM(J78:J101)</f>
        <v>3340260122.4299998</v>
      </c>
      <c r="K102" s="11"/>
      <c r="L102" s="11"/>
      <c r="M102" s="11"/>
      <c r="N102" s="11"/>
      <c r="O102" s="11"/>
      <c r="P102" s="11"/>
      <c r="Q102" s="11"/>
      <c r="R102" s="11"/>
      <c r="S102" s="11"/>
      <c r="T102" s="41"/>
      <c r="U102" s="59" t="e">
        <f>#REF!/$U$7</f>
        <v>#REF!</v>
      </c>
      <c r="V102" s="41"/>
    </row>
    <row r="103" spans="1:22" s="3" customFormat="1" ht="13.8">
      <c r="A103" s="2"/>
      <c r="B103" s="2"/>
      <c r="C103" s="96" t="s">
        <v>168</v>
      </c>
      <c r="D103" s="95"/>
      <c r="E103" s="258"/>
      <c r="F103" s="258"/>
      <c r="G103" s="93"/>
      <c r="H103" s="94"/>
      <c r="I103" s="94"/>
      <c r="J103" s="94"/>
      <c r="K103" s="4"/>
      <c r="L103" s="4"/>
      <c r="M103" s="4"/>
      <c r="N103" s="4"/>
      <c r="O103" s="4"/>
      <c r="P103" s="4"/>
      <c r="Q103" s="4"/>
      <c r="R103" s="4"/>
      <c r="S103" s="4"/>
      <c r="T103" s="41"/>
      <c r="U103" s="41" t="e">
        <f>#REF!/$U$7</f>
        <v>#REF!</v>
      </c>
      <c r="V103" s="41"/>
    </row>
    <row r="104" spans="1:22" s="3" customFormat="1" ht="13.8">
      <c r="A104" s="2"/>
      <c r="B104" s="2"/>
      <c r="C104" s="90">
        <v>430</v>
      </c>
      <c r="D104" s="91" t="s">
        <v>61</v>
      </c>
      <c r="E104" s="95"/>
      <c r="F104" s="95"/>
      <c r="G104" s="93">
        <v>9362575.4600000009</v>
      </c>
      <c r="H104" s="94">
        <f>-VLOOKUP(C104,TBJan23!$A$8:J247,10,0)</f>
        <v>16269025.93</v>
      </c>
      <c r="I104" s="94">
        <f>-VLOOKUP(C104,'TBFeb23 '!$A97:$I$172,9,0)</f>
        <v>15120522.77</v>
      </c>
      <c r="J104" s="94">
        <f>-VLOOKUP(C104,TBMar23!$A$8:I221,9,0)</f>
        <v>14948209.09</v>
      </c>
      <c r="K104" s="16"/>
      <c r="L104" s="16"/>
      <c r="M104" s="16"/>
      <c r="N104" s="16"/>
      <c r="O104" s="16"/>
      <c r="P104" s="16"/>
      <c r="Q104" s="16"/>
      <c r="R104" s="16"/>
      <c r="S104" s="16"/>
      <c r="T104" s="41"/>
      <c r="U104" s="41" t="e">
        <f>#REF!/$U$7</f>
        <v>#REF!</v>
      </c>
      <c r="V104" s="41"/>
    </row>
    <row r="105" spans="1:22" s="3" customFormat="1" ht="13.8">
      <c r="A105" s="2"/>
      <c r="B105" s="2"/>
      <c r="C105" s="90" t="s">
        <v>239</v>
      </c>
      <c r="D105" s="91" t="s">
        <v>62</v>
      </c>
      <c r="E105" s="95"/>
      <c r="F105" s="95"/>
      <c r="G105" s="93"/>
      <c r="H105" s="94">
        <f>-VLOOKUP(C105,TBJan23!$A$8:J248,10,0)</f>
        <v>0</v>
      </c>
      <c r="I105" s="94">
        <f>-VLOOKUP(C105,'TBFeb23 '!$A98:$I$172,9,0)</f>
        <v>0</v>
      </c>
      <c r="J105" s="94">
        <f>VLOOKUP(C105,TBMar23!$A$8:I222,9,0)</f>
        <v>0</v>
      </c>
      <c r="K105" s="16"/>
      <c r="L105" s="16"/>
      <c r="M105" s="16"/>
      <c r="N105" s="16"/>
      <c r="O105" s="16"/>
      <c r="P105" s="16"/>
      <c r="Q105" s="16"/>
      <c r="R105" s="16"/>
      <c r="S105" s="16"/>
      <c r="T105" s="41"/>
      <c r="U105" s="41"/>
      <c r="V105" s="41"/>
    </row>
    <row r="106" spans="1:22" s="3" customFormat="1" ht="13.8">
      <c r="A106" s="2"/>
      <c r="B106" s="2"/>
      <c r="C106" s="90">
        <v>433</v>
      </c>
      <c r="D106" s="91" t="s">
        <v>63</v>
      </c>
      <c r="E106" s="258"/>
      <c r="F106" s="258"/>
      <c r="G106" s="93">
        <v>27802720.179999992</v>
      </c>
      <c r="H106" s="94">
        <f>-VLOOKUP(C106,TBJan23!$A$8:J249,10,0)</f>
        <v>80867316.599999994</v>
      </c>
      <c r="I106" s="94">
        <f>-VLOOKUP(C106,'TBFeb23 '!$A99:$I$172,9,0)</f>
        <v>0</v>
      </c>
      <c r="J106" s="94">
        <v>0</v>
      </c>
      <c r="K106" s="16"/>
      <c r="L106" s="16"/>
      <c r="M106" s="16"/>
      <c r="N106" s="16"/>
      <c r="O106" s="16"/>
      <c r="P106" s="16"/>
      <c r="Q106" s="16"/>
      <c r="R106" s="16"/>
      <c r="S106" s="64"/>
      <c r="T106" s="41"/>
      <c r="U106" s="41" t="e">
        <f>#REF!/$U$7</f>
        <v>#REF!</v>
      </c>
      <c r="V106" s="41"/>
    </row>
    <row r="107" spans="1:22" s="3" customFormat="1" ht="13.8">
      <c r="A107" s="2"/>
      <c r="B107" s="2"/>
      <c r="C107" s="90">
        <v>433.01</v>
      </c>
      <c r="D107" s="91" t="s">
        <v>63</v>
      </c>
      <c r="E107" s="90"/>
      <c r="F107" s="90"/>
      <c r="G107" s="93"/>
      <c r="H107" s="94"/>
      <c r="I107" s="94">
        <f>-VLOOKUP(C107,'TBFeb23 '!$A100:$I$172,9,0)</f>
        <v>142199001.81</v>
      </c>
      <c r="J107" s="94">
        <f>-VLOOKUP(C107,TBMar23!$A$8:I224,9,0)</f>
        <v>205363114.22000003</v>
      </c>
      <c r="K107" s="16"/>
      <c r="L107" s="16"/>
      <c r="M107" s="16"/>
      <c r="N107" s="16"/>
      <c r="O107" s="16"/>
      <c r="P107" s="16"/>
      <c r="Q107" s="16"/>
      <c r="R107" s="16"/>
      <c r="S107" s="64"/>
      <c r="T107" s="41"/>
      <c r="U107" s="41"/>
      <c r="V107" s="41"/>
    </row>
    <row r="108" spans="1:22" s="3" customFormat="1" ht="13.8">
      <c r="A108" s="2"/>
      <c r="B108" s="2"/>
      <c r="C108" s="90">
        <v>448</v>
      </c>
      <c r="D108" s="91" t="s">
        <v>248</v>
      </c>
      <c r="E108" s="90"/>
      <c r="F108" s="90"/>
      <c r="G108" s="93">
        <v>0</v>
      </c>
      <c r="H108" s="94">
        <f>-VLOOKUP(C108,TBJan23!$A$8:J250,10,0)</f>
        <v>0</v>
      </c>
      <c r="I108" s="94">
        <f>-VLOOKUP(C108,'TBFeb23 '!$A101:$I$172,9,0)</f>
        <v>0</v>
      </c>
      <c r="J108" s="94">
        <v>0</v>
      </c>
      <c r="K108" s="16"/>
      <c r="L108" s="16"/>
      <c r="M108" s="16"/>
      <c r="N108" s="16"/>
      <c r="O108" s="16"/>
      <c r="P108" s="16"/>
      <c r="Q108" s="16"/>
      <c r="R108" s="16"/>
      <c r="S108" s="16"/>
      <c r="T108" s="41"/>
      <c r="U108" s="41" t="e">
        <f>#REF!/$U$7</f>
        <v>#REF!</v>
      </c>
      <c r="V108" s="41"/>
    </row>
    <row r="109" spans="1:22" s="3" customFormat="1" ht="13.8">
      <c r="A109" s="2"/>
      <c r="B109" s="2"/>
      <c r="C109" s="90">
        <v>4201</v>
      </c>
      <c r="D109" s="91" t="s">
        <v>59</v>
      </c>
      <c r="E109" s="95"/>
      <c r="F109" s="95"/>
      <c r="G109" s="93">
        <v>21966340.380000412</v>
      </c>
      <c r="H109" s="94">
        <f>-VLOOKUP(C109,TBJan23!$A$8:J251,10,0)</f>
        <v>200117883.99000001</v>
      </c>
      <c r="I109" s="94">
        <f>-VLOOKUP(C109,'TBFeb23 '!$A101:$I$172,9,0)</f>
        <v>200112931.20000005</v>
      </c>
      <c r="J109" s="94">
        <f>-VLOOKUP(C109,TBMar23!$A$8:I226,9,0)</f>
        <v>227445429.22</v>
      </c>
      <c r="K109" s="16"/>
      <c r="L109" s="16"/>
      <c r="M109" s="16"/>
      <c r="N109" s="16"/>
      <c r="O109" s="16"/>
      <c r="P109" s="16"/>
      <c r="Q109" s="16"/>
      <c r="R109" s="16"/>
      <c r="S109" s="16"/>
      <c r="T109" s="41"/>
      <c r="U109" s="41" t="e">
        <f>#REF!/$U$7</f>
        <v>#REF!</v>
      </c>
      <c r="V109" s="41"/>
    </row>
    <row r="110" spans="1:22" s="3" customFormat="1" ht="13.8">
      <c r="A110" s="2"/>
      <c r="B110" s="2"/>
      <c r="C110" s="90">
        <v>4221</v>
      </c>
      <c r="D110" s="91" t="s">
        <v>60</v>
      </c>
      <c r="E110" s="258"/>
      <c r="F110" s="258"/>
      <c r="G110" s="93">
        <v>0</v>
      </c>
      <c r="H110" s="94">
        <f>-VLOOKUP(C110,TBJan23!$A$8:J252,10,0)</f>
        <v>5642266.2999999998</v>
      </c>
      <c r="I110" s="94">
        <f>-VLOOKUP(C110,'TBFeb23 '!$A102:$I$172,9,0)</f>
        <v>11198132.73</v>
      </c>
      <c r="J110" s="94">
        <f>-VLOOKUP(C110,TBMar23!$A$8:I227,9,0)</f>
        <v>10263213.73</v>
      </c>
      <c r="K110" s="16"/>
      <c r="L110" s="16"/>
      <c r="M110" s="16"/>
      <c r="N110" s="16"/>
      <c r="O110" s="16"/>
      <c r="P110" s="16"/>
      <c r="Q110" s="16"/>
      <c r="R110" s="16"/>
      <c r="S110" s="16"/>
      <c r="T110" s="41"/>
      <c r="U110" s="41" t="e">
        <f>#REF!/$U$7</f>
        <v>#REF!</v>
      </c>
      <c r="V110" s="41"/>
    </row>
    <row r="111" spans="1:22" s="3" customFormat="1" ht="13.8">
      <c r="A111" s="2"/>
      <c r="B111" s="2"/>
      <c r="C111" s="91"/>
      <c r="D111" s="104" t="s">
        <v>169</v>
      </c>
      <c r="E111" s="97"/>
      <c r="F111" s="95"/>
      <c r="G111" s="105">
        <v>59131636.020000406</v>
      </c>
      <c r="H111" s="105">
        <f>SUM(H104:H110)</f>
        <v>302896492.81999999</v>
      </c>
      <c r="I111" s="105">
        <f>SUM(I104:I110)</f>
        <v>368630588.51000011</v>
      </c>
      <c r="J111" s="105">
        <f>SUM(J104:J110)</f>
        <v>458019966.26000005</v>
      </c>
      <c r="K111" s="14"/>
      <c r="L111" s="14"/>
      <c r="M111" s="14"/>
      <c r="N111" s="14"/>
      <c r="O111" s="14"/>
      <c r="P111" s="14"/>
      <c r="Q111" s="14"/>
      <c r="R111" s="14"/>
      <c r="S111" s="14"/>
      <c r="T111" s="41"/>
      <c r="U111" s="41" t="e">
        <f>#REF!/$U$7</f>
        <v>#REF!</v>
      </c>
      <c r="V111" s="41"/>
    </row>
    <row r="112" spans="1:22" s="3" customFormat="1" ht="13.8">
      <c r="A112" s="2"/>
      <c r="B112" s="2"/>
      <c r="C112" s="95"/>
      <c r="D112" s="104" t="s">
        <v>170</v>
      </c>
      <c r="E112" s="97"/>
      <c r="F112" s="95"/>
      <c r="G112" s="98">
        <v>1436301991.6700006</v>
      </c>
      <c r="H112" s="11">
        <f>H102+H111</f>
        <v>2676532937.4900002</v>
      </c>
      <c r="I112" s="11">
        <f>I102+I111</f>
        <v>2312641145.8700004</v>
      </c>
      <c r="J112" s="11">
        <f>J102+J111</f>
        <v>3798280088.6900001</v>
      </c>
      <c r="K112" s="11"/>
      <c r="L112" s="11"/>
      <c r="M112" s="11"/>
      <c r="N112" s="11"/>
      <c r="O112" s="11"/>
      <c r="P112" s="11"/>
      <c r="Q112" s="11"/>
      <c r="R112" s="11"/>
      <c r="S112" s="11"/>
      <c r="T112" s="41"/>
      <c r="U112" s="59" t="e">
        <f>#REF!/$U$7</f>
        <v>#REF!</v>
      </c>
      <c r="V112" s="41"/>
    </row>
    <row r="113" spans="1:23" s="3" customFormat="1" ht="13.8">
      <c r="A113" s="1" t="s">
        <v>171</v>
      </c>
      <c r="B113" s="1"/>
      <c r="C113" s="96"/>
      <c r="D113" s="95"/>
      <c r="E113" s="97"/>
      <c r="F113" s="95"/>
      <c r="G113" s="93"/>
      <c r="H113" s="94"/>
      <c r="I113" s="94"/>
      <c r="J113" s="94"/>
      <c r="K113" s="4"/>
      <c r="L113" s="4"/>
      <c r="M113" s="4"/>
      <c r="N113" s="4"/>
      <c r="O113" s="4"/>
      <c r="P113" s="4"/>
      <c r="Q113" s="4"/>
      <c r="R113" s="4"/>
      <c r="S113" s="4"/>
      <c r="T113" s="41"/>
      <c r="U113" s="41" t="e">
        <f>#REF!/$U$7</f>
        <v>#REF!</v>
      </c>
      <c r="V113" s="41"/>
    </row>
    <row r="114" spans="1:23" s="3" customFormat="1" ht="13.8">
      <c r="A114" s="1"/>
      <c r="B114" s="1"/>
      <c r="C114" s="96" t="s">
        <v>121</v>
      </c>
      <c r="D114" s="91"/>
      <c r="E114" s="97"/>
      <c r="F114" s="95"/>
      <c r="G114" s="93"/>
      <c r="H114" s="94"/>
      <c r="I114" s="94"/>
      <c r="J114" s="94"/>
      <c r="K114" s="4"/>
      <c r="L114" s="4"/>
      <c r="M114" s="4"/>
      <c r="N114" s="4"/>
      <c r="O114" s="4"/>
      <c r="P114" s="4"/>
      <c r="Q114" s="4"/>
      <c r="R114" s="4"/>
      <c r="S114" s="4"/>
      <c r="T114" s="41"/>
      <c r="U114" s="41" t="e">
        <f>#REF!/$U$7</f>
        <v>#REF!</v>
      </c>
      <c r="V114" s="41"/>
    </row>
    <row r="115" spans="1:23" s="3" customFormat="1" ht="13.8">
      <c r="A115" s="2"/>
      <c r="B115" s="2"/>
      <c r="C115" s="90">
        <v>303</v>
      </c>
      <c r="D115" s="91" t="s">
        <v>44</v>
      </c>
      <c r="E115" s="97"/>
      <c r="F115" s="95"/>
      <c r="G115" s="93">
        <v>23368900000</v>
      </c>
      <c r="H115" s="94">
        <f>-VLOOKUP(C115,TBJan23!$A$8:J256,10,0)</f>
        <v>23368900000</v>
      </c>
      <c r="I115" s="94">
        <f>-VLOOKUP(C115,'TBFeb23 '!$A79:$I$172,9,0)</f>
        <v>23368900000</v>
      </c>
      <c r="J115" s="94">
        <f>-VLOOKUP(C115,TBMar23!$A$8:I232,9,0)</f>
        <v>23368900000</v>
      </c>
      <c r="K115" s="16"/>
      <c r="L115" s="16"/>
      <c r="M115" s="16"/>
      <c r="N115" s="16"/>
      <c r="O115" s="16"/>
      <c r="P115" s="16"/>
      <c r="Q115" s="16"/>
      <c r="R115" s="16"/>
      <c r="S115" s="16"/>
      <c r="T115" s="41"/>
      <c r="U115" s="41" t="e">
        <f>#REF!/$U$7</f>
        <v>#REF!</v>
      </c>
      <c r="V115" s="41"/>
    </row>
    <row r="116" spans="1:23" s="3" customFormat="1" ht="13.8">
      <c r="A116" s="2"/>
      <c r="B116" s="2"/>
      <c r="C116" s="90">
        <v>308</v>
      </c>
      <c r="D116" s="91" t="s">
        <v>172</v>
      </c>
      <c r="E116" s="99"/>
      <c r="F116" s="95"/>
      <c r="G116" s="93">
        <v>135330133.84</v>
      </c>
      <c r="H116" s="94">
        <f>-VLOOKUP(C116,TBJan23!$A$8:J257,10,0)</f>
        <v>135330133.84</v>
      </c>
      <c r="I116" s="94">
        <f>-VLOOKUP(C116,'TBFeb23 '!$A80:$I$172,9,0)</f>
        <v>135330133.84</v>
      </c>
      <c r="J116" s="94">
        <f>-VLOOKUP(C116,TBMar23!$A$8:I233,9,0)</f>
        <v>135330133.84</v>
      </c>
      <c r="K116" s="16"/>
      <c r="L116" s="16"/>
      <c r="M116" s="16"/>
      <c r="N116" s="16"/>
      <c r="O116" s="16"/>
      <c r="P116" s="16"/>
      <c r="Q116" s="16"/>
      <c r="R116" s="16"/>
      <c r="S116" s="16"/>
      <c r="T116" s="41"/>
      <c r="U116" s="41" t="e">
        <f>#REF!/$U$7</f>
        <v>#REF!</v>
      </c>
      <c r="V116" s="41"/>
    </row>
    <row r="117" spans="1:23" s="3" customFormat="1" ht="13.8">
      <c r="A117" s="2"/>
      <c r="B117" s="2"/>
      <c r="C117" s="95"/>
      <c r="D117" s="96" t="s">
        <v>173</v>
      </c>
      <c r="E117" s="99"/>
      <c r="F117" s="95"/>
      <c r="G117" s="105">
        <v>23504230133.84</v>
      </c>
      <c r="H117" s="106">
        <f>SUM(H115:H116)</f>
        <v>23504230133.84</v>
      </c>
      <c r="I117" s="106">
        <f>SUM(I115:I116)</f>
        <v>23504230133.84</v>
      </c>
      <c r="J117" s="106">
        <f>SUM(J115:J116)</f>
        <v>23504230133.84</v>
      </c>
      <c r="K117" s="40"/>
      <c r="L117" s="40"/>
      <c r="M117" s="40"/>
      <c r="N117" s="40"/>
      <c r="O117" s="40"/>
      <c r="P117" s="40"/>
      <c r="Q117" s="40"/>
      <c r="R117" s="40"/>
      <c r="S117" s="40"/>
      <c r="T117" s="41"/>
      <c r="U117" s="41" t="e">
        <f>#REF!/$U$7</f>
        <v>#REF!</v>
      </c>
      <c r="V117" s="41"/>
    </row>
    <row r="118" spans="1:23" s="3" customFormat="1" ht="13.8">
      <c r="A118" s="259"/>
      <c r="B118" s="260"/>
      <c r="C118" s="107">
        <v>329</v>
      </c>
      <c r="D118" s="95" t="s">
        <v>174</v>
      </c>
      <c r="E118" s="97"/>
      <c r="F118" s="95"/>
      <c r="G118" s="108">
        <v>-11055995083.34</v>
      </c>
      <c r="H118" s="169">
        <f>G118+G119</f>
        <v>-8504187414</v>
      </c>
      <c r="I118" s="199">
        <v>-8504187414</v>
      </c>
      <c r="J118" s="199">
        <v>-8504187414</v>
      </c>
      <c r="K118" s="16"/>
      <c r="L118" s="16"/>
      <c r="M118" s="16"/>
      <c r="N118" s="16"/>
      <c r="O118" s="16"/>
      <c r="P118" s="16"/>
      <c r="Q118" s="16"/>
      <c r="R118" s="16"/>
      <c r="S118" s="16"/>
      <c r="T118" s="61"/>
      <c r="U118" s="61"/>
      <c r="V118" s="61"/>
      <c r="W118" s="62"/>
    </row>
    <row r="119" spans="1:23" s="3" customFormat="1" ht="13.8">
      <c r="A119" s="155"/>
      <c r="B119" s="15"/>
      <c r="C119" s="90">
        <v>339</v>
      </c>
      <c r="D119" s="95" t="s">
        <v>302</v>
      </c>
      <c r="E119" s="97"/>
      <c r="F119" s="95"/>
      <c r="G119" s="108">
        <v>2551807669.3400002</v>
      </c>
      <c r="H119" s="169"/>
      <c r="I119" s="101"/>
      <c r="J119" s="94">
        <v>0</v>
      </c>
      <c r="K119" s="16"/>
      <c r="L119" s="16"/>
      <c r="M119" s="16"/>
      <c r="N119" s="16"/>
      <c r="O119" s="16"/>
      <c r="P119" s="16"/>
      <c r="Q119" s="16"/>
      <c r="R119" s="16"/>
      <c r="S119" s="16"/>
      <c r="T119" s="61"/>
      <c r="U119" s="61"/>
      <c r="V119" s="61"/>
      <c r="W119" s="62"/>
    </row>
    <row r="120" spans="1:23" s="3" customFormat="1" ht="13.8">
      <c r="A120" s="2"/>
      <c r="B120" s="2"/>
      <c r="C120" s="90">
        <v>331</v>
      </c>
      <c r="D120" s="95" t="s">
        <v>308</v>
      </c>
      <c r="E120" s="97"/>
      <c r="F120" s="95"/>
      <c r="G120" s="168"/>
      <c r="H120" s="177">
        <f>PL!H147</f>
        <v>264888309.43999946</v>
      </c>
      <c r="I120" s="178">
        <f>PL!I148</f>
        <v>1281910379.9299994</v>
      </c>
      <c r="J120" s="94">
        <f>PL!J148</f>
        <v>2031040237.6899991</v>
      </c>
      <c r="K120" s="179"/>
      <c r="L120" s="179"/>
      <c r="M120" s="179"/>
      <c r="N120" s="179"/>
      <c r="O120" s="179"/>
      <c r="P120" s="179"/>
      <c r="Q120" s="179"/>
      <c r="R120" s="179"/>
      <c r="S120" s="179"/>
      <c r="T120" s="61"/>
      <c r="U120" s="61"/>
      <c r="V120" s="61"/>
      <c r="W120" s="62"/>
    </row>
    <row r="121" spans="1:23" s="3" customFormat="1" ht="14.4" thickBot="1">
      <c r="A121" s="2"/>
      <c r="B121" s="2"/>
      <c r="C121" s="95"/>
      <c r="D121" s="95"/>
      <c r="E121" s="97"/>
      <c r="F121" s="95"/>
      <c r="G121" s="109">
        <v>16436344710.910002</v>
      </c>
      <c r="H121" s="115">
        <f>H112+H117+H118+H120</f>
        <v>17941463966.77</v>
      </c>
      <c r="I121" s="115">
        <f>I112+I117+I118+I120</f>
        <v>18594594245.639999</v>
      </c>
      <c r="J121" s="244">
        <f>J112+J117+J118+J120</f>
        <v>20829363046.219997</v>
      </c>
      <c r="K121" s="39"/>
      <c r="L121" s="39"/>
      <c r="M121" s="39"/>
      <c r="N121" s="39"/>
      <c r="O121" s="39"/>
      <c r="P121" s="39"/>
      <c r="Q121" s="39"/>
      <c r="R121" s="39"/>
      <c r="S121" s="39"/>
      <c r="T121" s="61"/>
      <c r="U121" s="63"/>
      <c r="V121" s="61"/>
      <c r="W121" s="62"/>
    </row>
    <row r="122" spans="1:23" s="3" customFormat="1" ht="14.4" thickTop="1">
      <c r="A122" s="2"/>
      <c r="B122" s="2"/>
      <c r="C122" s="95"/>
      <c r="D122" s="95"/>
      <c r="E122" s="110"/>
      <c r="F122" s="95"/>
      <c r="G122" s="95"/>
      <c r="H122" s="94"/>
      <c r="I122" s="94"/>
      <c r="J122" s="94"/>
      <c r="K122" s="4"/>
      <c r="L122" s="4"/>
      <c r="M122" s="4"/>
      <c r="N122" s="4"/>
      <c r="O122" s="4"/>
      <c r="P122" s="4"/>
      <c r="Q122" s="4"/>
      <c r="R122" s="4"/>
      <c r="S122" s="4"/>
      <c r="T122" s="61"/>
      <c r="U122" s="62"/>
      <c r="V122" s="62"/>
      <c r="W122" s="62"/>
    </row>
    <row r="123" spans="1:23" ht="13.8">
      <c r="C123" s="95"/>
      <c r="D123" s="95"/>
      <c r="E123" s="110"/>
      <c r="F123" s="95"/>
      <c r="G123" s="95"/>
      <c r="H123" s="94"/>
      <c r="I123" s="94"/>
      <c r="J123" s="94"/>
      <c r="K123" s="4"/>
      <c r="T123" s="41"/>
    </row>
    <row r="124" spans="1:23" s="3" customFormat="1" ht="13.8">
      <c r="A124" s="2"/>
      <c r="B124" s="2"/>
      <c r="C124" s="95"/>
      <c r="D124" s="95"/>
      <c r="E124" s="110"/>
      <c r="F124" s="95"/>
      <c r="G124" s="111">
        <f>G121-G73</f>
        <v>0</v>
      </c>
      <c r="H124" s="111">
        <f>H121-H73</f>
        <v>0</v>
      </c>
      <c r="I124" s="111">
        <f>I121-I73</f>
        <v>0</v>
      </c>
      <c r="J124" s="111">
        <f>J121-J73</f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49">
        <f>Q73-Q121</f>
        <v>0</v>
      </c>
      <c r="R124" s="49">
        <f>R73-R121</f>
        <v>0</v>
      </c>
      <c r="S124" s="49">
        <f>S73-S121</f>
        <v>0</v>
      </c>
      <c r="T124" s="41"/>
      <c r="U124" s="49" t="e">
        <f>U73-U121</f>
        <v>#REF!</v>
      </c>
    </row>
    <row r="125" spans="1:23" ht="13.8">
      <c r="C125" s="95"/>
      <c r="D125" s="95"/>
      <c r="E125" s="110"/>
      <c r="F125" s="95"/>
      <c r="G125" s="95"/>
      <c r="H125" s="94"/>
      <c r="I125" s="110"/>
      <c r="J125" s="110"/>
    </row>
    <row r="126" spans="1:23" s="3" customFormat="1" ht="13.8">
      <c r="A126" s="2"/>
      <c r="B126" s="2"/>
      <c r="C126" s="95"/>
      <c r="D126" s="95"/>
      <c r="E126" s="110"/>
      <c r="F126" s="95"/>
      <c r="G126" s="180">
        <f>G118/17220</f>
        <v>-642043.84920673631</v>
      </c>
      <c r="H126" s="181">
        <f>G118/16762</f>
        <v>-659586.86811478343</v>
      </c>
      <c r="I126" s="181">
        <f>I118/16786</f>
        <v>-506623.81830096507</v>
      </c>
      <c r="J126" s="181">
        <f>J118/16851</f>
        <v>-504669.59907423891</v>
      </c>
      <c r="L126" s="4"/>
      <c r="M126" s="4"/>
      <c r="N126" s="4"/>
      <c r="O126" s="4"/>
      <c r="P126" s="4"/>
      <c r="Q126" s="4"/>
      <c r="R126" s="4"/>
      <c r="S126" s="4"/>
    </row>
    <row r="127" spans="1:23" s="3" customFormat="1" ht="13.8">
      <c r="A127" s="2"/>
      <c r="B127" s="2"/>
      <c r="C127" s="2"/>
      <c r="D127" s="2"/>
      <c r="F127" s="2"/>
      <c r="G127" s="254">
        <f>G119/17220</f>
        <v>148188.59868408827</v>
      </c>
      <c r="H127" s="255">
        <f>G119/16762</f>
        <v>152237.6607409617</v>
      </c>
      <c r="I127" s="255">
        <f>H119/16786</f>
        <v>0</v>
      </c>
      <c r="J127" s="255">
        <f>I119/16786</f>
        <v>0</v>
      </c>
      <c r="L127" s="4"/>
      <c r="M127" s="4"/>
      <c r="N127" s="4"/>
      <c r="O127" s="4"/>
      <c r="P127" s="4"/>
      <c r="Q127" s="4"/>
      <c r="R127" s="4"/>
      <c r="S127" s="4"/>
    </row>
    <row r="128" spans="1:23" s="3" customFormat="1">
      <c r="A128" s="2"/>
      <c r="B128" s="2"/>
      <c r="C128" s="2"/>
      <c r="D128" s="2"/>
      <c r="F128" s="2"/>
      <c r="G128" s="182">
        <f>SUM(G126:G127)</f>
        <v>-493855.25052264804</v>
      </c>
      <c r="H128" s="183">
        <f>SUM(H126:H127)</f>
        <v>-507349.20737382176</v>
      </c>
      <c r="I128" s="183">
        <f>SUM(I126:I127)</f>
        <v>-506623.81830096507</v>
      </c>
      <c r="J128" s="183">
        <f>SUM(J126:J127)</f>
        <v>-504669.59907423891</v>
      </c>
      <c r="L128" s="4"/>
      <c r="M128" s="4"/>
      <c r="N128" s="4"/>
      <c r="O128" s="4"/>
      <c r="P128" s="4"/>
      <c r="Q128" s="4"/>
      <c r="R128" s="4"/>
      <c r="S128" s="4"/>
    </row>
    <row r="129" spans="1:19" s="3" customFormat="1">
      <c r="A129" s="2"/>
      <c r="B129" s="2"/>
      <c r="C129" s="2"/>
      <c r="D129" s="2"/>
      <c r="F129" s="2"/>
      <c r="G129" s="187"/>
      <c r="H129" s="62"/>
      <c r="L129" s="4"/>
      <c r="M129" s="4"/>
      <c r="N129" s="4"/>
      <c r="O129" s="4"/>
      <c r="P129" s="4"/>
      <c r="Q129" s="4"/>
      <c r="R129" s="4"/>
      <c r="S129" s="4"/>
    </row>
    <row r="130" spans="1:19" s="3" customFormat="1">
      <c r="A130" s="2"/>
      <c r="B130" s="2"/>
      <c r="C130" s="2"/>
      <c r="D130" s="2"/>
      <c r="F130" s="2"/>
      <c r="G130" s="188"/>
      <c r="H130" s="62"/>
      <c r="L130" s="4"/>
      <c r="M130" s="4"/>
      <c r="N130" s="4"/>
      <c r="O130" s="4"/>
      <c r="P130" s="4"/>
      <c r="Q130" s="4"/>
      <c r="R130" s="4"/>
      <c r="S130" s="4"/>
    </row>
  </sheetData>
  <mergeCells count="12">
    <mergeCell ref="E110:F110"/>
    <mergeCell ref="A118:B118"/>
    <mergeCell ref="E88:F88"/>
    <mergeCell ref="E90:F90"/>
    <mergeCell ref="E93:F93"/>
    <mergeCell ref="E103:F103"/>
    <mergeCell ref="E106:F106"/>
    <mergeCell ref="E78:F78"/>
    <mergeCell ref="E80:F80"/>
    <mergeCell ref="E82:F82"/>
    <mergeCell ref="E84:F84"/>
    <mergeCell ref="E86:F86"/>
  </mergeCells>
  <pageMargins left="1.1811023622047244E-2" right="1.1811023622047244E-2" top="0.11811023622047245" bottom="0.11811023622047245" header="0.11811023622047245" footer="0.11811023622047245"/>
  <pageSetup paperSize="9" scale="65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0DEF7-F315-4253-9EAF-DF3F3BB5396A}">
  <dimension ref="A1:IQ130"/>
  <sheetViews>
    <sheetView tabSelected="1" topLeftCell="B1" zoomScaleNormal="100" workbookViewId="0">
      <pane xSplit="6" ySplit="7" topLeftCell="H8" activePane="bottomRight" state="frozen"/>
      <selection activeCell="B1" sqref="B1"/>
      <selection pane="topRight" activeCell="H1" sqref="H1"/>
      <selection pane="bottomLeft" activeCell="B8" sqref="B8"/>
      <selection pane="bottomRight" activeCell="H15" sqref="H15"/>
    </sheetView>
  </sheetViews>
  <sheetFormatPr defaultColWidth="8.6640625" defaultRowHeight="13.2"/>
  <cols>
    <col min="1" max="1" width="3.6640625" style="2" customWidth="1"/>
    <col min="2" max="2" width="5.109375" style="2" customWidth="1"/>
    <col min="3" max="3" width="8.109375" style="2" customWidth="1"/>
    <col min="4" max="4" width="40.109375" style="2" customWidth="1"/>
    <col min="5" max="5" width="1.6640625" style="3" customWidth="1"/>
    <col min="6" max="6" width="1.88671875" style="2" customWidth="1"/>
    <col min="7" max="7" width="19.33203125" style="2" customWidth="1"/>
    <col min="8" max="8" width="20.6640625" style="4" customWidth="1"/>
    <col min="9" max="11" width="17.44140625" style="3" customWidth="1"/>
    <col min="12" max="13" width="17.44140625" style="4" customWidth="1"/>
    <col min="14" max="16" width="18.33203125" style="4" bestFit="1" customWidth="1"/>
    <col min="17" max="19" width="18.33203125" style="4" customWidth="1"/>
    <col min="20" max="20" width="17.6640625" style="2" bestFit="1" customWidth="1"/>
    <col min="21" max="21" width="23.6640625" style="2" hidden="1" customWidth="1"/>
    <col min="22" max="16384" width="8.6640625" style="2"/>
  </cols>
  <sheetData>
    <row r="1" spans="1:22">
      <c r="A1" s="1" t="s">
        <v>123</v>
      </c>
      <c r="B1" s="1"/>
    </row>
    <row r="2" spans="1:22" ht="15">
      <c r="A2" s="5" t="s">
        <v>124</v>
      </c>
      <c r="B2" s="6"/>
      <c r="C2" s="5"/>
      <c r="D2" s="5"/>
      <c r="E2" s="7"/>
      <c r="F2" s="8"/>
    </row>
    <row r="3" spans="1:22" ht="15">
      <c r="A3" s="5" t="s">
        <v>346</v>
      </c>
      <c r="B3" s="6"/>
      <c r="C3" s="5"/>
      <c r="D3" s="5"/>
      <c r="E3" s="7"/>
      <c r="F3" s="8"/>
    </row>
    <row r="4" spans="1:22" ht="15">
      <c r="A4" s="5" t="s">
        <v>348</v>
      </c>
      <c r="B4" s="6"/>
      <c r="C4" s="5"/>
      <c r="D4" s="5"/>
      <c r="E4" s="7"/>
      <c r="F4" s="8"/>
    </row>
    <row r="5" spans="1:22">
      <c r="G5" s="211">
        <v>17220</v>
      </c>
      <c r="H5" s="212">
        <v>16762</v>
      </c>
      <c r="I5" s="213">
        <v>16786</v>
      </c>
      <c r="J5" s="213">
        <v>16851</v>
      </c>
    </row>
    <row r="6" spans="1:22" ht="17.7" customHeight="1">
      <c r="A6" s="1" t="s">
        <v>125</v>
      </c>
      <c r="B6" s="1"/>
      <c r="C6" s="1"/>
    </row>
    <row r="7" spans="1:22" ht="17.7" customHeight="1">
      <c r="A7" s="1"/>
      <c r="B7" s="1" t="s">
        <v>126</v>
      </c>
      <c r="C7" s="1"/>
      <c r="E7" s="9"/>
      <c r="G7" s="10">
        <v>44896</v>
      </c>
      <c r="H7" s="10">
        <v>44927</v>
      </c>
      <c r="I7" s="10">
        <v>44958</v>
      </c>
      <c r="J7" s="10">
        <v>44986</v>
      </c>
      <c r="K7" s="10">
        <v>45017</v>
      </c>
      <c r="L7" s="10">
        <v>45047</v>
      </c>
      <c r="M7" s="10">
        <v>45078</v>
      </c>
      <c r="N7" s="10">
        <v>45108</v>
      </c>
      <c r="O7" s="10">
        <v>45139</v>
      </c>
      <c r="P7" s="10">
        <v>45170</v>
      </c>
      <c r="Q7" s="10">
        <v>45200</v>
      </c>
      <c r="R7" s="10">
        <v>45231</v>
      </c>
      <c r="S7" s="10">
        <v>45261</v>
      </c>
      <c r="U7" s="2">
        <v>17220</v>
      </c>
    </row>
    <row r="8" spans="1:22" ht="17.7" customHeight="1">
      <c r="A8" s="1"/>
      <c r="B8" s="1"/>
      <c r="C8" s="1" t="s">
        <v>127</v>
      </c>
      <c r="E8" s="9"/>
    </row>
    <row r="9" spans="1:22" ht="15.45" customHeight="1">
      <c r="C9" s="90">
        <v>1011</v>
      </c>
      <c r="D9" s="91" t="s">
        <v>1</v>
      </c>
      <c r="E9" s="92"/>
      <c r="F9" s="91"/>
      <c r="G9" s="93">
        <f>BS!G9/'BS USD'!$G$5</f>
        <v>388.21138211382112</v>
      </c>
      <c r="H9" s="94">
        <f>BS!H9/'BS USD'!$H$5</f>
        <v>270.10499940341248</v>
      </c>
      <c r="I9" s="94">
        <f>BS!I9/'BS USD'!$I$5</f>
        <v>0</v>
      </c>
      <c r="J9" s="94">
        <f>BS!J9/'BS USD'!$J$5</f>
        <v>0</v>
      </c>
      <c r="K9" s="4"/>
      <c r="T9" s="41"/>
      <c r="U9" s="41" t="e">
        <f>#REF!/$U$7</f>
        <v>#REF!</v>
      </c>
      <c r="V9" s="41"/>
    </row>
    <row r="10" spans="1:22" ht="15.45" customHeight="1">
      <c r="C10" s="90" t="s">
        <v>309</v>
      </c>
      <c r="D10" s="91" t="s">
        <v>314</v>
      </c>
      <c r="E10" s="92"/>
      <c r="F10" s="91"/>
      <c r="G10" s="93"/>
      <c r="H10" s="94"/>
      <c r="I10" s="94">
        <f>BS!I10/'BS USD'!$I$5</f>
        <v>632.75944239246996</v>
      </c>
      <c r="J10" s="94">
        <f>BS!J10/'BS USD'!$J$5</f>
        <v>977.65711233754678</v>
      </c>
      <c r="K10" s="4"/>
      <c r="T10" s="41"/>
      <c r="U10" s="41"/>
      <c r="V10" s="41"/>
    </row>
    <row r="11" spans="1:22" ht="15.45" customHeight="1">
      <c r="C11" s="90">
        <v>1012.01</v>
      </c>
      <c r="D11" s="91" t="s">
        <v>2</v>
      </c>
      <c r="E11" s="92"/>
      <c r="F11" s="91"/>
      <c r="G11" s="93">
        <f>BS!G11/'BS USD'!$G$5</f>
        <v>2.9261324041811845</v>
      </c>
      <c r="H11" s="94">
        <f>BS!H11/'BS USD'!$H$5</f>
        <v>3.103448275862069</v>
      </c>
      <c r="I11" s="94">
        <f>BS!I11/'BS USD'!$I$5</f>
        <v>3.0382461575122126</v>
      </c>
      <c r="J11" s="94">
        <f>BS!J11/'BS USD'!$J$5</f>
        <v>3.0325796688623821</v>
      </c>
      <c r="K11" s="4"/>
      <c r="T11" s="41"/>
      <c r="U11" s="41" t="e">
        <f>#REF!/$U$7</f>
        <v>#REF!</v>
      </c>
      <c r="V11" s="41"/>
    </row>
    <row r="12" spans="1:22" ht="15.45" customHeight="1">
      <c r="C12" s="90">
        <v>1012.02</v>
      </c>
      <c r="D12" s="91" t="s">
        <v>128</v>
      </c>
      <c r="E12" s="92"/>
      <c r="F12" s="91"/>
      <c r="G12" s="93">
        <f>BS!G12/'BS USD'!$G$5</f>
        <v>1073.8440766550523</v>
      </c>
      <c r="H12" s="94">
        <f>BS!H12/'BS USD'!$H$5</f>
        <v>1075.4835341844648</v>
      </c>
      <c r="I12" s="94">
        <f>BS!I12/'BS USD'!$I$5</f>
        <v>1074.960979387585</v>
      </c>
      <c r="J12" s="94">
        <f>BS!J12/'BS USD'!$J$5</f>
        <v>1071.2568987003738</v>
      </c>
      <c r="K12" s="4"/>
      <c r="T12" s="41"/>
      <c r="U12" s="41" t="e">
        <f>#REF!/$U$7</f>
        <v>#REF!</v>
      </c>
      <c r="V12" s="41"/>
    </row>
    <row r="13" spans="1:22" ht="15.45" customHeight="1">
      <c r="C13" s="90">
        <v>1021.01</v>
      </c>
      <c r="D13" s="91" t="s">
        <v>4</v>
      </c>
      <c r="E13" s="92"/>
      <c r="F13" s="91"/>
      <c r="G13" s="93">
        <f>BS!G13/'BS USD'!$G$5</f>
        <v>25928.769571428362</v>
      </c>
      <c r="H13" s="94">
        <f>BS!H13/'BS USD'!$H$5</f>
        <v>46287.666029113469</v>
      </c>
      <c r="I13" s="94">
        <f>BS!I13/'BS USD'!$I$5</f>
        <v>19112.447768974143</v>
      </c>
      <c r="J13" s="94">
        <f>BS!J13/'BS USD'!$J$5</f>
        <v>18178.128607204326</v>
      </c>
      <c r="K13" s="4"/>
      <c r="T13" s="41"/>
      <c r="U13" s="41" t="e">
        <f>#REF!/$U$7</f>
        <v>#REF!</v>
      </c>
      <c r="V13" s="41"/>
    </row>
    <row r="14" spans="1:22" ht="15.45" customHeight="1">
      <c r="C14" s="90">
        <v>1021.02</v>
      </c>
      <c r="D14" s="91" t="s">
        <v>5</v>
      </c>
      <c r="E14" s="92"/>
      <c r="F14" s="91"/>
      <c r="G14" s="93">
        <f>BS!G14/'BS USD'!$G$5</f>
        <v>651.01161440185831</v>
      </c>
      <c r="H14" s="94">
        <f>BS!H14/'BS USD'!$H$5</f>
        <v>668.79966591098912</v>
      </c>
      <c r="I14" s="94">
        <f>BS!I14/'BS USD'!$I$5</f>
        <v>660.694626474443</v>
      </c>
      <c r="J14" s="94">
        <f>BS!J14/'BS USD'!$J$5</f>
        <v>656.95923090617771</v>
      </c>
      <c r="K14" s="4"/>
      <c r="T14" s="41"/>
      <c r="U14" s="41" t="e">
        <f>#REF!/$U$7</f>
        <v>#REF!</v>
      </c>
      <c r="V14" s="41"/>
    </row>
    <row r="15" spans="1:22" ht="15.45" customHeight="1">
      <c r="C15" s="90">
        <v>1021.03</v>
      </c>
      <c r="D15" s="91" t="s">
        <v>129</v>
      </c>
      <c r="E15" s="92"/>
      <c r="F15" s="91"/>
      <c r="G15" s="93">
        <f>BS!G15/'BS USD'!$G$5</f>
        <v>0</v>
      </c>
      <c r="H15" s="94">
        <f>BS!H15/'BS USD'!$H$5</f>
        <v>0</v>
      </c>
      <c r="I15" s="94">
        <f>BS!I15/'BS USD'!$I$5</f>
        <v>0</v>
      </c>
      <c r="J15" s="94">
        <f>BS!J15/'BS USD'!$J$5</f>
        <v>0</v>
      </c>
      <c r="K15" s="4"/>
      <c r="T15" s="41"/>
      <c r="U15" s="41" t="e">
        <f>#REF!/$U$7</f>
        <v>#REF!</v>
      </c>
      <c r="V15" s="41"/>
    </row>
    <row r="16" spans="1:22" ht="15.45" customHeight="1">
      <c r="C16" s="90">
        <v>1022.01</v>
      </c>
      <c r="D16" s="91" t="s">
        <v>6</v>
      </c>
      <c r="E16" s="92"/>
      <c r="F16" s="91"/>
      <c r="G16" s="93">
        <f>BS!G16/'BS USD'!$G$5</f>
        <v>57878.605480836079</v>
      </c>
      <c r="H16" s="94">
        <f>BS!H16/'BS USD'!$H$5</f>
        <v>23923.621095334682</v>
      </c>
      <c r="I16" s="94">
        <f>BS!I16/'BS USD'!$I$5</f>
        <v>25806.131597760039</v>
      </c>
      <c r="J16" s="94">
        <f>BS!J16/'BS USD'!$J$5</f>
        <v>55042.776925405065</v>
      </c>
      <c r="K16" s="4"/>
      <c r="T16" s="41"/>
      <c r="U16" s="41" t="e">
        <f>#REF!/$U$7</f>
        <v>#REF!</v>
      </c>
      <c r="V16" s="41"/>
    </row>
    <row r="17" spans="3:22" ht="15.45" customHeight="1">
      <c r="C17" s="90">
        <v>1022.02</v>
      </c>
      <c r="D17" s="91" t="s">
        <v>7</v>
      </c>
      <c r="E17" s="92"/>
      <c r="F17" s="91"/>
      <c r="G17" s="93">
        <f>BS!G17/'BS USD'!$G$5</f>
        <v>94201.786867015151</v>
      </c>
      <c r="H17" s="94">
        <f>BS!H17/'BS USD'!$H$5</f>
        <v>53809.440451020149</v>
      </c>
      <c r="I17" s="94">
        <f>BS!I17/'BS USD'!$I$5</f>
        <v>37933.000982961996</v>
      </c>
      <c r="J17" s="94">
        <f>BS!J17/'BS USD'!$J$5</f>
        <v>6927.5916562815264</v>
      </c>
      <c r="K17" s="4"/>
      <c r="T17" s="41"/>
      <c r="U17" s="41" t="e">
        <f>#REF!/$U$7</f>
        <v>#REF!</v>
      </c>
      <c r="V17" s="41"/>
    </row>
    <row r="18" spans="3:22" ht="15.45" customHeight="1">
      <c r="C18" s="90">
        <v>1022.03</v>
      </c>
      <c r="D18" s="91" t="s">
        <v>8</v>
      </c>
      <c r="E18" s="92"/>
      <c r="F18" s="91"/>
      <c r="G18" s="93">
        <f>BS!G18/'BS USD'!$G$5</f>
        <v>0</v>
      </c>
      <c r="H18" s="94">
        <f>BS!H18/'BS USD'!$H$5</f>
        <v>0</v>
      </c>
      <c r="I18" s="94">
        <f>BS!I18/'BS USD'!$I$5</f>
        <v>0</v>
      </c>
      <c r="J18" s="94">
        <f>BS!J18/'BS USD'!$J$5</f>
        <v>0</v>
      </c>
      <c r="K18" s="4"/>
      <c r="T18" s="41"/>
      <c r="U18" s="41" t="e">
        <f>#REF!/$U$7</f>
        <v>#REF!</v>
      </c>
      <c r="V18" s="41"/>
    </row>
    <row r="19" spans="3:22" ht="15.45" customHeight="1">
      <c r="C19" s="90">
        <v>1022.04</v>
      </c>
      <c r="D19" s="91" t="s">
        <v>9</v>
      </c>
      <c r="E19" s="92"/>
      <c r="F19" s="91"/>
      <c r="G19" s="93">
        <f>BS!G19/'BS USD'!$G$5</f>
        <v>0</v>
      </c>
      <c r="H19" s="94">
        <f>BS!H19/'BS USD'!$H$5</f>
        <v>0</v>
      </c>
      <c r="I19" s="94">
        <f>BS!I19/'BS USD'!$I$5</f>
        <v>0</v>
      </c>
      <c r="J19" s="94">
        <f>BS!J19/'BS USD'!$J$5</f>
        <v>0</v>
      </c>
      <c r="K19" s="4"/>
      <c r="T19" s="41"/>
      <c r="U19" s="41" t="e">
        <f>#REF!/$U$7</f>
        <v>#REF!</v>
      </c>
      <c r="V19" s="41"/>
    </row>
    <row r="20" spans="3:22" ht="15.45" customHeight="1">
      <c r="C20" s="90">
        <v>1022.05</v>
      </c>
      <c r="D20" s="91" t="s">
        <v>10</v>
      </c>
      <c r="E20" s="92"/>
      <c r="F20" s="91"/>
      <c r="G20" s="93">
        <f>BS!G20/'BS USD'!$G$5</f>
        <v>7678.186919860631</v>
      </c>
      <c r="H20" s="94">
        <f>BS!H20/'BS USD'!$H$5</f>
        <v>8143.464705882353</v>
      </c>
      <c r="I20" s="94">
        <f>BS!I20/'BS USD'!$I$5</f>
        <v>7972.3740021446447</v>
      </c>
      <c r="J20" s="94">
        <f>BS!J20/'BS USD'!$J$5</f>
        <v>7957.5051059284324</v>
      </c>
      <c r="K20" s="4"/>
      <c r="T20" s="41"/>
      <c r="U20" s="41" t="e">
        <f>#REF!/$U$7</f>
        <v>#REF!</v>
      </c>
      <c r="V20" s="41"/>
    </row>
    <row r="21" spans="3:22" ht="15.45" customHeight="1">
      <c r="C21" s="90">
        <v>1022.06</v>
      </c>
      <c r="D21" s="91" t="s">
        <v>11</v>
      </c>
      <c r="E21" s="92"/>
      <c r="F21" s="91"/>
      <c r="G21" s="93">
        <f>BS!G21/'BS USD'!$G$5</f>
        <v>71.297196864186816</v>
      </c>
      <c r="H21" s="94">
        <f>BS!H21/'BS USD'!$H$5</f>
        <v>108.77026428827108</v>
      </c>
      <c r="I21" s="94">
        <f>BS!I21/'BS USD'!$I$5</f>
        <v>108.71741510782795</v>
      </c>
      <c r="J21" s="94">
        <f>BS!J21/'BS USD'!$J$5</f>
        <v>108.34279864696455</v>
      </c>
      <c r="K21" s="4"/>
      <c r="T21" s="41"/>
      <c r="U21" s="41" t="e">
        <f>#REF!/$U$7</f>
        <v>#REF!</v>
      </c>
      <c r="V21" s="41"/>
    </row>
    <row r="22" spans="3:22" ht="15.45" customHeight="1">
      <c r="C22" s="90">
        <v>1022.07</v>
      </c>
      <c r="D22" s="91" t="s">
        <v>12</v>
      </c>
      <c r="E22" s="92"/>
      <c r="F22" s="91"/>
      <c r="G22" s="93">
        <f>BS!G22/'BS USD'!$G$5</f>
        <v>210211.2799070848</v>
      </c>
      <c r="H22" s="94">
        <f>BS!H22/'BS USD'!$H$5</f>
        <v>210527.16412122658</v>
      </c>
      <c r="I22" s="94">
        <f>BS!I22/'BS USD'!$I$5</f>
        <v>210429.92017157155</v>
      </c>
      <c r="J22" s="94">
        <f>BS!J22/'BS USD'!$J$5</f>
        <v>209704.82463948728</v>
      </c>
      <c r="K22" s="4"/>
      <c r="T22" s="41"/>
      <c r="U22" s="41" t="e">
        <f>#REF!/$U$7</f>
        <v>#REF!</v>
      </c>
      <c r="V22" s="41"/>
    </row>
    <row r="23" spans="3:22" ht="15.45" customHeight="1">
      <c r="C23" s="90">
        <v>1022.08</v>
      </c>
      <c r="D23" s="112" t="s">
        <v>266</v>
      </c>
      <c r="E23" s="92"/>
      <c r="F23" s="91"/>
      <c r="G23" s="93"/>
      <c r="H23" s="94">
        <f>BS!H23/'BS USD'!$H$5</f>
        <v>40393.747762796804</v>
      </c>
      <c r="I23" s="94">
        <f>BS!I23/'BS USD'!$I$5</f>
        <v>40374.121291552481</v>
      </c>
      <c r="J23" s="94">
        <f>BS!J23/'BS USD'!$J$5</f>
        <v>40235.000890154886</v>
      </c>
      <c r="K23" s="4"/>
      <c r="T23" s="41"/>
      <c r="U23" s="41"/>
      <c r="V23" s="41"/>
    </row>
    <row r="24" spans="3:22" ht="13.8">
      <c r="C24" s="95"/>
      <c r="D24" s="96" t="s">
        <v>130</v>
      </c>
      <c r="E24" s="97"/>
      <c r="F24" s="95"/>
      <c r="G24" s="98">
        <f>SUM(G9:G23)</f>
        <v>398085.91914866411</v>
      </c>
      <c r="H24" s="98">
        <f>SUM(H9:H23)</f>
        <v>385211.36607743707</v>
      </c>
      <c r="I24" s="98">
        <f>SUM(I9:I23)</f>
        <v>344108.1665244847</v>
      </c>
      <c r="J24" s="98">
        <f>SUM(J9:J23)</f>
        <v>340863.07644472143</v>
      </c>
      <c r="K24" s="11"/>
      <c r="L24" s="11"/>
      <c r="M24" s="11"/>
      <c r="N24" s="11"/>
      <c r="O24" s="11"/>
      <c r="P24" s="11"/>
      <c r="Q24" s="11"/>
      <c r="R24" s="11"/>
      <c r="S24" s="11"/>
      <c r="T24" s="41"/>
      <c r="U24" s="59" t="e">
        <f>#REF!/$U$7</f>
        <v>#REF!</v>
      </c>
      <c r="V24" s="41"/>
    </row>
    <row r="25" spans="3:22" ht="13.8">
      <c r="C25" s="96" t="s">
        <v>131</v>
      </c>
      <c r="D25" s="95"/>
      <c r="E25" s="97"/>
      <c r="F25" s="95"/>
      <c r="G25" s="93"/>
      <c r="H25" s="94"/>
      <c r="I25" s="94"/>
      <c r="J25" s="94"/>
      <c r="K25" s="4"/>
      <c r="T25" s="41"/>
      <c r="V25" s="41"/>
    </row>
    <row r="26" spans="3:22" ht="13.8">
      <c r="C26" s="90">
        <v>1211</v>
      </c>
      <c r="D26" s="91" t="s">
        <v>13</v>
      </c>
      <c r="E26" s="97"/>
      <c r="F26" s="95"/>
      <c r="G26" s="93">
        <f>BS!G26/'BS USD'!$G$5</f>
        <v>70542.592120789821</v>
      </c>
      <c r="H26" s="94">
        <f>BS!H26/'BS USD'!$H$5</f>
        <v>187133.00019985682</v>
      </c>
      <c r="I26" s="94">
        <f>BS!I26/'BS USD'!$I$5</f>
        <v>284250.38952519954</v>
      </c>
      <c r="J26" s="94">
        <f>BS!J26/'BS USD'!$J$5</f>
        <v>422501.50570114533</v>
      </c>
      <c r="K26" s="4"/>
      <c r="T26" s="41"/>
      <c r="U26" s="41" t="e">
        <f>#REF!/$U$7</f>
        <v>#REF!</v>
      </c>
      <c r="V26" s="41"/>
    </row>
    <row r="27" spans="3:22" ht="13.8">
      <c r="C27" s="90">
        <v>1134</v>
      </c>
      <c r="D27" s="91" t="s">
        <v>132</v>
      </c>
      <c r="E27" s="97"/>
      <c r="F27" s="95"/>
      <c r="G27" s="93">
        <f>BS!G27/'BS USD'!$G$5</f>
        <v>0</v>
      </c>
      <c r="H27" s="94">
        <f>BS!H27/'BS USD'!$H$5</f>
        <v>0</v>
      </c>
      <c r="I27" s="94">
        <f>BS!I27/'BS USD'!$I$5</f>
        <v>0</v>
      </c>
      <c r="J27" s="94">
        <f>BS!J27/'BS USD'!$J$5</f>
        <v>0</v>
      </c>
      <c r="K27" s="4"/>
      <c r="T27" s="41"/>
      <c r="U27" s="41" t="e">
        <f>#REF!/$U$7</f>
        <v>#REF!</v>
      </c>
      <c r="V27" s="41"/>
    </row>
    <row r="28" spans="3:22" ht="13.8">
      <c r="C28" s="90">
        <v>124.01</v>
      </c>
      <c r="D28" s="91" t="s">
        <v>14</v>
      </c>
      <c r="E28" s="93"/>
      <c r="F28" s="95"/>
      <c r="G28" s="93">
        <f>BS!G28/'BS USD'!$G$5</f>
        <v>4585.1329477351856</v>
      </c>
      <c r="H28" s="94">
        <f>BS!H28/'BS USD'!$H$5</f>
        <v>1680.8847011096527</v>
      </c>
      <c r="I28" s="94">
        <f>BS!I28/'BS USD'!$I$5</f>
        <v>6056.1181937328729</v>
      </c>
      <c r="J28" s="94">
        <f>BS!J28/'BS USD'!$J$5</f>
        <v>6080.2326271437896</v>
      </c>
      <c r="K28" s="4"/>
      <c r="T28" s="41"/>
      <c r="U28" s="41" t="e">
        <f>#REF!/$U$7</f>
        <v>#REF!</v>
      </c>
      <c r="V28" s="41"/>
    </row>
    <row r="29" spans="3:22" ht="13.8">
      <c r="C29" s="95"/>
      <c r="D29" s="96" t="s">
        <v>133</v>
      </c>
      <c r="E29" s="97"/>
      <c r="F29" s="95"/>
      <c r="G29" s="98">
        <f>SUM(G26:G28)</f>
        <v>75127.725068525004</v>
      </c>
      <c r="H29" s="98">
        <f>SUM(H26:H28)</f>
        <v>188813.88490096648</v>
      </c>
      <c r="I29" s="98">
        <f>SUM(I26:I28)</f>
        <v>290306.50771893241</v>
      </c>
      <c r="J29" s="98">
        <f>SUM(J26:J28)</f>
        <v>428581.73832828912</v>
      </c>
      <c r="K29" s="11"/>
      <c r="L29" s="11"/>
      <c r="M29" s="11"/>
      <c r="N29" s="11"/>
      <c r="O29" s="11"/>
      <c r="P29" s="11"/>
      <c r="Q29" s="11"/>
      <c r="R29" s="11"/>
      <c r="S29" s="11"/>
      <c r="T29" s="41"/>
      <c r="U29" s="59" t="e">
        <f>#REF!/$U$7</f>
        <v>#REF!</v>
      </c>
      <c r="V29" s="41"/>
    </row>
    <row r="30" spans="3:22" ht="13.8">
      <c r="C30" s="96" t="s">
        <v>134</v>
      </c>
      <c r="D30" s="95"/>
      <c r="E30" s="97"/>
      <c r="F30" s="95"/>
      <c r="G30" s="93"/>
      <c r="H30" s="94"/>
      <c r="I30" s="94"/>
      <c r="J30" s="94"/>
      <c r="K30" s="4"/>
      <c r="T30" s="41"/>
      <c r="U30" s="41" t="e">
        <f>#REF!/$U$7</f>
        <v>#REF!</v>
      </c>
      <c r="V30" s="41"/>
    </row>
    <row r="31" spans="3:22" ht="13.8">
      <c r="C31" s="90">
        <v>1311.01</v>
      </c>
      <c r="D31" s="91" t="s">
        <v>15</v>
      </c>
      <c r="E31" s="97"/>
      <c r="F31" s="95"/>
      <c r="G31" s="93">
        <f>BS!G31/'BS USD'!$G$5</f>
        <v>4894.8170731707387</v>
      </c>
      <c r="H31" s="94">
        <f>BS!H31/'BS USD'!$H$5</f>
        <v>6852.6878952392317</v>
      </c>
      <c r="I31" s="94">
        <f>BS!I31/'BS USD'!$I$5</f>
        <v>2023.0608840700584</v>
      </c>
      <c r="J31" s="94">
        <f>BS!J31/'BS USD'!$J$5</f>
        <v>6567.5864340395228</v>
      </c>
      <c r="K31" s="4"/>
      <c r="T31" s="41"/>
      <c r="U31" s="41" t="e">
        <f>#REF!/$U$7</f>
        <v>#REF!</v>
      </c>
      <c r="V31" s="41"/>
    </row>
    <row r="32" spans="3:22" ht="13.8">
      <c r="C32" s="90">
        <v>1311.02</v>
      </c>
      <c r="D32" s="91" t="s">
        <v>16</v>
      </c>
      <c r="E32" s="97"/>
      <c r="F32" s="95"/>
      <c r="G32" s="93">
        <f>BS!G32/'BS USD'!$G$5</f>
        <v>2379.2799018583078</v>
      </c>
      <c r="H32" s="94">
        <f>BS!H32/'BS USD'!$H$5</f>
        <v>3295.869909915285</v>
      </c>
      <c r="I32" s="94">
        <f>BS!I32/'BS USD'!$I$5</f>
        <v>1601.0961515548672</v>
      </c>
      <c r="J32" s="94">
        <f>BS!J32/'BS USD'!$J$5</f>
        <v>2171.6930745949758</v>
      </c>
      <c r="K32" s="4"/>
      <c r="T32" s="41"/>
      <c r="U32" s="41" t="e">
        <f>#REF!/$U$7</f>
        <v>#REF!</v>
      </c>
      <c r="V32" s="41"/>
    </row>
    <row r="33" spans="3:22" ht="13.8">
      <c r="C33" s="90">
        <v>1311.03</v>
      </c>
      <c r="D33" s="91" t="s">
        <v>17</v>
      </c>
      <c r="E33" s="97"/>
      <c r="F33" s="95"/>
      <c r="G33" s="93">
        <f>BS!G33/'BS USD'!$G$5</f>
        <v>5446.1414936120809</v>
      </c>
      <c r="H33" s="94">
        <f>BS!H33/'BS USD'!$H$5</f>
        <v>4903.6903519866337</v>
      </c>
      <c r="I33" s="94">
        <f>BS!I33/'BS USD'!$I$5</f>
        <v>4832.7816251638205</v>
      </c>
      <c r="J33" s="94">
        <f>BS!J33/'BS USD'!$J$5</f>
        <v>4954.6095632306688</v>
      </c>
      <c r="K33" s="4"/>
      <c r="T33" s="41"/>
      <c r="U33" s="41" t="e">
        <f>#REF!/$U$7</f>
        <v>#REF!</v>
      </c>
      <c r="V33" s="41"/>
    </row>
    <row r="34" spans="3:22" ht="13.8">
      <c r="C34" s="90">
        <v>1311.04</v>
      </c>
      <c r="D34" s="91" t="s">
        <v>18</v>
      </c>
      <c r="E34" s="97"/>
      <c r="F34" s="95"/>
      <c r="G34" s="93">
        <f>BS!G34/'BS USD'!$G$5</f>
        <v>186.91387921021547</v>
      </c>
      <c r="H34" s="94">
        <f>BS!H34/'BS USD'!$H$5</f>
        <v>829.57910750507097</v>
      </c>
      <c r="I34" s="94">
        <f>BS!I34/'BS USD'!$I$5</f>
        <v>353.77971226021685</v>
      </c>
      <c r="J34" s="94">
        <f>BS!J34/'BS USD'!$J$5</f>
        <v>727.96592546436432</v>
      </c>
      <c r="K34" s="4"/>
      <c r="T34" s="41"/>
      <c r="U34" s="41" t="e">
        <f>#REF!/$U$7</f>
        <v>#REF!</v>
      </c>
      <c r="V34" s="41"/>
    </row>
    <row r="35" spans="3:22" ht="13.8">
      <c r="C35" s="90">
        <v>1311.05</v>
      </c>
      <c r="D35" s="91" t="s">
        <v>19</v>
      </c>
      <c r="E35" s="99"/>
      <c r="F35" s="95"/>
      <c r="G35" s="93">
        <f>BS!G35/'BS USD'!$G$5</f>
        <v>2312.5482578397559</v>
      </c>
      <c r="H35" s="94">
        <f>BS!H35/'BS USD'!$H$5</f>
        <v>6250.8073022312374</v>
      </c>
      <c r="I35" s="94">
        <f>BS!I35/'BS USD'!$I$5</f>
        <v>2441.8384367925651</v>
      </c>
      <c r="J35" s="94">
        <f>BS!J35/'BS USD'!$J$5</f>
        <v>1725.6329713370155</v>
      </c>
      <c r="K35" s="4"/>
      <c r="T35" s="41"/>
      <c r="U35" s="41" t="e">
        <f>#REF!/$U$7</f>
        <v>#REF!</v>
      </c>
      <c r="V35" s="41"/>
    </row>
    <row r="36" spans="3:22" ht="13.8">
      <c r="C36" s="90">
        <v>1311.06</v>
      </c>
      <c r="D36" s="91" t="s">
        <v>20</v>
      </c>
      <c r="E36" s="97"/>
      <c r="F36" s="95"/>
      <c r="G36" s="93">
        <f>BS!G36/'BS USD'!$G$5</f>
        <v>1183.3623286875722</v>
      </c>
      <c r="H36" s="94">
        <f>BS!H36/'BS USD'!$H$5</f>
        <v>836.71401384083026</v>
      </c>
      <c r="I36" s="94">
        <f>BS!I36/'BS USD'!$I$5</f>
        <v>636.41874180864988</v>
      </c>
      <c r="J36" s="94">
        <f>BS!J36/'BS USD'!$J$5</f>
        <v>1201.0192843154709</v>
      </c>
      <c r="K36" s="4"/>
      <c r="T36" s="41"/>
      <c r="U36" s="41" t="e">
        <f>#REF!/$U$7</f>
        <v>#REF!</v>
      </c>
      <c r="V36" s="41"/>
    </row>
    <row r="37" spans="3:22" ht="13.8">
      <c r="C37" s="90">
        <v>1311.07</v>
      </c>
      <c r="D37" s="91" t="s">
        <v>135</v>
      </c>
      <c r="E37" s="97"/>
      <c r="F37" s="95"/>
      <c r="G37" s="93">
        <f>BS!G37/'BS USD'!$G$5</f>
        <v>0</v>
      </c>
      <c r="H37" s="94">
        <f>BS!H37/'BS USD'!$H$5</f>
        <v>0</v>
      </c>
      <c r="I37" s="94">
        <f>BS!I37/'BS USD'!$I$5</f>
        <v>0</v>
      </c>
      <c r="J37" s="94">
        <f>BS!J37/'BS USD'!$J$5</f>
        <v>7564.4184914841853</v>
      </c>
      <c r="K37" s="4"/>
      <c r="T37" s="41"/>
      <c r="U37" s="41" t="e">
        <f>#REF!/$U$7</f>
        <v>#REF!</v>
      </c>
      <c r="V37" s="41"/>
    </row>
    <row r="38" spans="3:22" ht="13.8">
      <c r="C38" s="90">
        <v>1311.08</v>
      </c>
      <c r="D38" s="91" t="s">
        <v>21</v>
      </c>
      <c r="E38" s="99"/>
      <c r="F38" s="95"/>
      <c r="G38" s="93">
        <f>BS!G38/'BS USD'!$G$5</f>
        <v>7753.5909593495935</v>
      </c>
      <c r="H38" s="94">
        <f>BS!H38/'BS USD'!$H$5</f>
        <v>10610.600479059778</v>
      </c>
      <c r="I38" s="94">
        <f>BS!I38/'BS USD'!$I$5</f>
        <v>9622.0240676754402</v>
      </c>
      <c r="J38" s="94">
        <f>BS!J38/'BS USD'!$J$5</f>
        <v>0</v>
      </c>
      <c r="K38" s="4"/>
      <c r="T38" s="41"/>
      <c r="U38" s="41" t="e">
        <f>#REF!/$U$7</f>
        <v>#REF!</v>
      </c>
      <c r="V38" s="41"/>
    </row>
    <row r="39" spans="3:22" ht="17.7" customHeight="1">
      <c r="C39" s="90">
        <v>1331.001</v>
      </c>
      <c r="D39" s="91" t="s">
        <v>23</v>
      </c>
      <c r="E39" s="97"/>
      <c r="F39" s="95"/>
      <c r="G39" s="93">
        <f>BS!G39/'BS USD'!$G$5</f>
        <v>-2.2152713505371661E-10</v>
      </c>
      <c r="H39" s="199">
        <f>BS!H39/'BS USD'!$H$5</f>
        <v>6.4006896907113194E-11</v>
      </c>
      <c r="I39" s="94">
        <f>BS!I39/'BS USD'!$I$5</f>
        <v>0</v>
      </c>
      <c r="J39" s="94">
        <f>BS!J39/'BS USD'!$J$5</f>
        <v>0</v>
      </c>
      <c r="K39" s="4"/>
      <c r="T39" s="41"/>
      <c r="U39" s="41" t="e">
        <f>#REF!/$U$7</f>
        <v>#REF!</v>
      </c>
      <c r="V39" s="41"/>
    </row>
    <row r="40" spans="3:22" ht="13.8">
      <c r="C40" s="95"/>
      <c r="D40" s="96" t="s">
        <v>136</v>
      </c>
      <c r="E40" s="97"/>
      <c r="F40" s="95"/>
      <c r="G40" s="98">
        <f>SUM(G31:G39)</f>
        <v>24156.653893728042</v>
      </c>
      <c r="H40" s="98">
        <f>SUM(H31:H39)</f>
        <v>33579.949059778133</v>
      </c>
      <c r="I40" s="98">
        <f>SUM(I31:I39)</f>
        <v>21510.999619325616</v>
      </c>
      <c r="J40" s="98">
        <f>SUM(J31:J39)</f>
        <v>24912.925744466203</v>
      </c>
      <c r="K40" s="11"/>
      <c r="L40" s="11"/>
      <c r="M40" s="11"/>
      <c r="N40" s="11"/>
      <c r="O40" s="11"/>
      <c r="P40" s="11"/>
      <c r="Q40" s="11"/>
      <c r="R40" s="11"/>
      <c r="S40" s="11"/>
      <c r="T40" s="41"/>
      <c r="U40" s="59" t="e">
        <f>#REF!/$U$7</f>
        <v>#REF!</v>
      </c>
      <c r="V40" s="41"/>
    </row>
    <row r="41" spans="3:22" ht="13.8">
      <c r="C41" s="96" t="s">
        <v>137</v>
      </c>
      <c r="D41" s="96"/>
      <c r="E41" s="97"/>
      <c r="F41" s="95"/>
      <c r="G41" s="100"/>
      <c r="H41" s="94"/>
      <c r="I41" s="94"/>
      <c r="J41" s="94"/>
      <c r="K41" s="4"/>
      <c r="T41" s="41"/>
      <c r="U41" s="41" t="e">
        <f>#REF!/$U$7</f>
        <v>#REF!</v>
      </c>
      <c r="V41" s="41"/>
    </row>
    <row r="42" spans="3:22" ht="13.8">
      <c r="C42" s="90">
        <v>146.01</v>
      </c>
      <c r="D42" s="91" t="s">
        <v>25</v>
      </c>
      <c r="E42" s="97"/>
      <c r="F42" s="95"/>
      <c r="G42" s="93">
        <f>BS!G42/'BS USD'!$G$5</f>
        <v>0</v>
      </c>
      <c r="H42" s="94">
        <f>BS!H42/'BS USD'!$H$5</f>
        <v>0</v>
      </c>
      <c r="I42" s="94">
        <f>BS!I42/'BS USD'!$I$5</f>
        <v>0</v>
      </c>
      <c r="J42" s="94">
        <f>BS!J42/'BS USD'!$J$5</f>
        <v>0</v>
      </c>
      <c r="K42" s="4"/>
      <c r="T42" s="41"/>
      <c r="U42" s="41" t="e">
        <f>#REF!/$U$7</f>
        <v>#REF!</v>
      </c>
      <c r="V42" s="41"/>
    </row>
    <row r="43" spans="3:22" ht="13.8">
      <c r="C43" s="90">
        <v>146.02000000000001</v>
      </c>
      <c r="D43" s="91" t="s">
        <v>138</v>
      </c>
      <c r="E43" s="97"/>
      <c r="F43" s="95"/>
      <c r="G43" s="93">
        <f>BS!G43/'BS USD'!$G$5</f>
        <v>0</v>
      </c>
      <c r="H43" s="94">
        <f>BS!H43/'BS USD'!$H$5</f>
        <v>0</v>
      </c>
      <c r="I43" s="94">
        <f>BS!I43/'BS USD'!$I$5</f>
        <v>0</v>
      </c>
      <c r="J43" s="94">
        <f>BS!J43/'BS USD'!$J$5</f>
        <v>0</v>
      </c>
      <c r="K43" s="4"/>
      <c r="T43" s="41"/>
      <c r="U43" s="41" t="e">
        <f>#REF!/$U$7</f>
        <v>#REF!</v>
      </c>
      <c r="V43" s="41"/>
    </row>
    <row r="44" spans="3:22" ht="13.8">
      <c r="C44" s="90">
        <v>146.03</v>
      </c>
      <c r="D44" s="91" t="s">
        <v>139</v>
      </c>
      <c r="E44" s="97"/>
      <c r="F44" s="95"/>
      <c r="G44" s="93">
        <f>BS!G44/'BS USD'!$G$5</f>
        <v>0</v>
      </c>
      <c r="H44" s="94">
        <f>BS!H44/'BS USD'!$H$5</f>
        <v>0</v>
      </c>
      <c r="I44" s="94">
        <f>BS!I44/'BS USD'!$I$5</f>
        <v>0</v>
      </c>
      <c r="J44" s="94">
        <f>BS!J44/'BS USD'!$J$5</f>
        <v>0</v>
      </c>
      <c r="K44" s="4"/>
      <c r="T44" s="41"/>
      <c r="U44" s="41" t="e">
        <f>#REF!/$U$7</f>
        <v>#REF!</v>
      </c>
      <c r="V44" s="41"/>
    </row>
    <row r="45" spans="3:22" ht="13.8">
      <c r="C45" s="90">
        <v>146.04</v>
      </c>
      <c r="D45" s="91" t="s">
        <v>140</v>
      </c>
      <c r="E45" s="97"/>
      <c r="F45" s="95"/>
      <c r="G45" s="93">
        <f>BS!G45/'BS USD'!$G$5</f>
        <v>0</v>
      </c>
      <c r="H45" s="94">
        <f>BS!H45/'BS USD'!$H$5</f>
        <v>0</v>
      </c>
      <c r="I45" s="94">
        <f>BS!I45/'BS USD'!$I$5</f>
        <v>0</v>
      </c>
      <c r="J45" s="94">
        <f>BS!J45/'BS USD'!$J$5</f>
        <v>0</v>
      </c>
      <c r="K45" s="4"/>
      <c r="T45" s="41"/>
      <c r="U45" s="41" t="e">
        <f>#REF!/$U$7</f>
        <v>#REF!</v>
      </c>
      <c r="V45" s="41"/>
    </row>
    <row r="46" spans="3:22" ht="13.8">
      <c r="C46" s="90">
        <v>146.05000000000001</v>
      </c>
      <c r="D46" s="91" t="s">
        <v>26</v>
      </c>
      <c r="E46" s="97"/>
      <c r="F46" s="95"/>
      <c r="G46" s="93">
        <f>BS!G46/'BS USD'!$G$5</f>
        <v>0</v>
      </c>
      <c r="H46" s="94">
        <f>BS!H46/'BS USD'!$H$5</f>
        <v>0</v>
      </c>
      <c r="I46" s="94">
        <f>BS!I46/'BS USD'!$I$5</f>
        <v>0</v>
      </c>
      <c r="J46" s="94">
        <f>BS!J46/'BS USD'!$J$5</f>
        <v>0</v>
      </c>
      <c r="K46" s="4"/>
      <c r="T46" s="41"/>
      <c r="U46" s="41" t="e">
        <f>#REF!/$U$7</f>
        <v>#REF!</v>
      </c>
      <c r="V46" s="41"/>
    </row>
    <row r="47" spans="3:22" ht="13.8">
      <c r="C47" s="90">
        <v>146.06</v>
      </c>
      <c r="D47" s="91" t="s">
        <v>27</v>
      </c>
      <c r="E47" s="99"/>
      <c r="F47" s="95"/>
      <c r="G47" s="93">
        <f>BS!G47/'BS USD'!$G$5</f>
        <v>0</v>
      </c>
      <c r="H47" s="94">
        <f>BS!H47/'BS USD'!$H$5</f>
        <v>0</v>
      </c>
      <c r="I47" s="94">
        <f>BS!I47/'BS USD'!$I$5</f>
        <v>0</v>
      </c>
      <c r="J47" s="94">
        <f>BS!J47/'BS USD'!$J$5</f>
        <v>0</v>
      </c>
      <c r="K47" s="4"/>
      <c r="T47" s="41"/>
      <c r="U47" s="41" t="e">
        <f>#REF!/$U$7</f>
        <v>#REF!</v>
      </c>
      <c r="V47" s="41"/>
    </row>
    <row r="48" spans="3:22" ht="13.8">
      <c r="C48" s="90">
        <v>146.07</v>
      </c>
      <c r="D48" s="91" t="s">
        <v>28</v>
      </c>
      <c r="E48" s="99"/>
      <c r="F48" s="95"/>
      <c r="G48" s="93">
        <f>BS!G48/'BS USD'!$G$5</f>
        <v>0</v>
      </c>
      <c r="H48" s="94">
        <f>BS!H48/'BS USD'!$H$5</f>
        <v>0</v>
      </c>
      <c r="I48" s="94">
        <f>BS!I48/'BS USD'!$I$5</f>
        <v>0</v>
      </c>
      <c r="J48" s="94">
        <f>BS!J48/'BS USD'!$J$5</f>
        <v>0</v>
      </c>
      <c r="K48" s="4"/>
      <c r="T48" s="41"/>
      <c r="U48" s="41" t="e">
        <f>#REF!/$U$7</f>
        <v>#REF!</v>
      </c>
      <c r="V48" s="41"/>
    </row>
    <row r="49" spans="2:251" ht="13.8">
      <c r="C49" s="90">
        <v>146.08000000000001</v>
      </c>
      <c r="D49" s="91" t="s">
        <v>29</v>
      </c>
      <c r="E49" s="99"/>
      <c r="F49" s="95"/>
      <c r="G49" s="93">
        <f>BS!G49/'BS USD'!$G$5</f>
        <v>65895.287255516858</v>
      </c>
      <c r="H49" s="94">
        <f>BS!H49/'BS USD'!$H$5</f>
        <v>64272.087618422614</v>
      </c>
      <c r="I49" s="94">
        <f>BS!I49/'BS USD'!$I$5</f>
        <v>62457.2281460741</v>
      </c>
      <c r="J49" s="94">
        <f>BS!J49/'BS USD'!$J$5</f>
        <v>60499.280853361815</v>
      </c>
      <c r="K49" s="4"/>
      <c r="T49" s="41"/>
      <c r="U49" s="41" t="e">
        <f>#REF!/$U$7</f>
        <v>#REF!</v>
      </c>
      <c r="V49" s="41"/>
    </row>
    <row r="50" spans="2:251" ht="13.8">
      <c r="C50" s="90">
        <v>146.09</v>
      </c>
      <c r="D50" s="91" t="s">
        <v>243</v>
      </c>
      <c r="E50" s="99"/>
      <c r="F50" s="95"/>
      <c r="G50" s="93">
        <f>BS!G50/'BS USD'!$G$5</f>
        <v>4307.9296951219512</v>
      </c>
      <c r="H50" s="94">
        <f>BS!H50/'BS USD'!$H$5</f>
        <v>3595.447488366543</v>
      </c>
      <c r="I50" s="94">
        <f>BS!I50/'BS USD'!$I$5</f>
        <v>2871.5970243059692</v>
      </c>
      <c r="J50" s="94">
        <f>BS!J50/'BS USD'!$J$5</f>
        <v>2144.2869948371012</v>
      </c>
      <c r="K50" s="4"/>
      <c r="T50" s="41"/>
      <c r="U50" s="41" t="e">
        <f>#REF!/$U$7</f>
        <v>#REF!</v>
      </c>
      <c r="V50" s="41"/>
    </row>
    <row r="51" spans="2:251" ht="13.8">
      <c r="C51" s="90">
        <v>166</v>
      </c>
      <c r="D51" s="91" t="s">
        <v>32</v>
      </c>
      <c r="E51" s="97"/>
      <c r="F51" s="95"/>
      <c r="G51" s="93">
        <f>BS!G51/'BS USD'!$G$5</f>
        <v>-3.461361485214322E-12</v>
      </c>
      <c r="H51" s="94">
        <f>BS!H51/'BS USD'!$H$5</f>
        <v>0</v>
      </c>
      <c r="I51" s="94">
        <f>BS!I51/'BS USD'!$I$5</f>
        <v>0</v>
      </c>
      <c r="J51" s="94">
        <f>BS!J51/'BS USD'!$J$5</f>
        <v>0</v>
      </c>
      <c r="K51" s="4"/>
      <c r="T51" s="41"/>
      <c r="U51" s="41" t="e">
        <f>#REF!/$U$7</f>
        <v>#REF!</v>
      </c>
      <c r="V51" s="41"/>
    </row>
    <row r="52" spans="2:251" ht="13.8">
      <c r="C52" s="95"/>
      <c r="D52" s="96" t="s">
        <v>141</v>
      </c>
      <c r="E52" s="99"/>
      <c r="F52" s="95"/>
      <c r="G52" s="98">
        <f>SUM(G42:G51)</f>
        <v>70203.216950638802</v>
      </c>
      <c r="H52" s="98">
        <f>SUM(H42:H51)</f>
        <v>67867.535106789161</v>
      </c>
      <c r="I52" s="98">
        <f>SUM(I42:I51)</f>
        <v>65328.825170380071</v>
      </c>
      <c r="J52" s="98">
        <f>SUM(J42:J51)</f>
        <v>62643.567848198916</v>
      </c>
      <c r="K52" s="11"/>
      <c r="L52" s="11"/>
      <c r="M52" s="11"/>
      <c r="N52" s="11"/>
      <c r="O52" s="11"/>
      <c r="P52" s="11"/>
      <c r="Q52" s="11"/>
      <c r="R52" s="11"/>
      <c r="S52" s="11"/>
      <c r="T52" s="41"/>
      <c r="U52" s="59" t="e">
        <f>#REF!/$U$7</f>
        <v>#REF!</v>
      </c>
      <c r="V52" s="41"/>
    </row>
    <row r="53" spans="2:251" ht="13.8">
      <c r="C53" s="96" t="s">
        <v>120</v>
      </c>
      <c r="D53" s="95"/>
      <c r="E53" s="99"/>
      <c r="F53" s="95"/>
      <c r="G53" s="93"/>
      <c r="H53" s="94"/>
      <c r="I53" s="94"/>
      <c r="J53" s="94"/>
      <c r="K53" s="4"/>
      <c r="T53" s="41"/>
      <c r="U53" s="41" t="e">
        <f>#REF!/$U$7</f>
        <v>#REF!</v>
      </c>
      <c r="V53" s="41"/>
    </row>
    <row r="54" spans="2:251" ht="13.8">
      <c r="C54" s="90">
        <v>1601.01</v>
      </c>
      <c r="D54" s="95" t="s">
        <v>142</v>
      </c>
      <c r="E54" s="99"/>
      <c r="F54" s="95"/>
      <c r="G54" s="93">
        <f>BS!G54/'BS USD'!$G$5</f>
        <v>4206.0153310104533</v>
      </c>
      <c r="H54" s="94">
        <f>BS!H54/'BS USD'!$H$5</f>
        <v>4320.9392673905259</v>
      </c>
      <c r="I54" s="94">
        <f>BS!I54/'BS USD'!$I$5</f>
        <v>4314.7613487429999</v>
      </c>
      <c r="J54" s="94">
        <f>BS!J54/'BS USD'!$J$5</f>
        <v>3244.0646845884517</v>
      </c>
      <c r="K54" s="4"/>
      <c r="T54" s="41"/>
      <c r="U54" s="41" t="e">
        <f>#REF!/$U$7</f>
        <v>#REF!</v>
      </c>
      <c r="V54" s="41"/>
    </row>
    <row r="55" spans="2:251" ht="13.8">
      <c r="C55" s="90">
        <v>1601</v>
      </c>
      <c r="D55" s="91" t="s">
        <v>143</v>
      </c>
      <c r="E55" s="99"/>
      <c r="F55" s="95"/>
      <c r="G55" s="93">
        <f>BS!G55/'BS USD'!$G$5</f>
        <v>0</v>
      </c>
      <c r="H55" s="94">
        <f>BS!H55/'BS USD'!$H$5</f>
        <v>0</v>
      </c>
      <c r="I55" s="94">
        <f>BS!I55/'BS USD'!$I$5</f>
        <v>0</v>
      </c>
      <c r="J55" s="94">
        <f>BS!J55/'BS USD'!$J$5</f>
        <v>0</v>
      </c>
      <c r="K55" s="4"/>
      <c r="T55" s="41"/>
      <c r="U55" s="41" t="e">
        <f>#REF!/$U$7</f>
        <v>#REF!</v>
      </c>
      <c r="V55" s="41"/>
    </row>
    <row r="56" spans="2:251" ht="13.8">
      <c r="C56" s="90">
        <v>1611</v>
      </c>
      <c r="D56" s="91" t="s">
        <v>31</v>
      </c>
      <c r="E56" s="95"/>
      <c r="F56" s="95"/>
      <c r="G56" s="93">
        <f>BS!G56/'BS USD'!$G$5</f>
        <v>910.38426132404186</v>
      </c>
      <c r="H56" s="94">
        <f>BS!H56/'BS USD'!$H$5</f>
        <v>935.25933540150345</v>
      </c>
      <c r="I56" s="94">
        <f>BS!I56/'BS USD'!$I$5</f>
        <v>933.92213630406297</v>
      </c>
      <c r="J56" s="94">
        <f>BS!J56/'BS USD'!$J$5</f>
        <v>1762.5907352679367</v>
      </c>
      <c r="K56" s="4"/>
      <c r="T56" s="41"/>
      <c r="U56" s="41" t="e">
        <f>#REF!/$U$7</f>
        <v>#REF!</v>
      </c>
      <c r="V56" s="41"/>
    </row>
    <row r="57" spans="2:251" ht="13.8">
      <c r="C57" s="95"/>
      <c r="D57" s="96" t="s">
        <v>144</v>
      </c>
      <c r="E57" s="99"/>
      <c r="F57" s="95"/>
      <c r="G57" s="98">
        <f>SUM(G54:G56)</f>
        <v>5116.3995923344955</v>
      </c>
      <c r="H57" s="98">
        <f>SUM(H54:H56)</f>
        <v>5256.1986027920293</v>
      </c>
      <c r="I57" s="98">
        <f>SUM(I54:I56)</f>
        <v>5248.6834850470632</v>
      </c>
      <c r="J57" s="98">
        <f>SUM(J54:J56)</f>
        <v>5006.6554198563881</v>
      </c>
      <c r="K57" s="11"/>
      <c r="L57" s="11"/>
      <c r="M57" s="11"/>
      <c r="N57" s="11"/>
      <c r="O57" s="11"/>
      <c r="P57" s="11"/>
      <c r="Q57" s="11"/>
      <c r="R57" s="11"/>
      <c r="S57" s="11"/>
      <c r="T57" s="41"/>
      <c r="U57" s="59" t="e">
        <f>#REF!/$U$7</f>
        <v>#REF!</v>
      </c>
      <c r="V57" s="41"/>
      <c r="IQ57" s="11"/>
    </row>
    <row r="58" spans="2:251" ht="13.8">
      <c r="B58" s="1" t="s">
        <v>145</v>
      </c>
      <c r="C58" s="95"/>
      <c r="D58" s="95"/>
      <c r="E58" s="99"/>
      <c r="F58" s="95"/>
      <c r="G58" s="93"/>
      <c r="H58" s="94"/>
      <c r="I58" s="94"/>
      <c r="J58" s="94"/>
      <c r="K58" s="4"/>
      <c r="T58" s="41"/>
      <c r="U58" s="41" t="e">
        <f>#REF!/$U$7</f>
        <v>#REF!</v>
      </c>
      <c r="V58" s="41"/>
    </row>
    <row r="59" spans="2:251" ht="13.8">
      <c r="C59" s="90">
        <v>231</v>
      </c>
      <c r="D59" s="91" t="s">
        <v>33</v>
      </c>
      <c r="E59" s="99"/>
      <c r="F59" s="95"/>
      <c r="G59" s="93">
        <f>BS!G59/'BS USD'!$G$5</f>
        <v>0</v>
      </c>
      <c r="H59" s="94">
        <f>BS!H59/'BS USD'!$H$5</f>
        <v>0</v>
      </c>
      <c r="I59" s="94">
        <f>BS!I59/'BS USD'!$I$5</f>
        <v>0</v>
      </c>
      <c r="J59" s="94">
        <f>BS!J59/'BS USD'!$J$5</f>
        <v>0</v>
      </c>
      <c r="K59" s="16"/>
      <c r="L59" s="16"/>
      <c r="M59" s="16"/>
      <c r="N59" s="16"/>
      <c r="O59" s="16"/>
      <c r="P59" s="16"/>
      <c r="Q59" s="16"/>
      <c r="R59" s="16"/>
      <c r="S59" s="16"/>
      <c r="T59" s="41"/>
      <c r="U59" s="41" t="e">
        <f>#REF!/$U$7</f>
        <v>#REF!</v>
      </c>
      <c r="V59" s="41"/>
    </row>
    <row r="60" spans="2:251" ht="13.8">
      <c r="C60" s="90">
        <v>232</v>
      </c>
      <c r="D60" s="91" t="s">
        <v>244</v>
      </c>
      <c r="E60" s="99"/>
      <c r="F60" s="95"/>
      <c r="G60" s="93">
        <f>BS!G60/'BS USD'!$G$5</f>
        <v>0</v>
      </c>
      <c r="H60" s="94">
        <f>BS!H60/'BS USD'!$H$5</f>
        <v>0</v>
      </c>
      <c r="I60" s="94">
        <f>BS!I60/'BS USD'!$I$5</f>
        <v>0</v>
      </c>
      <c r="J60" s="94">
        <f>BS!J60/'BS USD'!$J$5</f>
        <v>0</v>
      </c>
      <c r="K60" s="16"/>
      <c r="L60" s="16"/>
      <c r="M60" s="16"/>
      <c r="N60" s="16"/>
      <c r="O60" s="16"/>
      <c r="P60" s="16"/>
      <c r="Q60" s="16"/>
      <c r="R60" s="16"/>
      <c r="S60" s="16"/>
      <c r="T60" s="41"/>
      <c r="U60" s="41" t="e">
        <f>#REF!/$U$7</f>
        <v>#REF!</v>
      </c>
      <c r="V60" s="41"/>
    </row>
    <row r="61" spans="2:251" ht="13.8">
      <c r="C61" s="90">
        <v>2411</v>
      </c>
      <c r="D61" s="91" t="s">
        <v>34</v>
      </c>
      <c r="E61" s="99"/>
      <c r="F61" s="95"/>
      <c r="G61" s="93">
        <f>BS!G61/'BS USD'!$G$5</f>
        <v>8358.0998298490122</v>
      </c>
      <c r="H61" s="94">
        <f>BS!H61/'BS USD'!$H$5</f>
        <v>9268.5526231953227</v>
      </c>
      <c r="I61" s="94">
        <f>BS!I61/'BS USD'!$I$5</f>
        <v>9255.3007905397353</v>
      </c>
      <c r="J61" s="94">
        <f>BS!J61/'BS USD'!$J$5</f>
        <v>9219.59996854786</v>
      </c>
      <c r="K61" s="16"/>
      <c r="L61" s="16"/>
      <c r="M61" s="16"/>
      <c r="N61" s="16"/>
      <c r="O61" s="16"/>
      <c r="P61" s="16"/>
      <c r="Q61" s="16"/>
      <c r="R61" s="16"/>
      <c r="S61" s="16"/>
      <c r="T61" s="41"/>
      <c r="U61" s="41" t="e">
        <f>#REF!/$U$7</f>
        <v>#REF!</v>
      </c>
      <c r="V61" s="41"/>
    </row>
    <row r="62" spans="2:251" ht="13.8">
      <c r="C62" s="90">
        <v>2412</v>
      </c>
      <c r="D62" s="91" t="s">
        <v>35</v>
      </c>
      <c r="E62" s="99"/>
      <c r="F62" s="95"/>
      <c r="G62" s="93">
        <f>BS!G62/'BS USD'!$G$5</f>
        <v>136072.25344308943</v>
      </c>
      <c r="H62" s="94">
        <f>BS!H62/'BS USD'!$H$5</f>
        <v>139790.25201586922</v>
      </c>
      <c r="I62" s="94">
        <f>BS!I62/'BS USD'!$I$5</f>
        <v>139590.3851000834</v>
      </c>
      <c r="J62" s="94">
        <f>BS!J62/'BS USD'!$J$5</f>
        <v>139051.93782505489</v>
      </c>
      <c r="K62" s="16"/>
      <c r="L62" s="16"/>
      <c r="M62" s="16"/>
      <c r="N62" s="16"/>
      <c r="O62" s="16"/>
      <c r="P62" s="16"/>
      <c r="Q62" s="16"/>
      <c r="R62" s="16"/>
      <c r="S62" s="16"/>
      <c r="T62" s="41"/>
      <c r="U62" s="41" t="e">
        <f>#REF!/$U$7</f>
        <v>#REF!</v>
      </c>
      <c r="V62" s="41"/>
    </row>
    <row r="63" spans="2:251" ht="13.8">
      <c r="C63" s="90">
        <v>2413</v>
      </c>
      <c r="D63" s="91" t="s">
        <v>36</v>
      </c>
      <c r="E63" s="99"/>
      <c r="F63" s="95"/>
      <c r="G63" s="93">
        <f>BS!G63/'BS USD'!$G$5</f>
        <v>182926.49523809523</v>
      </c>
      <c r="H63" s="94">
        <f>BS!H63/'BS USD'!$H$5</f>
        <v>187924.72545042358</v>
      </c>
      <c r="I63" s="94">
        <f>BS!I63/'BS USD'!$I$5</f>
        <v>185819.92422256642</v>
      </c>
      <c r="J63" s="94">
        <f>BS!J63/'BS USD'!$J$5</f>
        <v>175691.05975906475</v>
      </c>
      <c r="K63" s="16"/>
      <c r="L63" s="16"/>
      <c r="M63" s="16"/>
      <c r="N63" s="16"/>
      <c r="O63" s="16"/>
      <c r="P63" s="16"/>
      <c r="Q63" s="16"/>
      <c r="R63" s="16"/>
      <c r="S63" s="16"/>
      <c r="T63" s="41"/>
      <c r="U63" s="41" t="e">
        <f>#REF!/$U$7</f>
        <v>#REF!</v>
      </c>
      <c r="V63" s="41"/>
    </row>
    <row r="64" spans="2:251" ht="13.8">
      <c r="C64" s="90">
        <v>2414</v>
      </c>
      <c r="D64" s="91" t="s">
        <v>37</v>
      </c>
      <c r="E64" s="99"/>
      <c r="F64" s="95"/>
      <c r="G64" s="93">
        <f>BS!G64/'BS USD'!$G$5</f>
        <v>301194.0770034843</v>
      </c>
      <c r="H64" s="94">
        <f>BS!H64/'BS USD'!$H$5</f>
        <v>309423.81613172655</v>
      </c>
      <c r="I64" s="94">
        <f>BS!I64/'BS USD'!$I$5</f>
        <v>261555.77916120578</v>
      </c>
      <c r="J64" s="94">
        <f>BS!J64/'BS USD'!$J$5</f>
        <v>260546.87015607383</v>
      </c>
      <c r="K64" s="16"/>
      <c r="L64" s="16"/>
      <c r="M64" s="16"/>
      <c r="N64" s="16"/>
      <c r="O64" s="16"/>
      <c r="P64" s="16"/>
      <c r="Q64" s="16"/>
      <c r="R64" s="16"/>
      <c r="S64" s="16"/>
      <c r="T64" s="41"/>
      <c r="U64" s="41" t="e">
        <f>#REF!/$U$7</f>
        <v>#REF!</v>
      </c>
      <c r="V64" s="41"/>
    </row>
    <row r="65" spans="1:22" ht="13.8">
      <c r="C65" s="90">
        <v>2421</v>
      </c>
      <c r="D65" s="91" t="s">
        <v>38</v>
      </c>
      <c r="E65" s="99"/>
      <c r="F65" s="95"/>
      <c r="G65" s="93">
        <f>BS!G65/'BS USD'!$G$5</f>
        <v>586.70150987224156</v>
      </c>
      <c r="H65" s="94">
        <f>BS!H65/'BS USD'!$H$5</f>
        <v>602.73237083880201</v>
      </c>
      <c r="I65" s="94">
        <f>BS!I65/'BS USD'!$I$5</f>
        <v>601.87060645776239</v>
      </c>
      <c r="J65" s="94">
        <f>BS!J65/'BS USD'!$J$5</f>
        <v>599.54898819061179</v>
      </c>
      <c r="K65" s="16"/>
      <c r="L65" s="16"/>
      <c r="M65" s="16"/>
      <c r="N65" s="16"/>
      <c r="O65" s="16"/>
      <c r="P65" s="16"/>
      <c r="Q65" s="16"/>
      <c r="R65" s="16"/>
      <c r="S65" s="16"/>
      <c r="T65" s="41"/>
      <c r="U65" s="41" t="e">
        <f>#REF!/$U$7</f>
        <v>#REF!</v>
      </c>
      <c r="V65" s="41"/>
    </row>
    <row r="66" spans="1:22" ht="13.8">
      <c r="C66" s="90">
        <v>28411</v>
      </c>
      <c r="D66" s="91" t="s">
        <v>39</v>
      </c>
      <c r="E66" s="99"/>
      <c r="F66" s="95"/>
      <c r="G66" s="184">
        <f>BS!G66/'BS USD'!$G$5</f>
        <v>-2641.4132404181187</v>
      </c>
      <c r="H66" s="94">
        <f>BS!H66/'BS USD'!$H$5</f>
        <v>-2790.8243646342917</v>
      </c>
      <c r="I66" s="94">
        <f>BS!I66/'BS USD'!$I$5</f>
        <v>-2875.3133760276419</v>
      </c>
      <c r="J66" s="94">
        <f>BS!J66/'BS USD'!$J$5</f>
        <v>-2946.7062880541212</v>
      </c>
      <c r="K66" s="16"/>
      <c r="L66" s="16"/>
      <c r="M66" s="16"/>
      <c r="N66" s="16"/>
      <c r="O66" s="16"/>
      <c r="P66" s="16"/>
      <c r="Q66" s="16"/>
      <c r="R66" s="16"/>
      <c r="S66" s="16"/>
      <c r="T66" s="41"/>
      <c r="U66" s="41" t="e">
        <f>#REF!/$U$7</f>
        <v>#REF!</v>
      </c>
      <c r="V66" s="41"/>
    </row>
    <row r="67" spans="1:22" ht="13.8">
      <c r="C67" s="90">
        <v>28412</v>
      </c>
      <c r="D67" s="91" t="s">
        <v>40</v>
      </c>
      <c r="E67" s="99"/>
      <c r="F67" s="95"/>
      <c r="G67" s="184">
        <f>BS!G67/'BS USD'!$G$5</f>
        <v>-15397.777409988386</v>
      </c>
      <c r="H67" s="94">
        <f>BS!H67/'BS USD'!$H$5</f>
        <v>-16117.373881398402</v>
      </c>
      <c r="I67" s="94">
        <f>BS!I67/'BS USD'!$I$5</f>
        <v>-16392.774606219471</v>
      </c>
      <c r="J67" s="94">
        <f>BS!J67/'BS USD'!$J$5</f>
        <v>-16626.835682155364</v>
      </c>
      <c r="K67" s="16"/>
      <c r="L67" s="16"/>
      <c r="M67" s="16"/>
      <c r="N67" s="16"/>
      <c r="O67" s="16"/>
      <c r="P67" s="16"/>
      <c r="Q67" s="16"/>
      <c r="R67" s="16"/>
      <c r="S67" s="16"/>
      <c r="T67" s="41"/>
      <c r="U67" s="41" t="e">
        <f>#REF!/$U$7</f>
        <v>#REF!</v>
      </c>
      <c r="V67" s="41"/>
    </row>
    <row r="68" spans="1:22" ht="13.8">
      <c r="C68" s="90">
        <v>28413</v>
      </c>
      <c r="D68" s="91" t="s">
        <v>41</v>
      </c>
      <c r="E68" s="99"/>
      <c r="F68" s="95"/>
      <c r="G68" s="184">
        <f>BS!G68/'BS USD'!$G$5</f>
        <v>-112463.82950058072</v>
      </c>
      <c r="H68" s="94">
        <f>BS!H68/'BS USD'!$H$5</f>
        <v>-116951.15475480253</v>
      </c>
      <c r="I68" s="94">
        <f>BS!I68/'BS USD'!$I$5</f>
        <v>-116866.39182830931</v>
      </c>
      <c r="J68" s="94">
        <f>BS!J68/'BS USD'!$J$5</f>
        <v>-110911.52706842324</v>
      </c>
      <c r="K68" s="16"/>
      <c r="L68" s="16"/>
      <c r="M68" s="16"/>
      <c r="N68" s="16"/>
      <c r="O68" s="16"/>
      <c r="P68" s="16"/>
      <c r="Q68" s="16"/>
      <c r="R68" s="16"/>
      <c r="S68" s="16"/>
      <c r="T68" s="41"/>
      <c r="U68" s="41" t="e">
        <f>#REF!/$U$7</f>
        <v>#REF!</v>
      </c>
      <c r="V68" s="41"/>
    </row>
    <row r="69" spans="1:22" ht="13.8">
      <c r="C69" s="90">
        <v>28414</v>
      </c>
      <c r="D69" s="91" t="s">
        <v>42</v>
      </c>
      <c r="E69" s="99"/>
      <c r="F69" s="95"/>
      <c r="G69" s="184">
        <f>BS!G69/'BS USD'!$G$5</f>
        <v>-116246.25724680604</v>
      </c>
      <c r="H69" s="94">
        <f>BS!H69/'BS USD'!$H$5</f>
        <v>-120911.57875372867</v>
      </c>
      <c r="I69" s="94">
        <f>BS!I69/'BS USD'!$I$5</f>
        <v>-78845.885760157267</v>
      </c>
      <c r="J69" s="94">
        <f>BS!J69/'BS USD'!$J$5</f>
        <v>-79941.741945285146</v>
      </c>
      <c r="K69" s="16"/>
      <c r="L69" s="16"/>
      <c r="M69" s="16"/>
      <c r="N69" s="16"/>
      <c r="O69" s="16"/>
      <c r="P69" s="16"/>
      <c r="Q69" s="16"/>
      <c r="R69" s="16"/>
      <c r="S69" s="16"/>
      <c r="T69" s="41"/>
      <c r="U69" s="41" t="e">
        <f>#REF!/$U$7</f>
        <v>#REF!</v>
      </c>
      <c r="V69" s="41"/>
    </row>
    <row r="70" spans="1:22" ht="13.8">
      <c r="C70" s="90">
        <v>28421</v>
      </c>
      <c r="D70" s="91" t="s">
        <v>43</v>
      </c>
      <c r="E70" s="99"/>
      <c r="F70" s="95"/>
      <c r="G70" s="184">
        <f>BS!G70/'BS USD'!$G$5</f>
        <v>-586.70150987224156</v>
      </c>
      <c r="H70" s="94">
        <f>BS!H70/'BS USD'!$H$5</f>
        <v>-602.73237083880201</v>
      </c>
      <c r="I70" s="94">
        <f>BS!I70/'BS USD'!$I$5</f>
        <v>-601.87060645776239</v>
      </c>
      <c r="J70" s="94">
        <f>BS!J70/'BS USD'!$J$5</f>
        <v>-599.54898819061179</v>
      </c>
      <c r="K70" s="16"/>
      <c r="L70" s="16"/>
      <c r="M70" s="16"/>
      <c r="N70" s="16"/>
      <c r="O70" s="16"/>
      <c r="P70" s="16"/>
      <c r="Q70" s="16"/>
      <c r="R70" s="16"/>
      <c r="S70" s="16"/>
      <c r="T70" s="41"/>
      <c r="U70" s="41" t="e">
        <f>#REF!/$U$7</f>
        <v>#REF!</v>
      </c>
      <c r="V70" s="41"/>
    </row>
    <row r="71" spans="1:22" ht="13.8">
      <c r="C71" s="90">
        <v>2841</v>
      </c>
      <c r="D71" s="91" t="s">
        <v>146</v>
      </c>
      <c r="E71" s="99"/>
      <c r="F71" s="95"/>
      <c r="G71" s="93">
        <f>BS!G71/'BS USD'!$G$5</f>
        <v>0</v>
      </c>
      <c r="H71" s="94">
        <f>BS!H71/'BS USD'!$H$5</f>
        <v>0</v>
      </c>
      <c r="I71" s="94">
        <f>BS!I71/'BS USD'!$I$5</f>
        <v>0</v>
      </c>
      <c r="J71" s="94">
        <f>BS!J71/'BS USD'!$J$5</f>
        <v>0</v>
      </c>
      <c r="K71" s="16"/>
      <c r="L71" s="16"/>
      <c r="M71" s="16"/>
      <c r="N71" s="16"/>
      <c r="O71" s="16"/>
      <c r="P71" s="16"/>
      <c r="Q71" s="16"/>
      <c r="R71" s="16"/>
      <c r="S71" s="16"/>
      <c r="T71" s="41"/>
      <c r="U71" s="41" t="e">
        <f>#REF!/$U$7</f>
        <v>#REF!</v>
      </c>
      <c r="V71" s="41"/>
    </row>
    <row r="72" spans="1:22" ht="13.8">
      <c r="C72" s="95"/>
      <c r="D72" s="96" t="s">
        <v>147</v>
      </c>
      <c r="E72" s="99"/>
      <c r="F72" s="95"/>
      <c r="G72" s="98">
        <f>SUM(G59:G71)</f>
        <v>381801.64811672486</v>
      </c>
      <c r="H72" s="98">
        <f>SUM(H59:H71)</f>
        <v>389636.41446665069</v>
      </c>
      <c r="I72" s="98">
        <f>SUM(I59:I71)</f>
        <v>381241.02370368171</v>
      </c>
      <c r="J72" s="98">
        <f>SUM(J59:J71)</f>
        <v>374082.65672482352</v>
      </c>
      <c r="K72" s="11"/>
      <c r="L72" s="11"/>
      <c r="M72" s="11"/>
      <c r="N72" s="11"/>
      <c r="O72" s="11"/>
      <c r="P72" s="11"/>
      <c r="Q72" s="11"/>
      <c r="R72" s="11"/>
      <c r="S72" s="11"/>
      <c r="T72" s="41"/>
      <c r="U72" s="41" t="e">
        <f>#REF!/$U$7</f>
        <v>#REF!</v>
      </c>
      <c r="V72" s="41"/>
    </row>
    <row r="73" spans="1:22" ht="14.4" thickBot="1">
      <c r="C73" s="95"/>
      <c r="D73" s="102" t="s">
        <v>148</v>
      </c>
      <c r="E73" s="97"/>
      <c r="F73" s="95"/>
      <c r="G73" s="114">
        <f>G24+G29+G40+G52+G57+G72</f>
        <v>954491.56277061533</v>
      </c>
      <c r="H73" s="114">
        <f>H24+H29+H40+H52+H57+H72</f>
        <v>1070365.3482144135</v>
      </c>
      <c r="I73" s="114">
        <f>I24+I29+I40+I52+I57+I72</f>
        <v>1107744.2062218515</v>
      </c>
      <c r="J73" s="114">
        <f>J24+J29+J40+J52+J57+J72</f>
        <v>1236090.6205103556</v>
      </c>
      <c r="K73" s="13"/>
      <c r="L73" s="13"/>
      <c r="M73" s="13"/>
      <c r="N73" s="13"/>
      <c r="O73" s="13"/>
      <c r="P73" s="13"/>
      <c r="Q73" s="13"/>
      <c r="R73" s="13"/>
      <c r="S73" s="56"/>
      <c r="T73" s="41"/>
      <c r="U73" s="59" t="e">
        <f>#REF!/$U$7</f>
        <v>#REF!</v>
      </c>
      <c r="V73" s="41"/>
    </row>
    <row r="74" spans="1:22" ht="14.4" thickTop="1">
      <c r="A74" s="1" t="s">
        <v>149</v>
      </c>
      <c r="B74" s="1"/>
      <c r="C74" s="96"/>
      <c r="D74" s="95"/>
      <c r="E74" s="97"/>
      <c r="F74" s="95"/>
      <c r="G74" s="93"/>
      <c r="H74" s="94"/>
      <c r="I74" s="94"/>
      <c r="J74" s="94"/>
      <c r="K74" s="4"/>
      <c r="T74" s="41"/>
      <c r="U74" s="41" t="e">
        <f>#REF!/$U$7</f>
        <v>#REF!</v>
      </c>
      <c r="V74" s="41"/>
    </row>
    <row r="75" spans="1:22" ht="13.8">
      <c r="A75" s="1"/>
      <c r="B75" s="1"/>
      <c r="C75" s="96" t="s">
        <v>150</v>
      </c>
      <c r="D75" s="95"/>
      <c r="E75" s="97"/>
      <c r="F75" s="95"/>
      <c r="G75" s="93"/>
      <c r="H75" s="94"/>
      <c r="I75" s="94"/>
      <c r="J75" s="94"/>
      <c r="K75" s="4"/>
      <c r="T75" s="41"/>
      <c r="U75" s="41" t="e">
        <f>#REF!/$U$7</f>
        <v>#REF!</v>
      </c>
      <c r="V75" s="41"/>
    </row>
    <row r="76" spans="1:22" s="3" customFormat="1" ht="13.8">
      <c r="A76" s="1"/>
      <c r="B76" s="1"/>
      <c r="C76" s="96" t="s">
        <v>151</v>
      </c>
      <c r="D76" s="95"/>
      <c r="E76" s="97"/>
      <c r="F76" s="95"/>
      <c r="G76" s="93"/>
      <c r="H76" s="94"/>
      <c r="I76" s="94"/>
      <c r="J76" s="94"/>
      <c r="K76" s="4"/>
      <c r="L76" s="4"/>
      <c r="M76" s="4"/>
      <c r="N76" s="4"/>
      <c r="O76" s="4"/>
      <c r="P76" s="4"/>
      <c r="Q76" s="4"/>
      <c r="R76" s="4"/>
      <c r="S76" s="4"/>
      <c r="T76" s="41"/>
      <c r="U76" s="41" t="e">
        <f>#REF!/$U$7</f>
        <v>#REF!</v>
      </c>
      <c r="V76" s="41"/>
    </row>
    <row r="77" spans="1:22" s="3" customFormat="1" ht="13.8">
      <c r="A77" s="2"/>
      <c r="B77" s="2"/>
      <c r="C77" s="96" t="s">
        <v>152</v>
      </c>
      <c r="D77" s="95"/>
      <c r="E77" s="97"/>
      <c r="F77" s="95"/>
      <c r="G77" s="93"/>
      <c r="H77" s="94"/>
      <c r="I77" s="94"/>
      <c r="J77" s="94"/>
      <c r="K77" s="4"/>
      <c r="L77" s="4"/>
      <c r="M77" s="4"/>
      <c r="N77" s="4"/>
      <c r="O77" s="4"/>
      <c r="P77" s="4"/>
      <c r="Q77" s="4"/>
      <c r="R77" s="4"/>
      <c r="S77" s="4"/>
      <c r="T77" s="41"/>
      <c r="U77" s="41" t="e">
        <f>#REF!/$U$7</f>
        <v>#REF!</v>
      </c>
      <c r="V77" s="41"/>
    </row>
    <row r="78" spans="1:22" s="3" customFormat="1" ht="13.8">
      <c r="A78" s="2"/>
      <c r="B78" s="2"/>
      <c r="C78" s="90">
        <v>401.01</v>
      </c>
      <c r="D78" s="90" t="s">
        <v>153</v>
      </c>
      <c r="E78" s="258"/>
      <c r="F78" s="258"/>
      <c r="G78" s="184">
        <f>BS!G78/'BS USD'!$G$5</f>
        <v>0</v>
      </c>
      <c r="H78" s="94">
        <f>BS!H78/'BS USD'!$H$5</f>
        <v>0</v>
      </c>
      <c r="I78" s="94">
        <f>BS!I78/'BS USD'!$I$5</f>
        <v>0</v>
      </c>
      <c r="J78" s="94">
        <f>BS!J78/'BS USD'!$J$5</f>
        <v>0</v>
      </c>
      <c r="K78" s="16"/>
      <c r="L78" s="16"/>
      <c r="M78" s="16"/>
      <c r="N78" s="16"/>
      <c r="O78" s="16"/>
      <c r="P78" s="16"/>
      <c r="Q78" s="16"/>
      <c r="R78" s="16"/>
      <c r="S78" s="16"/>
      <c r="T78" s="41"/>
      <c r="U78" s="41" t="e">
        <f>#REF!/$U$7</f>
        <v>#REF!</v>
      </c>
      <c r="V78" s="41"/>
    </row>
    <row r="79" spans="1:22" s="3" customFormat="1" ht="13.8">
      <c r="A79" s="2"/>
      <c r="B79" s="2"/>
      <c r="C79" s="90">
        <v>401.02</v>
      </c>
      <c r="D79" s="90" t="s">
        <v>154</v>
      </c>
      <c r="E79" s="95"/>
      <c r="F79" s="95"/>
      <c r="G79" s="184">
        <f>BS!G79/'BS USD'!$G$5</f>
        <v>6375.6097560975613</v>
      </c>
      <c r="H79" s="94">
        <f>BS!H79/'BS USD'!$H$5</f>
        <v>11597.038658871257</v>
      </c>
      <c r="I79" s="94">
        <f>BS!I79/'BS USD'!$I$5</f>
        <v>0</v>
      </c>
      <c r="J79" s="94">
        <f>BS!J79/'BS USD'!$J$5</f>
        <v>0</v>
      </c>
      <c r="K79" s="16"/>
      <c r="L79" s="16"/>
      <c r="M79" s="16"/>
      <c r="N79" s="16"/>
      <c r="O79" s="16"/>
      <c r="P79" s="16"/>
      <c r="Q79" s="16"/>
      <c r="R79" s="16"/>
      <c r="S79" s="16"/>
      <c r="T79" s="41"/>
      <c r="U79" s="41" t="e">
        <f>#REF!/$U$7</f>
        <v>#REF!</v>
      </c>
      <c r="V79" s="41"/>
    </row>
    <row r="80" spans="1:22" s="3" customFormat="1" ht="13.8">
      <c r="A80" s="2"/>
      <c r="B80" s="2"/>
      <c r="C80" s="90">
        <v>401.03</v>
      </c>
      <c r="D80" s="90" t="s">
        <v>155</v>
      </c>
      <c r="E80" s="258"/>
      <c r="F80" s="258"/>
      <c r="G80" s="184">
        <f>BS!G80/'BS USD'!$G$5</f>
        <v>11068.83855981417</v>
      </c>
      <c r="H80" s="94">
        <f>BS!H80/'BS USD'!$H$5</f>
        <v>35437.298651712204</v>
      </c>
      <c r="I80" s="94">
        <f>BS!I80/'BS USD'!$I$5</f>
        <v>50945.740498034073</v>
      </c>
      <c r="J80" s="94">
        <f>BS!J80/'BS USD'!$J$5</f>
        <v>70712.408759124082</v>
      </c>
      <c r="K80" s="16"/>
      <c r="L80" s="16"/>
      <c r="M80" s="16"/>
      <c r="N80" s="16"/>
      <c r="O80" s="16"/>
      <c r="P80" s="16"/>
      <c r="Q80" s="16"/>
      <c r="R80" s="16"/>
      <c r="S80" s="16"/>
      <c r="T80" s="41"/>
      <c r="U80" s="41" t="e">
        <f>#REF!/$U$7</f>
        <v>#REF!</v>
      </c>
      <c r="V80" s="41"/>
    </row>
    <row r="81" spans="1:22" s="3" customFormat="1" ht="13.8">
      <c r="A81" s="2"/>
      <c r="B81" s="2"/>
      <c r="C81" s="90">
        <v>401.04</v>
      </c>
      <c r="D81" s="90" t="s">
        <v>156</v>
      </c>
      <c r="E81" s="95"/>
      <c r="F81" s="95"/>
      <c r="G81" s="184">
        <f>BS!G81/'BS USD'!$G$5</f>
        <v>3408.0836236933796</v>
      </c>
      <c r="H81" s="94">
        <f>BS!H81/'BS USD'!$H$5</f>
        <v>6724.1379310344828</v>
      </c>
      <c r="I81" s="94">
        <f>BS!I81/'BS USD'!$I$5</f>
        <v>5191.8265221017518</v>
      </c>
      <c r="J81" s="94">
        <f>BS!J81/'BS USD'!$J$5</f>
        <v>10071.434929677764</v>
      </c>
      <c r="K81" s="16"/>
      <c r="L81" s="16"/>
      <c r="M81" s="16"/>
      <c r="N81" s="16"/>
      <c r="O81" s="16"/>
      <c r="P81" s="16"/>
      <c r="Q81" s="16"/>
      <c r="R81" s="16"/>
      <c r="S81" s="16"/>
      <c r="T81" s="41"/>
      <c r="U81" s="41" t="e">
        <f>#REF!/$U$7</f>
        <v>#REF!</v>
      </c>
      <c r="V81" s="41"/>
    </row>
    <row r="82" spans="1:22" s="3" customFormat="1" ht="13.8">
      <c r="A82" s="2"/>
      <c r="B82" s="2"/>
      <c r="C82" s="90">
        <v>401.05</v>
      </c>
      <c r="D82" s="90" t="s">
        <v>157</v>
      </c>
      <c r="E82" s="258"/>
      <c r="F82" s="258"/>
      <c r="G82" s="184">
        <f>BS!G82/'BS USD'!$G$5</f>
        <v>15508.788617886179</v>
      </c>
      <c r="H82" s="94">
        <f>BS!H82/'BS USD'!$H$5</f>
        <v>32380.770791075051</v>
      </c>
      <c r="I82" s="94">
        <f>BS!I82/'BS USD'!$I$5</f>
        <v>22134.457285833432</v>
      </c>
      <c r="J82" s="94">
        <f>BS!J82/'BS USD'!$J$5</f>
        <v>37123.214902973123</v>
      </c>
      <c r="K82" s="16"/>
      <c r="L82" s="16"/>
      <c r="M82" s="16"/>
      <c r="N82" s="16"/>
      <c r="O82" s="16"/>
      <c r="P82" s="16"/>
      <c r="Q82" s="16"/>
      <c r="R82" s="16"/>
      <c r="S82" s="16"/>
      <c r="T82" s="41"/>
      <c r="U82" s="41" t="e">
        <f>#REF!/$U$7</f>
        <v>#REF!</v>
      </c>
      <c r="V82" s="41"/>
    </row>
    <row r="83" spans="1:22" s="3" customFormat="1" ht="13.8">
      <c r="A83" s="2"/>
      <c r="B83" s="2"/>
      <c r="C83" s="90">
        <v>401.06</v>
      </c>
      <c r="D83" s="90" t="s">
        <v>158</v>
      </c>
      <c r="E83" s="95"/>
      <c r="F83" s="95"/>
      <c r="G83" s="184">
        <f>BS!G83/'BS USD'!$G$5</f>
        <v>2312.0419570267131</v>
      </c>
      <c r="H83" s="94">
        <f>BS!H83/'BS USD'!$H$5</f>
        <v>6582.970379429662</v>
      </c>
      <c r="I83" s="94">
        <f>BS!I83/'BS USD'!$I$5</f>
        <v>9030.1568271178367</v>
      </c>
      <c r="J83" s="94">
        <f>BS!J83/'BS USD'!$J$5</f>
        <v>11533.883745771764</v>
      </c>
      <c r="K83" s="16"/>
      <c r="L83" s="16"/>
      <c r="M83" s="16"/>
      <c r="N83" s="16"/>
      <c r="O83" s="16"/>
      <c r="P83" s="16"/>
      <c r="Q83" s="16"/>
      <c r="R83" s="16"/>
      <c r="S83" s="16"/>
      <c r="T83" s="41"/>
      <c r="U83" s="41" t="e">
        <f>#REF!/$U$7</f>
        <v>#REF!</v>
      </c>
      <c r="V83" s="41"/>
    </row>
    <row r="84" spans="1:22" s="3" customFormat="1" ht="13.8">
      <c r="A84" s="2"/>
      <c r="B84" s="2"/>
      <c r="C84" s="90">
        <v>402</v>
      </c>
      <c r="D84" s="90" t="s">
        <v>159</v>
      </c>
      <c r="E84" s="258"/>
      <c r="F84" s="258"/>
      <c r="G84" s="184">
        <f>BS!G84/'BS USD'!$G$5</f>
        <v>0</v>
      </c>
      <c r="H84" s="94">
        <f>BS!H84/'BS USD'!$H$5</f>
        <v>0</v>
      </c>
      <c r="I84" s="94">
        <f>BS!I84/'BS USD'!$I$5</f>
        <v>0</v>
      </c>
      <c r="J84" s="94">
        <f>BS!J84/'BS USD'!$J$5</f>
        <v>0</v>
      </c>
      <c r="K84" s="16"/>
      <c r="L84" s="16"/>
      <c r="M84" s="16"/>
      <c r="N84" s="16"/>
      <c r="O84" s="16"/>
      <c r="P84" s="16"/>
      <c r="Q84" s="16"/>
      <c r="R84" s="16"/>
      <c r="S84" s="16"/>
      <c r="T84" s="41"/>
      <c r="U84" s="41" t="e">
        <f>#REF!/$U$7</f>
        <v>#REF!</v>
      </c>
      <c r="V84" s="41"/>
    </row>
    <row r="85" spans="1:22" s="3" customFormat="1" ht="13.8">
      <c r="A85" s="2"/>
      <c r="B85" s="2"/>
      <c r="C85" s="90">
        <v>402.01</v>
      </c>
      <c r="D85" s="90" t="s">
        <v>160</v>
      </c>
      <c r="E85" s="95"/>
      <c r="F85" s="95"/>
      <c r="G85" s="184">
        <f>BS!G85/'BS USD'!$G$5</f>
        <v>231.47129558652827</v>
      </c>
      <c r="H85" s="94">
        <f>BS!H85/'BS USD'!$H$5</f>
        <v>276.18659706478934</v>
      </c>
      <c r="I85" s="94">
        <f>BS!I85/'BS USD'!$I$5</f>
        <v>477.40437864887406</v>
      </c>
      <c r="J85" s="94">
        <f>BS!J85/'BS USD'!$J$5</f>
        <v>571.08214349296782</v>
      </c>
      <c r="K85" s="16"/>
      <c r="L85" s="16"/>
      <c r="M85" s="16"/>
      <c r="N85" s="16"/>
      <c r="O85" s="16"/>
      <c r="P85" s="16"/>
      <c r="Q85" s="16"/>
      <c r="R85" s="16"/>
      <c r="S85" s="16"/>
      <c r="T85" s="41"/>
      <c r="U85" s="41" t="e">
        <f>#REF!/$U$7</f>
        <v>#REF!</v>
      </c>
      <c r="V85" s="41"/>
    </row>
    <row r="86" spans="1:22" s="3" customFormat="1" ht="13.8">
      <c r="A86" s="2"/>
      <c r="B86" s="2"/>
      <c r="C86" s="90">
        <v>402.02</v>
      </c>
      <c r="D86" s="90" t="s">
        <v>161</v>
      </c>
      <c r="E86" s="258"/>
      <c r="F86" s="258"/>
      <c r="G86" s="184">
        <f>BS!G86/'BS USD'!$G$5</f>
        <v>179.10171893147503</v>
      </c>
      <c r="H86" s="94">
        <f>BS!H86/'BS USD'!$H$5</f>
        <v>166.6355327526548</v>
      </c>
      <c r="I86" s="94">
        <f>BS!I86/'BS USD'!$I$5</f>
        <v>124.57662337662339</v>
      </c>
      <c r="J86" s="94">
        <f>BS!J86/'BS USD'!$J$5</f>
        <v>525.54253160049848</v>
      </c>
      <c r="K86" s="16"/>
      <c r="L86" s="16"/>
      <c r="M86" s="16"/>
      <c r="N86" s="16"/>
      <c r="O86" s="16"/>
      <c r="P86" s="16"/>
      <c r="Q86" s="16"/>
      <c r="R86" s="16"/>
      <c r="S86" s="16"/>
      <c r="T86" s="41"/>
      <c r="U86" s="41" t="e">
        <f>#REF!/$U$7</f>
        <v>#REF!</v>
      </c>
      <c r="V86" s="41"/>
    </row>
    <row r="87" spans="1:22" s="3" customFormat="1" ht="13.8">
      <c r="A87" s="2"/>
      <c r="B87" s="2"/>
      <c r="C87" s="90">
        <v>402.03</v>
      </c>
      <c r="D87" s="90" t="s">
        <v>162</v>
      </c>
      <c r="E87" s="95"/>
      <c r="F87" s="95"/>
      <c r="G87" s="184">
        <f>BS!G87/'BS USD'!$G$5</f>
        <v>0</v>
      </c>
      <c r="H87" s="94">
        <f>BS!H87/'BS USD'!$H$5</f>
        <v>0</v>
      </c>
      <c r="I87" s="94">
        <f>BS!I87/'BS USD'!$I$5</f>
        <v>0</v>
      </c>
      <c r="J87" s="94">
        <f>BS!J87/'BS USD'!$J$5</f>
        <v>0</v>
      </c>
      <c r="K87" s="16"/>
      <c r="L87" s="16"/>
      <c r="M87" s="16"/>
      <c r="N87" s="16"/>
      <c r="O87" s="16"/>
      <c r="P87" s="16"/>
      <c r="Q87" s="16"/>
      <c r="R87" s="16"/>
      <c r="S87" s="16"/>
      <c r="T87" s="41"/>
      <c r="U87" s="41" t="e">
        <f>#REF!/$U$7</f>
        <v>#REF!</v>
      </c>
      <c r="V87" s="41"/>
    </row>
    <row r="88" spans="1:22" s="3" customFormat="1" ht="13.8">
      <c r="A88" s="2"/>
      <c r="B88" s="2"/>
      <c r="C88" s="90">
        <v>402.04</v>
      </c>
      <c r="D88" s="90" t="s">
        <v>163</v>
      </c>
      <c r="E88" s="258"/>
      <c r="F88" s="258"/>
      <c r="G88" s="184">
        <f>BS!G88/'BS USD'!$G$5</f>
        <v>0</v>
      </c>
      <c r="H88" s="94">
        <f>BS!H88/'BS USD'!$H$5</f>
        <v>0</v>
      </c>
      <c r="I88" s="94">
        <f>BS!I88/'BS USD'!$I$5</f>
        <v>0</v>
      </c>
      <c r="J88" s="94">
        <f>BS!J88/'BS USD'!$J$5</f>
        <v>0</v>
      </c>
      <c r="K88" s="16"/>
      <c r="L88" s="16"/>
      <c r="M88" s="16"/>
      <c r="N88" s="16"/>
      <c r="O88" s="16"/>
      <c r="P88" s="16"/>
      <c r="Q88" s="16"/>
      <c r="R88" s="16"/>
      <c r="S88" s="16"/>
      <c r="T88" s="41"/>
      <c r="U88" s="41" t="e">
        <f>#REF!/$U$7</f>
        <v>#REF!</v>
      </c>
      <c r="V88" s="41"/>
    </row>
    <row r="89" spans="1:22" s="3" customFormat="1" ht="13.8">
      <c r="A89" s="2"/>
      <c r="B89" s="2"/>
      <c r="C89" s="90">
        <v>403</v>
      </c>
      <c r="D89" s="90" t="s">
        <v>164</v>
      </c>
      <c r="E89" s="95"/>
      <c r="F89" s="95"/>
      <c r="G89" s="184">
        <f>BS!G89/'BS USD'!$G$5</f>
        <v>0</v>
      </c>
      <c r="H89" s="94">
        <f>BS!H89/'BS USD'!$H$5</f>
        <v>0</v>
      </c>
      <c r="I89" s="94">
        <f>BS!I89/'BS USD'!$I$5</f>
        <v>0</v>
      </c>
      <c r="J89" s="94">
        <f>BS!J89/'BS USD'!$J$5</f>
        <v>0</v>
      </c>
      <c r="K89" s="16"/>
      <c r="L89" s="16"/>
      <c r="M89" s="16"/>
      <c r="N89" s="16"/>
      <c r="O89" s="16"/>
      <c r="P89" s="16"/>
      <c r="Q89" s="16"/>
      <c r="R89" s="16"/>
      <c r="S89" s="16"/>
      <c r="T89" s="41"/>
      <c r="U89" s="41" t="e">
        <f>#REF!/$U$7</f>
        <v>#REF!</v>
      </c>
      <c r="V89" s="41"/>
    </row>
    <row r="90" spans="1:22" s="3" customFormat="1" ht="13.8">
      <c r="A90" s="2"/>
      <c r="B90" s="2"/>
      <c r="C90" s="90">
        <v>404</v>
      </c>
      <c r="D90" s="91" t="s">
        <v>58</v>
      </c>
      <c r="E90" s="258"/>
      <c r="F90" s="258"/>
      <c r="G90" s="184">
        <f>BS!G90/'BS USD'!$G$5</f>
        <v>0</v>
      </c>
      <c r="H90" s="94">
        <f>BS!H90/'BS USD'!$H$5</f>
        <v>0</v>
      </c>
      <c r="I90" s="94">
        <f>BS!I90/'BS USD'!$I$5</f>
        <v>0</v>
      </c>
      <c r="J90" s="94">
        <f>BS!J90/'BS USD'!$J$5</f>
        <v>0</v>
      </c>
      <c r="K90" s="16"/>
      <c r="L90" s="16"/>
      <c r="M90" s="16"/>
      <c r="N90" s="16"/>
      <c r="O90" s="16"/>
      <c r="P90" s="16"/>
      <c r="Q90" s="16"/>
      <c r="R90" s="16"/>
      <c r="S90" s="16"/>
      <c r="T90" s="41"/>
      <c r="U90" s="41" t="e">
        <f>#REF!/$U$7</f>
        <v>#REF!</v>
      </c>
      <c r="V90" s="41"/>
    </row>
    <row r="91" spans="1:22" s="3" customFormat="1" ht="13.8">
      <c r="A91" s="2"/>
      <c r="B91" s="2"/>
      <c r="C91" s="90">
        <v>402.05</v>
      </c>
      <c r="D91" s="91" t="s">
        <v>165</v>
      </c>
      <c r="E91" s="95"/>
      <c r="F91" s="95"/>
      <c r="G91" s="184">
        <f>BS!G91/'BS USD'!$G$5</f>
        <v>4.0650406504065044</v>
      </c>
      <c r="H91" s="94">
        <f>BS!H91/'BS USD'!$H$5</f>
        <v>4.1761126357236611</v>
      </c>
      <c r="I91" s="94">
        <f>BS!I91/'BS USD'!$I$5</f>
        <v>4.1701417848206841</v>
      </c>
      <c r="J91" s="94">
        <f>BS!J91/'BS USD'!$J$5</f>
        <v>4.1540561391015371</v>
      </c>
      <c r="K91" s="16"/>
      <c r="L91" s="16"/>
      <c r="M91" s="16"/>
      <c r="N91" s="16"/>
      <c r="O91" s="16"/>
      <c r="P91" s="16"/>
      <c r="Q91" s="16"/>
      <c r="R91" s="16"/>
      <c r="S91" s="57"/>
      <c r="T91" s="41"/>
      <c r="U91" s="41" t="e">
        <f>#REF!/$U$7</f>
        <v>#REF!</v>
      </c>
      <c r="V91" s="41"/>
    </row>
    <row r="92" spans="1:22" s="3" customFormat="1" ht="13.8">
      <c r="A92" s="2"/>
      <c r="B92" s="2"/>
      <c r="C92" s="90">
        <v>402.07</v>
      </c>
      <c r="D92" s="91" t="s">
        <v>51</v>
      </c>
      <c r="E92" s="95"/>
      <c r="F92" s="95"/>
      <c r="G92" s="184">
        <f>BS!G92/'BS USD'!$G$5</f>
        <v>863.10847851335745</v>
      </c>
      <c r="H92" s="94">
        <f>BS!H92/'BS USD'!$H$5</f>
        <v>22.265600763632026</v>
      </c>
      <c r="I92" s="94">
        <f>BS!I92/'BS USD'!$I$5</f>
        <v>886.2399618729894</v>
      </c>
      <c r="J92" s="94">
        <f>BS!J92/'BS USD'!$J$5</f>
        <v>882.46584772417066</v>
      </c>
      <c r="K92" s="16"/>
      <c r="L92" s="16"/>
      <c r="M92" s="16"/>
      <c r="N92" s="16"/>
      <c r="O92" s="16"/>
      <c r="P92" s="16"/>
      <c r="Q92" s="16"/>
      <c r="R92" s="16"/>
      <c r="S92" s="57"/>
      <c r="T92" s="41"/>
      <c r="U92" s="41" t="e">
        <f>#REF!/$U$7</f>
        <v>#REF!</v>
      </c>
      <c r="V92" s="41"/>
    </row>
    <row r="93" spans="1:22" s="3" customFormat="1" ht="13.8">
      <c r="A93" s="2"/>
      <c r="B93" s="2"/>
      <c r="C93" s="90">
        <v>402.08</v>
      </c>
      <c r="D93" s="91" t="s">
        <v>52</v>
      </c>
      <c r="E93" s="258"/>
      <c r="F93" s="258"/>
      <c r="G93" s="184">
        <f>BS!G93/'BS USD'!$G$5</f>
        <v>3.484320557491289</v>
      </c>
      <c r="H93" s="94">
        <f>BS!H93/'BS USD'!$H$5</f>
        <v>3.5795251163345663</v>
      </c>
      <c r="I93" s="94">
        <f>BS!I93/'BS USD'!$I$5</f>
        <v>3.5744072441320149</v>
      </c>
      <c r="J93" s="94">
        <f>BS!J93/'BS USD'!$J$5</f>
        <v>3.5606195478013176</v>
      </c>
      <c r="K93" s="16"/>
      <c r="L93" s="16"/>
      <c r="M93" s="16"/>
      <c r="N93" s="16"/>
      <c r="O93" s="16"/>
      <c r="P93" s="16"/>
      <c r="Q93" s="16"/>
      <c r="R93" s="16"/>
      <c r="S93" s="16"/>
      <c r="T93" s="41"/>
      <c r="U93" s="41" t="e">
        <f>#REF!/$U$7</f>
        <v>#REF!</v>
      </c>
      <c r="V93" s="41"/>
    </row>
    <row r="94" spans="1:22" s="3" customFormat="1" ht="13.8">
      <c r="A94" s="2"/>
      <c r="B94" s="2"/>
      <c r="C94" s="90">
        <v>402.11</v>
      </c>
      <c r="D94" s="91" t="s">
        <v>53</v>
      </c>
      <c r="E94" s="90"/>
      <c r="F94" s="90"/>
      <c r="G94" s="184">
        <f>BS!G94/'BS USD'!$G$5</f>
        <v>0</v>
      </c>
      <c r="H94" s="94">
        <f>BS!H94/'BS USD'!$H$5</f>
        <v>0</v>
      </c>
      <c r="I94" s="94">
        <f>BS!I94/'BS USD'!$I$5</f>
        <v>0</v>
      </c>
      <c r="J94" s="94">
        <f>BS!J94/'BS USD'!$J$5</f>
        <v>0</v>
      </c>
      <c r="K94" s="16"/>
      <c r="L94" s="16"/>
      <c r="M94" s="16"/>
      <c r="N94" s="16"/>
      <c r="O94" s="16"/>
      <c r="P94" s="16"/>
      <c r="Q94" s="16"/>
      <c r="R94" s="16"/>
      <c r="S94" s="16"/>
      <c r="T94" s="41"/>
      <c r="U94" s="41" t="e">
        <f>#REF!/$U$7</f>
        <v>#REF!</v>
      </c>
      <c r="V94" s="41"/>
    </row>
    <row r="95" spans="1:22" s="3" customFormat="1" ht="13.8">
      <c r="A95" s="2"/>
      <c r="B95" s="2"/>
      <c r="C95" s="90">
        <v>402.12</v>
      </c>
      <c r="D95" s="91" t="s">
        <v>54</v>
      </c>
      <c r="E95" s="90"/>
      <c r="F95" s="90"/>
      <c r="G95" s="184">
        <f>BS!G95/'BS USD'!$G$5</f>
        <v>4454.0934860627176</v>
      </c>
      <c r="H95" s="94">
        <f>BS!H95/'BS USD'!$H$5</f>
        <v>1544.9800644314523</v>
      </c>
      <c r="I95" s="94">
        <f>BS!I95/'BS USD'!$I$5</f>
        <v>403.35994280948432</v>
      </c>
      <c r="J95" s="94">
        <f>BS!J95/'BS USD'!$J$5</f>
        <v>8.2902134112113096E-13</v>
      </c>
      <c r="K95" s="16"/>
      <c r="L95" s="16"/>
      <c r="M95" s="16"/>
      <c r="N95" s="16"/>
      <c r="O95" s="16"/>
      <c r="P95" s="16"/>
      <c r="Q95" s="16"/>
      <c r="R95" s="16"/>
      <c r="S95" s="57"/>
      <c r="T95" s="41"/>
      <c r="U95" s="41" t="e">
        <f>#REF!/$U$7</f>
        <v>#REF!</v>
      </c>
      <c r="V95" s="41"/>
    </row>
    <row r="96" spans="1:22" s="4" customFormat="1" ht="14.4">
      <c r="A96" s="2"/>
      <c r="B96" s="2"/>
      <c r="C96" s="90">
        <v>402.14</v>
      </c>
      <c r="D96" s="103" t="s">
        <v>55</v>
      </c>
      <c r="E96" s="90"/>
      <c r="F96" s="90"/>
      <c r="G96" s="184">
        <f>BS!G96/'BS USD'!$G$5</f>
        <v>28548.292682926829</v>
      </c>
      <c r="H96" s="94">
        <f>BS!H96/'BS USD'!$H$5</f>
        <v>35044.314520940221</v>
      </c>
      <c r="I96" s="94">
        <f>BS!I96/'BS USD'!$I$5</f>
        <v>9714.1427379959496</v>
      </c>
      <c r="J96" s="94">
        <f>BS!J96/'BS USD'!$J$5</f>
        <v>40221.684173046109</v>
      </c>
      <c r="K96" s="16"/>
      <c r="L96" s="16"/>
      <c r="M96" s="16"/>
      <c r="N96" s="16"/>
      <c r="O96" s="16"/>
      <c r="P96" s="16"/>
      <c r="Q96" s="16"/>
      <c r="R96" s="16"/>
      <c r="S96" s="16"/>
      <c r="T96" s="41"/>
      <c r="U96" s="41" t="e">
        <f>#REF!/$U$7</f>
        <v>#REF!</v>
      </c>
      <c r="V96" s="41"/>
    </row>
    <row r="97" spans="1:22" s="4" customFormat="1" ht="13.8">
      <c r="A97" s="2"/>
      <c r="B97" s="2"/>
      <c r="C97" s="90">
        <v>402.15</v>
      </c>
      <c r="D97" s="55" t="s">
        <v>56</v>
      </c>
      <c r="E97" s="90"/>
      <c r="F97" s="90"/>
      <c r="G97" s="184">
        <f>BS!G97/'BS USD'!$G$5</f>
        <v>655.39779326364692</v>
      </c>
      <c r="H97" s="94">
        <f>BS!H97/'BS USD'!$H$5</f>
        <v>1161.320248180408</v>
      </c>
      <c r="I97" s="94">
        <f>BS!I97/'BS USD'!$I$5</f>
        <v>1159.6598355772667</v>
      </c>
      <c r="J97" s="94">
        <f>BS!J97/'BS USD'!$J$5</f>
        <v>502.9375111269361</v>
      </c>
      <c r="K97" s="16"/>
      <c r="L97" s="16"/>
      <c r="M97" s="16"/>
      <c r="N97" s="16"/>
      <c r="O97" s="16"/>
      <c r="P97" s="16"/>
      <c r="Q97" s="16"/>
      <c r="R97" s="16"/>
      <c r="S97" s="16"/>
      <c r="T97" s="41"/>
      <c r="U97" s="41" t="e">
        <f>#REF!/$U$7</f>
        <v>#REF!</v>
      </c>
      <c r="V97" s="41"/>
    </row>
    <row r="98" spans="1:22" s="4" customFormat="1" ht="13.8">
      <c r="A98" s="2"/>
      <c r="B98" s="2"/>
      <c r="C98" s="90">
        <v>402.16</v>
      </c>
      <c r="D98" s="55" t="s">
        <v>166</v>
      </c>
      <c r="E98" s="90"/>
      <c r="F98" s="90"/>
      <c r="G98" s="184">
        <f>BS!G98/'BS USD'!$G$5</f>
        <v>0</v>
      </c>
      <c r="H98" s="94">
        <f>BS!H98/'BS USD'!$H$5</f>
        <v>4461.3884560315009</v>
      </c>
      <c r="I98" s="94">
        <f>BS!I98/'BS USD'!$I$5</f>
        <v>1260.5969260097709</v>
      </c>
      <c r="J98" s="94">
        <f>BS!J98/'BS USD'!$J$5</f>
        <v>0</v>
      </c>
      <c r="K98" s="16"/>
      <c r="L98" s="16"/>
      <c r="M98" s="16"/>
      <c r="N98" s="16"/>
      <c r="O98" s="16"/>
      <c r="P98" s="16"/>
      <c r="Q98" s="16"/>
      <c r="R98" s="16"/>
      <c r="S98" s="16"/>
      <c r="T98" s="41"/>
      <c r="U98" s="41" t="e">
        <f>#REF!/$U$7</f>
        <v>#REF!</v>
      </c>
      <c r="V98" s="41"/>
    </row>
    <row r="99" spans="1:22" s="4" customFormat="1" ht="13.8">
      <c r="A99" s="2"/>
      <c r="B99" s="2"/>
      <c r="C99" s="90">
        <v>402.17</v>
      </c>
      <c r="D99" s="202" t="s">
        <v>57</v>
      </c>
      <c r="E99" s="90"/>
      <c r="F99" s="90"/>
      <c r="G99" s="184">
        <f>BS!G99/'BS USD'!$G$5</f>
        <v>0</v>
      </c>
      <c r="H99" s="94">
        <f>BS!H99/'BS USD'!$H$5</f>
        <v>0</v>
      </c>
      <c r="I99" s="94">
        <f>BS!I99/'BS USD'!$I$5</f>
        <v>1131.8956273084714</v>
      </c>
      <c r="J99" s="94">
        <f>BS!J99/'BS USD'!$J$5</f>
        <v>4516.8832710224915</v>
      </c>
      <c r="K99" s="16"/>
      <c r="L99" s="16"/>
      <c r="M99" s="16"/>
      <c r="N99" s="16"/>
      <c r="O99" s="16"/>
      <c r="P99" s="16"/>
      <c r="Q99" s="16"/>
      <c r="R99" s="16"/>
      <c r="S99" s="16"/>
      <c r="T99" s="41"/>
      <c r="U99" s="41" t="e">
        <f>#REF!/$U$7</f>
        <v>#REF!</v>
      </c>
      <c r="V99" s="41"/>
    </row>
    <row r="100" spans="1:22" s="4" customFormat="1" ht="13.8">
      <c r="A100" s="2"/>
      <c r="B100" s="2"/>
      <c r="C100" s="90">
        <v>402.18</v>
      </c>
      <c r="D100" s="202" t="s">
        <v>320</v>
      </c>
      <c r="E100" s="90"/>
      <c r="F100" s="90"/>
      <c r="G100" s="184"/>
      <c r="H100" s="94"/>
      <c r="I100" s="94">
        <f>BS!I100/'BS USD'!$I$5</f>
        <v>7486.5997176218279</v>
      </c>
      <c r="J100" s="94">
        <f>BS!J100/'BS USD'!$J$5</f>
        <v>16053.657189484304</v>
      </c>
      <c r="K100" s="16"/>
      <c r="L100" s="16"/>
      <c r="M100" s="16"/>
      <c r="N100" s="16"/>
      <c r="O100" s="16"/>
      <c r="P100" s="16"/>
      <c r="Q100" s="16"/>
      <c r="R100" s="16"/>
      <c r="S100" s="16"/>
      <c r="T100" s="41"/>
      <c r="U100" s="41"/>
      <c r="V100" s="41"/>
    </row>
    <row r="101" spans="1:22" s="4" customFormat="1" ht="13.8">
      <c r="A101" s="2"/>
      <c r="B101" s="2"/>
      <c r="C101" s="90">
        <v>4042</v>
      </c>
      <c r="D101" s="55" t="s">
        <v>247</v>
      </c>
      <c r="E101" s="90"/>
      <c r="F101" s="90"/>
      <c r="G101" s="184">
        <f>BS!G101/'BS USD'!$G$5</f>
        <v>6362.6723583042967</v>
      </c>
      <c r="H101" s="94">
        <f>BS!H101/'BS USD'!$H$5</f>
        <v>6201.1247756830926</v>
      </c>
      <c r="I101" s="94">
        <f>BS!I101/'BS USD'!$I$5</f>
        <v>5857.022214941022</v>
      </c>
      <c r="J101" s="94">
        <f>BS!J101/'BS USD'!$J$5</f>
        <v>5500.3484303602163</v>
      </c>
      <c r="K101" s="16"/>
      <c r="L101" s="16"/>
      <c r="M101" s="16"/>
      <c r="N101" s="16"/>
      <c r="O101" s="16"/>
      <c r="P101" s="16"/>
      <c r="Q101" s="16"/>
      <c r="R101" s="16"/>
      <c r="S101" s="16"/>
      <c r="T101" s="41"/>
      <c r="U101" s="41" t="e">
        <f>#REF!/$U$7</f>
        <v>#REF!</v>
      </c>
      <c r="V101" s="41"/>
    </row>
    <row r="102" spans="1:22" s="3" customFormat="1" ht="13.8">
      <c r="A102" s="2"/>
      <c r="B102" s="2"/>
      <c r="C102" s="95"/>
      <c r="D102" s="96" t="s">
        <v>167</v>
      </c>
      <c r="E102" s="95"/>
      <c r="F102" s="95"/>
      <c r="G102" s="98">
        <f>SUM(G78:G101)</f>
        <v>79975.049689314736</v>
      </c>
      <c r="H102" s="98">
        <f>SUM(H78:H101)</f>
        <v>141608.18784572248</v>
      </c>
      <c r="I102" s="98">
        <f>SUM(I78:I101)</f>
        <v>115811.42364827835</v>
      </c>
      <c r="J102" s="98">
        <f>SUM(J78:J101)</f>
        <v>198223.25811109133</v>
      </c>
      <c r="K102" s="11"/>
      <c r="L102" s="11"/>
      <c r="M102" s="11"/>
      <c r="N102" s="11"/>
      <c r="O102" s="11"/>
      <c r="P102" s="11"/>
      <c r="Q102" s="11"/>
      <c r="R102" s="11"/>
      <c r="S102" s="11"/>
      <c r="T102" s="41"/>
      <c r="U102" s="59" t="e">
        <f>#REF!/$U$7</f>
        <v>#REF!</v>
      </c>
      <c r="V102" s="41"/>
    </row>
    <row r="103" spans="1:22" s="3" customFormat="1" ht="13.8">
      <c r="A103" s="2"/>
      <c r="B103" s="2"/>
      <c r="C103" s="96" t="s">
        <v>168</v>
      </c>
      <c r="D103" s="95"/>
      <c r="E103" s="258"/>
      <c r="F103" s="258"/>
      <c r="G103" s="93"/>
      <c r="H103" s="94"/>
      <c r="I103" s="94">
        <f>BS!I103/'BS USD'!$I$5</f>
        <v>0</v>
      </c>
      <c r="J103" s="94"/>
      <c r="K103" s="4"/>
      <c r="L103" s="4"/>
      <c r="M103" s="4"/>
      <c r="N103" s="4"/>
      <c r="O103" s="4"/>
      <c r="P103" s="4"/>
      <c r="Q103" s="4"/>
      <c r="R103" s="4"/>
      <c r="S103" s="4"/>
      <c r="T103" s="41"/>
      <c r="U103" s="41" t="e">
        <f>#REF!/$U$7</f>
        <v>#REF!</v>
      </c>
      <c r="V103" s="41"/>
    </row>
    <row r="104" spans="1:22" s="3" customFormat="1" ht="13.8">
      <c r="A104" s="2"/>
      <c r="B104" s="2"/>
      <c r="C104" s="90">
        <v>430</v>
      </c>
      <c r="D104" s="91" t="s">
        <v>61</v>
      </c>
      <c r="E104" s="95"/>
      <c r="F104" s="95"/>
      <c r="G104" s="184">
        <f>BS!G104/'BS USD'!$G$5</f>
        <v>543.70356910569114</v>
      </c>
      <c r="H104" s="94">
        <f>BS!H104/'BS USD'!$H$5</f>
        <v>970.5897822455554</v>
      </c>
      <c r="I104" s="94">
        <f>BS!I104/'BS USD'!$I$5</f>
        <v>900.7817687358513</v>
      </c>
      <c r="J104" s="94">
        <f>BS!J104/'BS USD'!$J$5</f>
        <v>887.08142484125574</v>
      </c>
      <c r="K104" s="16"/>
      <c r="L104" s="16"/>
      <c r="M104" s="16"/>
      <c r="N104" s="16"/>
      <c r="O104" s="16"/>
      <c r="P104" s="16"/>
      <c r="Q104" s="16"/>
      <c r="R104" s="16"/>
      <c r="S104" s="16"/>
      <c r="T104" s="41"/>
      <c r="U104" s="41" t="e">
        <f>#REF!/$U$7</f>
        <v>#REF!</v>
      </c>
      <c r="V104" s="41"/>
    </row>
    <row r="105" spans="1:22" s="3" customFormat="1" ht="13.8">
      <c r="A105" s="2"/>
      <c r="B105" s="2"/>
      <c r="C105" s="90" t="s">
        <v>239</v>
      </c>
      <c r="D105" s="91" t="s">
        <v>62</v>
      </c>
      <c r="E105" s="95"/>
      <c r="F105" s="95"/>
      <c r="G105" s="184">
        <f>BS!G105/'BS USD'!$G$5</f>
        <v>0</v>
      </c>
      <c r="H105" s="94">
        <f>BS!H105/'BS USD'!$H$5</f>
        <v>0</v>
      </c>
      <c r="I105" s="94">
        <f>BS!I105/'BS USD'!$I$5</f>
        <v>0</v>
      </c>
      <c r="J105" s="94">
        <f>BS!J105/'BS USD'!$J$5</f>
        <v>0</v>
      </c>
      <c r="K105" s="16"/>
      <c r="L105" s="16"/>
      <c r="M105" s="16"/>
      <c r="N105" s="16"/>
      <c r="O105" s="16"/>
      <c r="P105" s="16"/>
      <c r="Q105" s="16"/>
      <c r="R105" s="16"/>
      <c r="S105" s="16"/>
      <c r="T105" s="41"/>
      <c r="U105" s="41"/>
      <c r="V105" s="41"/>
    </row>
    <row r="106" spans="1:22" s="3" customFormat="1" ht="13.8">
      <c r="A106" s="2"/>
      <c r="B106" s="2"/>
      <c r="C106" s="90">
        <v>433</v>
      </c>
      <c r="D106" s="91" t="s">
        <v>63</v>
      </c>
      <c r="E106" s="258"/>
      <c r="F106" s="258"/>
      <c r="G106" s="184">
        <f>BS!G106/'BS USD'!$G$5</f>
        <v>1614.5598246225316</v>
      </c>
      <c r="H106" s="94">
        <f>BS!H106/'BS USD'!$H$5</f>
        <v>4824.4431810046526</v>
      </c>
      <c r="I106" s="94">
        <f>BS!I106/'BS USD'!$I$5</f>
        <v>0</v>
      </c>
      <c r="J106" s="94">
        <f>BS!J106/'BS USD'!$J$5</f>
        <v>0</v>
      </c>
      <c r="K106" s="16"/>
      <c r="L106" s="16"/>
      <c r="M106" s="16"/>
      <c r="N106" s="16"/>
      <c r="O106" s="16"/>
      <c r="P106" s="16"/>
      <c r="Q106" s="16"/>
      <c r="R106" s="16"/>
      <c r="S106" s="64"/>
      <c r="T106" s="41"/>
      <c r="U106" s="41" t="e">
        <f>#REF!/$U$7</f>
        <v>#REF!</v>
      </c>
      <c r="V106" s="41"/>
    </row>
    <row r="107" spans="1:22" s="3" customFormat="1" ht="13.8">
      <c r="A107" s="2"/>
      <c r="B107" s="2"/>
      <c r="C107" s="90">
        <v>433.01</v>
      </c>
      <c r="D107" s="91" t="s">
        <v>63</v>
      </c>
      <c r="E107" s="90"/>
      <c r="F107" s="90"/>
      <c r="G107" s="184"/>
      <c r="H107" s="94"/>
      <c r="I107" s="94">
        <f>BS!I107/'BS USD'!$I$5</f>
        <v>8471.2857029667575</v>
      </c>
      <c r="J107" s="94">
        <f>BS!J107/'BS USD'!$J$5</f>
        <v>12186.998648151446</v>
      </c>
      <c r="K107" s="16"/>
      <c r="L107" s="16"/>
      <c r="M107" s="16"/>
      <c r="N107" s="16"/>
      <c r="O107" s="16"/>
      <c r="P107" s="16"/>
      <c r="Q107" s="16"/>
      <c r="R107" s="16"/>
      <c r="S107" s="64"/>
      <c r="T107" s="41"/>
      <c r="U107" s="41"/>
      <c r="V107" s="41"/>
    </row>
    <row r="108" spans="1:22" s="3" customFormat="1" ht="13.8">
      <c r="A108" s="2"/>
      <c r="B108" s="2"/>
      <c r="C108" s="90">
        <v>448</v>
      </c>
      <c r="D108" s="91" t="s">
        <v>248</v>
      </c>
      <c r="E108" s="90"/>
      <c r="F108" s="90"/>
      <c r="G108" s="184">
        <f>BS!G108/'BS USD'!$G$5</f>
        <v>0</v>
      </c>
      <c r="H108" s="94">
        <f>BS!H108/'BS USD'!$H$5</f>
        <v>0</v>
      </c>
      <c r="I108" s="94">
        <f>BS!I108/'BS USD'!$I$5</f>
        <v>0</v>
      </c>
      <c r="J108" s="94">
        <f>BS!J108/'BS USD'!$J$5</f>
        <v>0</v>
      </c>
      <c r="K108" s="16"/>
      <c r="L108" s="16"/>
      <c r="M108" s="16"/>
      <c r="N108" s="16"/>
      <c r="O108" s="16"/>
      <c r="P108" s="16"/>
      <c r="Q108" s="16"/>
      <c r="R108" s="16"/>
      <c r="S108" s="16"/>
      <c r="T108" s="41"/>
      <c r="U108" s="41" t="e">
        <f>#REF!/$U$7</f>
        <v>#REF!</v>
      </c>
      <c r="V108" s="41"/>
    </row>
    <row r="109" spans="1:22" s="3" customFormat="1" ht="13.8">
      <c r="A109" s="2"/>
      <c r="B109" s="2"/>
      <c r="C109" s="90">
        <v>4201</v>
      </c>
      <c r="D109" s="91" t="s">
        <v>59</v>
      </c>
      <c r="E109" s="95"/>
      <c r="F109" s="95"/>
      <c r="G109" s="184">
        <f>BS!G109/'BS USD'!$G$5</f>
        <v>1275.6295226481075</v>
      </c>
      <c r="H109" s="94">
        <f>BS!H109/'BS USD'!$H$5</f>
        <v>11938.783199498866</v>
      </c>
      <c r="I109" s="94">
        <f>BS!I109/'BS USD'!$I$5</f>
        <v>11921.418515429528</v>
      </c>
      <c r="J109" s="94">
        <f>BS!J109/'BS USD'!$J$5</f>
        <v>13497.444022313215</v>
      </c>
      <c r="K109" s="16"/>
      <c r="L109" s="16"/>
      <c r="M109" s="16"/>
      <c r="N109" s="16"/>
      <c r="O109" s="16"/>
      <c r="P109" s="16"/>
      <c r="Q109" s="16"/>
      <c r="R109" s="16"/>
      <c r="S109" s="16"/>
      <c r="T109" s="41"/>
      <c r="U109" s="41" t="e">
        <f>#REF!/$U$7</f>
        <v>#REF!</v>
      </c>
      <c r="V109" s="41"/>
    </row>
    <row r="110" spans="1:22" s="3" customFormat="1" ht="13.8">
      <c r="A110" s="2"/>
      <c r="B110" s="2"/>
      <c r="C110" s="90">
        <v>4221</v>
      </c>
      <c r="D110" s="91" t="s">
        <v>60</v>
      </c>
      <c r="E110" s="258"/>
      <c r="F110" s="258"/>
      <c r="G110" s="184">
        <f>BS!G110/'BS USD'!$G$5</f>
        <v>0</v>
      </c>
      <c r="H110" s="94">
        <f>BS!H110/'BS USD'!$H$5</f>
        <v>336.6105655649684</v>
      </c>
      <c r="I110" s="94">
        <f>BS!I110/'BS USD'!$I$5</f>
        <v>667.11144584773024</v>
      </c>
      <c r="J110" s="94">
        <f>BS!J110/'BS USD'!$J$5</f>
        <v>609.05665717168119</v>
      </c>
      <c r="K110" s="16"/>
      <c r="L110" s="16"/>
      <c r="M110" s="16"/>
      <c r="N110" s="16"/>
      <c r="O110" s="16"/>
      <c r="P110" s="16"/>
      <c r="Q110" s="16"/>
      <c r="R110" s="16"/>
      <c r="S110" s="16"/>
      <c r="T110" s="41"/>
      <c r="U110" s="41" t="e">
        <f>#REF!/$U$7</f>
        <v>#REF!</v>
      </c>
      <c r="V110" s="41"/>
    </row>
    <row r="111" spans="1:22" s="3" customFormat="1" ht="13.8">
      <c r="A111" s="2"/>
      <c r="B111" s="2"/>
      <c r="C111" s="91"/>
      <c r="D111" s="104" t="s">
        <v>169</v>
      </c>
      <c r="E111" s="97"/>
      <c r="F111" s="95"/>
      <c r="G111" s="105">
        <f>SUM(G104:G110)</f>
        <v>3433.89291637633</v>
      </c>
      <c r="H111" s="105">
        <f>SUM(H104:H110)</f>
        <v>18070.426728314043</v>
      </c>
      <c r="I111" s="105">
        <f>SUM(I104:I110)</f>
        <v>21960.59743297987</v>
      </c>
      <c r="J111" s="105">
        <f>SUM(J104:J110)</f>
        <v>27180.580752477599</v>
      </c>
      <c r="K111" s="14"/>
      <c r="L111" s="14"/>
      <c r="M111" s="14"/>
      <c r="N111" s="14"/>
      <c r="O111" s="14"/>
      <c r="P111" s="14"/>
      <c r="Q111" s="14"/>
      <c r="R111" s="14"/>
      <c r="S111" s="14"/>
      <c r="T111" s="41"/>
      <c r="U111" s="41" t="e">
        <f>#REF!/$U$7</f>
        <v>#REF!</v>
      </c>
      <c r="V111" s="41"/>
    </row>
    <row r="112" spans="1:22" s="3" customFormat="1" ht="13.8">
      <c r="A112" s="2"/>
      <c r="B112" s="2"/>
      <c r="C112" s="95"/>
      <c r="D112" s="104" t="s">
        <v>170</v>
      </c>
      <c r="E112" s="97"/>
      <c r="F112" s="95"/>
      <c r="G112" s="11">
        <f>G102+G111</f>
        <v>83408.94260569106</v>
      </c>
      <c r="H112" s="11">
        <f>H102+H111</f>
        <v>159678.61457403653</v>
      </c>
      <c r="I112" s="11">
        <f>I102+I111</f>
        <v>137772.02108125822</v>
      </c>
      <c r="J112" s="11">
        <f>J102+J111</f>
        <v>225403.83886356893</v>
      </c>
      <c r="K112" s="11"/>
      <c r="L112" s="11"/>
      <c r="M112" s="11"/>
      <c r="N112" s="11"/>
      <c r="O112" s="11"/>
      <c r="P112" s="11"/>
      <c r="Q112" s="11"/>
      <c r="R112" s="11"/>
      <c r="S112" s="11"/>
      <c r="T112" s="41"/>
      <c r="U112" s="59" t="e">
        <f>#REF!/$U$7</f>
        <v>#REF!</v>
      </c>
      <c r="V112" s="41"/>
    </row>
    <row r="113" spans="1:23" s="3" customFormat="1" ht="13.8">
      <c r="A113" s="1" t="s">
        <v>171</v>
      </c>
      <c r="B113" s="1"/>
      <c r="C113" s="96"/>
      <c r="D113" s="95"/>
      <c r="E113" s="97"/>
      <c r="F113" s="95"/>
      <c r="G113" s="93"/>
      <c r="H113" s="94"/>
      <c r="I113" s="94"/>
      <c r="J113" s="94"/>
      <c r="K113" s="4"/>
      <c r="L113" s="4"/>
      <c r="M113" s="4"/>
      <c r="N113" s="4"/>
      <c r="O113" s="4"/>
      <c r="P113" s="4"/>
      <c r="Q113" s="4"/>
      <c r="R113" s="4"/>
      <c r="S113" s="4"/>
      <c r="T113" s="41"/>
      <c r="U113" s="41" t="e">
        <f>#REF!/$U$7</f>
        <v>#REF!</v>
      </c>
      <c r="V113" s="41"/>
    </row>
    <row r="114" spans="1:23" s="3" customFormat="1" ht="13.8">
      <c r="A114" s="1"/>
      <c r="B114" s="1"/>
      <c r="C114" s="96" t="s">
        <v>121</v>
      </c>
      <c r="D114" s="91"/>
      <c r="E114" s="97"/>
      <c r="F114" s="95"/>
      <c r="G114" s="93"/>
      <c r="H114" s="94"/>
      <c r="I114" s="94"/>
      <c r="J114" s="94"/>
      <c r="K114" s="4"/>
      <c r="L114" s="4"/>
      <c r="M114" s="4"/>
      <c r="N114" s="4"/>
      <c r="O114" s="4"/>
      <c r="P114" s="4"/>
      <c r="Q114" s="4"/>
      <c r="R114" s="4"/>
      <c r="S114" s="4"/>
      <c r="T114" s="41"/>
      <c r="U114" s="41" t="e">
        <f>#REF!/$U$7</f>
        <v>#REF!</v>
      </c>
      <c r="V114" s="41"/>
    </row>
    <row r="115" spans="1:23" s="3" customFormat="1" ht="13.8">
      <c r="A115" s="2"/>
      <c r="B115" s="2"/>
      <c r="C115" s="90">
        <v>303</v>
      </c>
      <c r="D115" s="91" t="s">
        <v>44</v>
      </c>
      <c r="E115" s="97"/>
      <c r="F115" s="95"/>
      <c r="G115" s="184">
        <f>BS!G115/'BS USD'!$G$5</f>
        <v>1357078.9779326364</v>
      </c>
      <c r="H115" s="94">
        <f>BS!H115/'BS USD'!$H$5</f>
        <v>1394159.4081851807</v>
      </c>
      <c r="I115" s="94">
        <f>BS!I115/'BS USD'!$I$5</f>
        <v>1392166.0907899439</v>
      </c>
      <c r="J115" s="94">
        <f>BS!J115/'BS USD'!$J$5</f>
        <v>1386796.03584357</v>
      </c>
      <c r="K115" s="16"/>
      <c r="L115" s="16"/>
      <c r="M115" s="16"/>
      <c r="N115" s="16"/>
      <c r="O115" s="16"/>
      <c r="P115" s="16"/>
      <c r="Q115" s="16"/>
      <c r="R115" s="16"/>
      <c r="S115" s="16"/>
      <c r="T115" s="41"/>
      <c r="U115" s="41" t="e">
        <f>#REF!/$U$7</f>
        <v>#REF!</v>
      </c>
      <c r="V115" s="41"/>
    </row>
    <row r="116" spans="1:23" s="3" customFormat="1" ht="13.8">
      <c r="A116" s="2"/>
      <c r="B116" s="2"/>
      <c r="C116" s="90">
        <v>308</v>
      </c>
      <c r="D116" s="91" t="s">
        <v>172</v>
      </c>
      <c r="E116" s="99"/>
      <c r="F116" s="95"/>
      <c r="G116" s="184">
        <f>BS!G116/'BS USD'!$G$5</f>
        <v>7858.8927897793264</v>
      </c>
      <c r="H116" s="94">
        <f>BS!H116/'BS USD'!$H$5</f>
        <v>8073.6268846199737</v>
      </c>
      <c r="I116" s="94">
        <f>BS!I116/'BS USD'!$I$5</f>
        <v>8062.0835124508521</v>
      </c>
      <c r="J116" s="94">
        <f>BS!J116/'BS USD'!$J$5</f>
        <v>8030.9853326212096</v>
      </c>
      <c r="K116" s="16"/>
      <c r="L116" s="16"/>
      <c r="M116" s="16"/>
      <c r="N116" s="16"/>
      <c r="O116" s="16"/>
      <c r="P116" s="16"/>
      <c r="Q116" s="16"/>
      <c r="R116" s="16"/>
      <c r="S116" s="16"/>
      <c r="T116" s="41"/>
      <c r="U116" s="41" t="e">
        <f>#REF!/$U$7</f>
        <v>#REF!</v>
      </c>
      <c r="V116" s="41"/>
    </row>
    <row r="117" spans="1:23" s="3" customFormat="1" ht="13.8">
      <c r="A117" s="2"/>
      <c r="B117" s="2"/>
      <c r="C117" s="95"/>
      <c r="D117" s="96" t="s">
        <v>173</v>
      </c>
      <c r="E117" s="99"/>
      <c r="F117" s="95"/>
      <c r="G117" s="106">
        <f>SUM(G115:G116)</f>
        <v>1364937.8707224156</v>
      </c>
      <c r="H117" s="106">
        <f>SUM(H115:H116)</f>
        <v>1402233.0350698007</v>
      </c>
      <c r="I117" s="106">
        <f>SUM(I115:I116)</f>
        <v>1400228.1743023947</v>
      </c>
      <c r="J117" s="106">
        <f>SUM(J115:J116)</f>
        <v>1394827.0211761913</v>
      </c>
      <c r="K117" s="40"/>
      <c r="L117" s="40"/>
      <c r="M117" s="40"/>
      <c r="N117" s="40"/>
      <c r="O117" s="40"/>
      <c r="P117" s="40"/>
      <c r="Q117" s="40"/>
      <c r="R117" s="40"/>
      <c r="S117" s="40"/>
      <c r="T117" s="41"/>
      <c r="U117" s="41" t="e">
        <f>#REF!/$U$7</f>
        <v>#REF!</v>
      </c>
      <c r="V117" s="41"/>
    </row>
    <row r="118" spans="1:23" s="3" customFormat="1" ht="13.8">
      <c r="A118" s="259"/>
      <c r="B118" s="260"/>
      <c r="C118" s="107">
        <v>329</v>
      </c>
      <c r="D118" s="95" t="s">
        <v>174</v>
      </c>
      <c r="E118" s="97"/>
      <c r="F118" s="95"/>
      <c r="G118" s="184">
        <f>BS!G118/'BS USD'!$G$5</f>
        <v>-642043.84920673631</v>
      </c>
      <c r="H118" s="94">
        <f>BS!H128</f>
        <v>-507349.20737382176</v>
      </c>
      <c r="I118" s="199">
        <f>BS!I118/'BS USD'!$I$5</f>
        <v>-506623.81830096507</v>
      </c>
      <c r="J118" s="94">
        <f>BS!J118/'BS USD'!$J$5</f>
        <v>-504669.59907423891</v>
      </c>
      <c r="K118" s="16"/>
      <c r="L118" s="16"/>
      <c r="M118" s="16"/>
      <c r="N118" s="16"/>
      <c r="O118" s="16"/>
      <c r="P118" s="16"/>
      <c r="Q118" s="16"/>
      <c r="R118" s="16"/>
      <c r="S118" s="16"/>
      <c r="T118" s="61"/>
      <c r="U118" s="61"/>
      <c r="V118" s="61"/>
      <c r="W118" s="62"/>
    </row>
    <row r="119" spans="1:23" s="3" customFormat="1" ht="13.8">
      <c r="A119" s="155"/>
      <c r="B119" s="15"/>
      <c r="C119" s="90">
        <v>339</v>
      </c>
      <c r="D119" s="95" t="s">
        <v>302</v>
      </c>
      <c r="E119" s="97"/>
      <c r="F119" s="95"/>
      <c r="G119" s="184">
        <f>BS!G119/'BS USD'!$G$5</f>
        <v>148188.59868408827</v>
      </c>
      <c r="H119" s="94">
        <v>0</v>
      </c>
      <c r="I119" s="199">
        <v>0</v>
      </c>
      <c r="J119" s="101"/>
      <c r="K119" s="16"/>
      <c r="L119" s="16"/>
      <c r="M119" s="16"/>
      <c r="N119" s="16"/>
      <c r="O119" s="16"/>
      <c r="P119" s="16"/>
      <c r="Q119" s="16"/>
      <c r="R119" s="16"/>
      <c r="S119" s="16"/>
      <c r="T119" s="61"/>
      <c r="U119" s="61"/>
      <c r="V119" s="61"/>
      <c r="W119" s="62"/>
    </row>
    <row r="120" spans="1:23" s="3" customFormat="1" ht="13.8">
      <c r="A120" s="2"/>
      <c r="B120" s="2"/>
      <c r="C120" s="90">
        <v>331</v>
      </c>
      <c r="D120" s="95" t="s">
        <v>303</v>
      </c>
      <c r="E120" s="97"/>
      <c r="F120" s="95"/>
      <c r="G120" s="168"/>
      <c r="H120" s="177">
        <f>'PL USD'!H150</f>
        <v>15802.905944398024</v>
      </c>
      <c r="I120" s="178">
        <f>'PL USD'!I150</f>
        <v>76367.833547757997</v>
      </c>
      <c r="J120" s="178">
        <f>'PL USD'!J150</f>
        <v>120529.36047078922</v>
      </c>
      <c r="K120" s="179"/>
      <c r="L120" s="179"/>
      <c r="M120" s="179"/>
      <c r="N120" s="179"/>
      <c r="O120" s="179"/>
      <c r="P120" s="179"/>
      <c r="Q120" s="179"/>
      <c r="R120" s="179"/>
      <c r="S120" s="179"/>
      <c r="T120" s="61"/>
      <c r="U120" s="61"/>
      <c r="V120" s="61"/>
      <c r="W120" s="62"/>
    </row>
    <row r="121" spans="1:23" s="3" customFormat="1" ht="14.4" thickBot="1">
      <c r="A121" s="2"/>
      <c r="B121" s="2"/>
      <c r="C121" s="95"/>
      <c r="D121" s="95"/>
      <c r="E121" s="97"/>
      <c r="F121" s="95"/>
      <c r="G121" s="115">
        <f>G112+G117+G118+G120+G119</f>
        <v>954491.56280545867</v>
      </c>
      <c r="H121" s="115">
        <f>H112+H117+H118+H119+H120</f>
        <v>1070365.3482144135</v>
      </c>
      <c r="I121" s="115">
        <f>I112+I117+I118+I119+I120</f>
        <v>1107744.210630446</v>
      </c>
      <c r="J121" s="115">
        <f>J112+J117+J118+J119+J120</f>
        <v>1236090.6214363105</v>
      </c>
      <c r="K121" s="39"/>
      <c r="L121" s="39"/>
      <c r="M121" s="39"/>
      <c r="N121" s="39"/>
      <c r="O121" s="39"/>
      <c r="P121" s="39"/>
      <c r="Q121" s="39"/>
      <c r="R121" s="39"/>
      <c r="S121" s="39"/>
      <c r="T121" s="61"/>
      <c r="U121" s="63"/>
      <c r="V121" s="61"/>
      <c r="W121" s="62"/>
    </row>
    <row r="122" spans="1:23" s="3" customFormat="1" ht="14.4" thickTop="1">
      <c r="A122" s="2"/>
      <c r="B122" s="2"/>
      <c r="C122" s="95"/>
      <c r="D122" s="95"/>
      <c r="E122" s="110"/>
      <c r="F122" s="95"/>
      <c r="G122" s="95"/>
      <c r="H122" s="94"/>
      <c r="I122" s="94"/>
      <c r="J122" s="94"/>
      <c r="K122" s="4"/>
      <c r="L122" s="4"/>
      <c r="M122" s="4"/>
      <c r="N122" s="4"/>
      <c r="O122" s="4"/>
      <c r="P122" s="4"/>
      <c r="Q122" s="4"/>
      <c r="R122" s="4"/>
      <c r="S122" s="4"/>
      <c r="T122" s="61"/>
      <c r="U122" s="62"/>
      <c r="V122" s="62"/>
      <c r="W122" s="62"/>
    </row>
    <row r="123" spans="1:23" ht="13.8">
      <c r="C123" s="95"/>
      <c r="D123" s="95"/>
      <c r="E123" s="110"/>
      <c r="F123" s="95"/>
      <c r="G123" s="95"/>
      <c r="H123" s="94"/>
      <c r="I123" s="94"/>
      <c r="J123" s="94"/>
      <c r="K123" s="4"/>
      <c r="T123" s="41"/>
    </row>
    <row r="124" spans="1:23" s="3" customFormat="1" ht="13.8">
      <c r="A124" s="2"/>
      <c r="B124" s="2"/>
      <c r="C124" s="95"/>
      <c r="D124" s="95"/>
      <c r="E124" s="110"/>
      <c r="F124" s="95"/>
      <c r="G124" s="111">
        <f>G121-G73</f>
        <v>3.4843338653445244E-5</v>
      </c>
      <c r="H124" s="111">
        <f>H121-H73</f>
        <v>0</v>
      </c>
      <c r="I124" s="111">
        <f>I121-I73</f>
        <v>4.4085944537073374E-3</v>
      </c>
      <c r="J124" s="111">
        <f>J121-J73</f>
        <v>9.2595489695668221E-4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49">
        <f>Q73-Q121</f>
        <v>0</v>
      </c>
      <c r="R124" s="49">
        <f>R73-R121</f>
        <v>0</v>
      </c>
      <c r="S124" s="49">
        <f>S73-S121</f>
        <v>0</v>
      </c>
      <c r="T124" s="41"/>
      <c r="U124" s="49" t="e">
        <f>U73-U121</f>
        <v>#REF!</v>
      </c>
    </row>
    <row r="125" spans="1:23" ht="13.8">
      <c r="C125" s="95"/>
      <c r="D125" s="95"/>
      <c r="E125" s="110"/>
      <c r="F125" s="95"/>
      <c r="G125" s="95"/>
      <c r="H125" s="94"/>
      <c r="I125" s="110"/>
      <c r="J125" s="110"/>
    </row>
    <row r="126" spans="1:23" s="3" customFormat="1" ht="13.8">
      <c r="A126" s="2"/>
      <c r="B126" s="2"/>
      <c r="C126" s="95"/>
      <c r="D126" s="95"/>
      <c r="E126" s="110"/>
      <c r="F126" s="95"/>
      <c r="G126" s="185"/>
      <c r="H126" s="169"/>
      <c r="I126" s="110"/>
      <c r="J126" s="110"/>
      <c r="L126" s="4"/>
      <c r="M126" s="4"/>
      <c r="N126" s="4"/>
      <c r="O126" s="4"/>
      <c r="P126" s="4"/>
      <c r="Q126" s="4"/>
      <c r="R126" s="4"/>
      <c r="S126" s="4"/>
    </row>
    <row r="127" spans="1:23" s="3" customFormat="1" ht="13.8">
      <c r="A127" s="2"/>
      <c r="B127" s="2"/>
      <c r="C127" s="2"/>
      <c r="D127" s="2"/>
      <c r="F127" s="2"/>
      <c r="G127" s="185"/>
      <c r="H127" s="169"/>
      <c r="L127" s="4"/>
      <c r="M127" s="4"/>
      <c r="N127" s="4"/>
      <c r="O127" s="4"/>
      <c r="P127" s="4"/>
      <c r="Q127" s="4"/>
      <c r="R127" s="4"/>
      <c r="S127" s="4"/>
    </row>
    <row r="128" spans="1:23" s="3" customFormat="1">
      <c r="A128" s="2"/>
      <c r="B128" s="2"/>
      <c r="C128" s="2"/>
      <c r="D128" s="2"/>
      <c r="F128" s="2"/>
      <c r="G128" s="186"/>
      <c r="H128" s="62"/>
      <c r="L128" s="4"/>
      <c r="M128" s="4"/>
      <c r="N128" s="4"/>
      <c r="O128" s="4"/>
      <c r="P128" s="4"/>
      <c r="Q128" s="4"/>
      <c r="R128" s="4"/>
      <c r="S128" s="4"/>
    </row>
    <row r="129" spans="1:19" s="3" customFormat="1">
      <c r="A129" s="2"/>
      <c r="B129" s="2"/>
      <c r="C129" s="2"/>
      <c r="D129" s="2"/>
      <c r="F129" s="2"/>
      <c r="G129" s="187"/>
      <c r="H129" s="62"/>
      <c r="L129" s="4"/>
      <c r="M129" s="4"/>
      <c r="N129" s="4"/>
      <c r="O129" s="4"/>
      <c r="P129" s="4"/>
      <c r="Q129" s="4"/>
      <c r="R129" s="4"/>
      <c r="S129" s="4"/>
    </row>
    <row r="130" spans="1:19" s="3" customFormat="1">
      <c r="A130" s="2"/>
      <c r="B130" s="2"/>
      <c r="C130" s="2"/>
      <c r="D130" s="2"/>
      <c r="F130" s="2"/>
      <c r="G130" s="188"/>
      <c r="H130" s="62"/>
      <c r="L130" s="4"/>
      <c r="M130" s="4"/>
      <c r="N130" s="4"/>
      <c r="O130" s="4"/>
      <c r="P130" s="4"/>
      <c r="Q130" s="4"/>
      <c r="R130" s="4"/>
      <c r="S130" s="4"/>
    </row>
  </sheetData>
  <mergeCells count="12">
    <mergeCell ref="A118:B118"/>
    <mergeCell ref="E78:F78"/>
    <mergeCell ref="E80:F80"/>
    <mergeCell ref="E82:F82"/>
    <mergeCell ref="E84:F84"/>
    <mergeCell ref="E86:F86"/>
    <mergeCell ref="E88:F88"/>
    <mergeCell ref="E90:F90"/>
    <mergeCell ref="E93:F93"/>
    <mergeCell ref="E103:F103"/>
    <mergeCell ref="E106:F106"/>
    <mergeCell ref="E110:F110"/>
  </mergeCells>
  <pageMargins left="1.1811023622047244E-2" right="1.1811023622047244E-2" top="0.11811023622047245" bottom="0.11811023622047245" header="0.11811023622047245" footer="0.11811023622047245"/>
  <pageSetup paperSize="9" scale="65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62"/>
  <sheetViews>
    <sheetView zoomScale="73" zoomScaleNormal="73" zoomScaleSheetLayoutView="9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U43" sqref="U43"/>
    </sheetView>
  </sheetViews>
  <sheetFormatPr defaultColWidth="8.6640625" defaultRowHeight="18" customHeight="1"/>
  <cols>
    <col min="1" max="1" width="5.109375" style="18" customWidth="1"/>
    <col min="2" max="2" width="1.6640625" style="18" customWidth="1"/>
    <col min="3" max="3" width="2.5546875" style="18" customWidth="1"/>
    <col min="4" max="4" width="9" style="18" customWidth="1"/>
    <col min="5" max="5" width="12.6640625" style="18" customWidth="1"/>
    <col min="6" max="6" width="50.109375" style="18" customWidth="1"/>
    <col min="7" max="7" width="5.88671875" style="18" customWidth="1"/>
    <col min="8" max="8" width="25.5546875" style="19" customWidth="1"/>
    <col min="9" max="11" width="26" style="20" customWidth="1"/>
    <col min="12" max="18" width="26" style="20" hidden="1" customWidth="1"/>
    <col min="19" max="20" width="26" style="20" customWidth="1"/>
    <col min="21" max="21" width="26" style="18" customWidth="1"/>
    <col min="22" max="16384" width="8.6640625" style="18"/>
  </cols>
  <sheetData>
    <row r="1" spans="1:21" ht="18" customHeight="1">
      <c r="A1" s="17" t="s">
        <v>123</v>
      </c>
    </row>
    <row r="2" spans="1:21" ht="18" customHeight="1">
      <c r="A2" s="17" t="s">
        <v>175</v>
      </c>
    </row>
    <row r="3" spans="1:21" ht="18" customHeight="1">
      <c r="A3" s="17" t="s">
        <v>176</v>
      </c>
      <c r="C3" s="22" t="s">
        <v>347</v>
      </c>
    </row>
    <row r="4" spans="1:21" ht="18" customHeight="1">
      <c r="A4" s="18">
        <v>1</v>
      </c>
      <c r="B4" s="18">
        <v>2</v>
      </c>
      <c r="C4" s="18">
        <v>3</v>
      </c>
      <c r="D4" s="18">
        <v>4</v>
      </c>
      <c r="E4" s="18">
        <v>5</v>
      </c>
      <c r="F4" s="18">
        <v>6</v>
      </c>
      <c r="G4" s="18">
        <v>7</v>
      </c>
      <c r="H4" s="116">
        <v>44927</v>
      </c>
      <c r="I4" s="116">
        <v>44958</v>
      </c>
      <c r="J4" s="116">
        <v>44986</v>
      </c>
      <c r="K4" s="116">
        <v>45017</v>
      </c>
      <c r="L4" s="116">
        <v>45047</v>
      </c>
      <c r="M4" s="116">
        <v>45078</v>
      </c>
      <c r="N4" s="116">
        <v>45108</v>
      </c>
      <c r="O4" s="116">
        <v>45139</v>
      </c>
      <c r="P4" s="116">
        <v>45170</v>
      </c>
      <c r="Q4" s="116">
        <v>45200</v>
      </c>
      <c r="R4" s="116">
        <v>45231</v>
      </c>
      <c r="S4" s="116">
        <v>45261</v>
      </c>
      <c r="T4" s="23" t="s">
        <v>255</v>
      </c>
      <c r="U4" s="58" t="s">
        <v>100</v>
      </c>
    </row>
    <row r="5" spans="1:21" ht="18" customHeight="1">
      <c r="A5" s="17" t="s">
        <v>177</v>
      </c>
      <c r="B5" s="17"/>
      <c r="C5" s="17"/>
      <c r="D5" s="17"/>
      <c r="U5" s="21"/>
    </row>
    <row r="6" spans="1:21" ht="18" customHeight="1">
      <c r="A6" s="17"/>
      <c r="B6" s="17"/>
      <c r="C6" s="17" t="s">
        <v>178</v>
      </c>
      <c r="D6" s="17"/>
      <c r="U6" s="21"/>
    </row>
    <row r="7" spans="1:21" ht="18" customHeight="1">
      <c r="A7" s="117"/>
      <c r="B7" s="117"/>
      <c r="C7" s="117"/>
      <c r="D7" s="117" t="s">
        <v>179</v>
      </c>
      <c r="E7" s="118"/>
      <c r="F7" s="118"/>
      <c r="G7" s="118"/>
      <c r="H7" s="119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1"/>
    </row>
    <row r="8" spans="1:21" ht="18" customHeight="1">
      <c r="A8" s="118"/>
      <c r="B8" s="118"/>
      <c r="C8" s="118"/>
      <c r="D8" s="117"/>
      <c r="E8" s="122">
        <v>701.01</v>
      </c>
      <c r="F8" s="117" t="s">
        <v>180</v>
      </c>
      <c r="G8" s="118"/>
      <c r="H8" s="119">
        <f>IFERROR(VLOOKUP(E8,TBJan23!$A$8:F156,6,0),0)</f>
        <v>2493230329.1999998</v>
      </c>
      <c r="I8" s="119">
        <f>VLOOKUP(E8,'TBFeb23 '!A8:H172,6,0)</f>
        <v>2913859345</v>
      </c>
      <c r="J8" s="119">
        <f>IFERROR(VLOOKUP(E8,TBMar23!$A$8:H131,6,0),0)</f>
        <v>4458050173.7399998</v>
      </c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23">
        <f>SUM(H8:Q8)+SUM(S8+T8)</f>
        <v>9865139847.9399986</v>
      </c>
    </row>
    <row r="9" spans="1:21" ht="18" customHeight="1">
      <c r="A9" s="118"/>
      <c r="B9" s="118"/>
      <c r="C9" s="118"/>
      <c r="D9" s="117"/>
      <c r="E9" s="122">
        <v>708</v>
      </c>
      <c r="F9" s="117" t="s">
        <v>181</v>
      </c>
      <c r="G9" s="118"/>
      <c r="H9" s="119">
        <f>IFERROR(VLOOKUP(E9,TBJan23!$A$8:F157,6,0),0)</f>
        <v>0</v>
      </c>
      <c r="I9" s="119">
        <v>0</v>
      </c>
      <c r="J9" s="119">
        <f>IFERROR(VLOOKUP(E9,TBMar23!$A$8:H132,6,0),0)</f>
        <v>0</v>
      </c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23">
        <f>SUM(H9:Q9)+SUM(S9+T9)</f>
        <v>0</v>
      </c>
    </row>
    <row r="10" spans="1:21" ht="18" customHeight="1">
      <c r="A10" s="118"/>
      <c r="B10" s="118"/>
      <c r="C10" s="118"/>
      <c r="D10" s="117"/>
      <c r="E10" s="122">
        <v>701.02</v>
      </c>
      <c r="F10" s="117" t="s">
        <v>182</v>
      </c>
      <c r="G10" s="118"/>
      <c r="H10" s="119">
        <f>IFERROR(VLOOKUP(E10,TBJan23!$A$8:F158,6,0),0)</f>
        <v>0</v>
      </c>
      <c r="I10" s="119">
        <f>VLOOKUP(E10,'TBFeb23 '!A10:H174,6,0)</f>
        <v>0</v>
      </c>
      <c r="J10" s="119">
        <f>IFERROR(VLOOKUP(E10,TBMar23!$A$8:H133,6,0),0)</f>
        <v>0</v>
      </c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23">
        <f>SUM(H10:Q10)+SUM(S10+T10)</f>
        <v>0</v>
      </c>
    </row>
    <row r="11" spans="1:21" ht="18" customHeight="1">
      <c r="A11" s="118"/>
      <c r="B11" s="118"/>
      <c r="C11" s="118"/>
      <c r="D11" s="117"/>
      <c r="E11" s="122">
        <v>701.03</v>
      </c>
      <c r="F11" s="117" t="s">
        <v>97</v>
      </c>
      <c r="G11" s="118"/>
      <c r="H11" s="119">
        <f>IFERROR(VLOOKUP(E11,TBJan23!$A$8:F159,6,0),0)</f>
        <v>810293924.58000004</v>
      </c>
      <c r="I11" s="119">
        <f>VLOOKUP(E11,'TBFeb23 '!A11:H175,6,0)</f>
        <v>65925413.799999997</v>
      </c>
      <c r="J11" s="119">
        <f>IFERROR(VLOOKUP(E11,TBMar23!$A$8:H134,6,0),0)</f>
        <v>93296034.629999995</v>
      </c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23">
        <f>SUM(H11:Q11)+SUM(S11+T11)</f>
        <v>969515373.00999999</v>
      </c>
    </row>
    <row r="12" spans="1:21" ht="18" customHeight="1">
      <c r="A12" s="118"/>
      <c r="B12" s="118"/>
      <c r="C12" s="118"/>
      <c r="D12" s="117"/>
      <c r="E12" s="122" t="s">
        <v>297</v>
      </c>
      <c r="F12" s="117" t="s">
        <v>298</v>
      </c>
      <c r="G12" s="118"/>
      <c r="H12" s="119">
        <f>IFERROR(VLOOKUP(E12,TBJan23!$A$8:F160,6,0),0)</f>
        <v>3345000</v>
      </c>
      <c r="I12" s="119">
        <f>-VLOOKUP(E12,'TBFeb23 '!A12:H176,5,0)</f>
        <v>-3345000</v>
      </c>
      <c r="J12" s="119">
        <f>IFERROR(VLOOKUP(E12,TBMar23!$A$8:H135,6,0),0)</f>
        <v>0</v>
      </c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23">
        <f t="shared" ref="U12:U13" si="0">SUM(H12:Q12)+SUM(S12+T12)</f>
        <v>0</v>
      </c>
    </row>
    <row r="13" spans="1:21" ht="18" customHeight="1">
      <c r="A13" s="118"/>
      <c r="B13" s="118"/>
      <c r="C13" s="118"/>
      <c r="D13" s="117"/>
      <c r="E13" s="122"/>
      <c r="F13" s="117"/>
      <c r="G13" s="118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23">
        <f t="shared" si="0"/>
        <v>0</v>
      </c>
    </row>
    <row r="14" spans="1:21" ht="18" customHeight="1">
      <c r="A14" s="118"/>
      <c r="B14" s="118"/>
      <c r="C14" s="118"/>
      <c r="D14" s="117" t="s">
        <v>183</v>
      </c>
      <c r="E14" s="118"/>
      <c r="F14" s="118"/>
      <c r="G14" s="118"/>
      <c r="H14" s="124">
        <f>SUM(H8:H12)</f>
        <v>3306869253.7799997</v>
      </c>
      <c r="I14" s="124">
        <f>SUM(I8:I13)</f>
        <v>2976439758.8000002</v>
      </c>
      <c r="J14" s="124">
        <f>SUM(J8:J13)</f>
        <v>4551346208.3699999</v>
      </c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>
        <f>SUM(H14:Q14)+SUM(S14+T14)</f>
        <v>10834655220.950001</v>
      </c>
    </row>
    <row r="15" spans="1:21" ht="18" customHeight="1">
      <c r="A15" s="118"/>
      <c r="B15" s="118"/>
      <c r="C15" s="118"/>
      <c r="D15" s="118"/>
      <c r="E15" s="118" t="s">
        <v>184</v>
      </c>
      <c r="F15" s="118"/>
      <c r="G15" s="118"/>
      <c r="H15" s="119">
        <v>0</v>
      </c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25">
        <f>SUM(H15:L15)</f>
        <v>0</v>
      </c>
    </row>
    <row r="16" spans="1:21" ht="18" customHeight="1" thickBot="1">
      <c r="A16" s="118"/>
      <c r="B16" s="118"/>
      <c r="C16" s="117" t="s">
        <v>185</v>
      </c>
      <c r="D16" s="118"/>
      <c r="E16" s="118"/>
      <c r="F16" s="118"/>
      <c r="G16" s="118"/>
      <c r="H16" s="126">
        <f>H14+H15</f>
        <v>3306869253.7799997</v>
      </c>
      <c r="I16" s="126">
        <f>I14+I15</f>
        <v>2976439758.8000002</v>
      </c>
      <c r="J16" s="126">
        <f>J14+J15</f>
        <v>4551346208.3699999</v>
      </c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7">
        <f>SUM(H16:Q16)+SUM(S16+T16)</f>
        <v>10834655220.950001</v>
      </c>
    </row>
    <row r="17" spans="1:21" ht="18" customHeight="1" thickTop="1">
      <c r="A17" s="118"/>
      <c r="B17" s="118"/>
      <c r="C17" s="117" t="s">
        <v>186</v>
      </c>
      <c r="D17" s="118"/>
      <c r="E17" s="118"/>
      <c r="F17" s="118"/>
      <c r="G17" s="118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25">
        <f>SUM(H17:L17)</f>
        <v>0</v>
      </c>
    </row>
    <row r="18" spans="1:21" ht="18" customHeight="1">
      <c r="A18" s="118"/>
      <c r="B18" s="118"/>
      <c r="C18" s="118"/>
      <c r="D18" s="118"/>
      <c r="E18" s="128">
        <v>1311.01</v>
      </c>
      <c r="F18" s="129" t="s">
        <v>187</v>
      </c>
      <c r="G18" s="130"/>
      <c r="H18" s="131">
        <v>84288750.000000119</v>
      </c>
      <c r="I18" s="119">
        <v>114864754.5</v>
      </c>
      <c r="J18" s="131">
        <v>33959100</v>
      </c>
      <c r="K18" s="131"/>
      <c r="L18" s="131"/>
      <c r="M18" s="131"/>
      <c r="N18" s="131"/>
      <c r="O18" s="131"/>
      <c r="P18" s="131"/>
      <c r="Q18" s="131"/>
      <c r="R18" s="131"/>
      <c r="S18" s="119"/>
      <c r="T18" s="119"/>
      <c r="U18" s="123">
        <f t="shared" ref="U18:U45" si="1">SUM(H18:Q18)+SUM(S18+T18)</f>
        <v>233112604.50000012</v>
      </c>
    </row>
    <row r="19" spans="1:21" ht="18" customHeight="1">
      <c r="A19" s="118"/>
      <c r="B19" s="118"/>
      <c r="C19" s="118"/>
      <c r="D19" s="118"/>
      <c r="E19" s="128">
        <v>1311.02</v>
      </c>
      <c r="F19" s="129" t="s">
        <v>188</v>
      </c>
      <c r="G19" s="130"/>
      <c r="H19" s="131">
        <v>40971199.910000056</v>
      </c>
      <c r="I19" s="131">
        <v>55245371.430000007</v>
      </c>
      <c r="J19" s="131">
        <v>26876000</v>
      </c>
      <c r="K19" s="131"/>
      <c r="L19" s="131"/>
      <c r="M19" s="131"/>
      <c r="N19" s="131"/>
      <c r="O19" s="131"/>
      <c r="P19" s="131"/>
      <c r="Q19" s="131"/>
      <c r="R19" s="131"/>
      <c r="S19" s="119"/>
      <c r="T19" s="119"/>
      <c r="U19" s="123">
        <f t="shared" si="1"/>
        <v>123092571.34000006</v>
      </c>
    </row>
    <row r="20" spans="1:21" ht="18" customHeight="1">
      <c r="A20" s="118"/>
      <c r="B20" s="118"/>
      <c r="C20" s="118"/>
      <c r="D20" s="118"/>
      <c r="E20" s="128">
        <v>1311.03</v>
      </c>
      <c r="F20" s="129" t="s">
        <v>189</v>
      </c>
      <c r="G20" s="130"/>
      <c r="H20" s="131">
        <v>93782556.520000041</v>
      </c>
      <c r="I20" s="131">
        <v>82195657.679999948</v>
      </c>
      <c r="J20" s="131">
        <v>81123072.359999895</v>
      </c>
      <c r="K20" s="131"/>
      <c r="L20" s="131"/>
      <c r="M20" s="131"/>
      <c r="N20" s="131"/>
      <c r="O20" s="131"/>
      <c r="P20" s="131"/>
      <c r="Q20" s="131"/>
      <c r="R20" s="131"/>
      <c r="S20" s="119"/>
      <c r="T20" s="119"/>
      <c r="U20" s="123">
        <f t="shared" si="1"/>
        <v>257101286.55999988</v>
      </c>
    </row>
    <row r="21" spans="1:21" ht="18" customHeight="1">
      <c r="A21" s="118"/>
      <c r="B21" s="118"/>
      <c r="C21" s="118"/>
      <c r="D21" s="118"/>
      <c r="E21" s="128">
        <v>1311.04</v>
      </c>
      <c r="F21" s="129" t="s">
        <v>190</v>
      </c>
      <c r="G21" s="130"/>
      <c r="H21" s="131">
        <v>3218656.9999999106</v>
      </c>
      <c r="I21" s="131">
        <v>13905405</v>
      </c>
      <c r="J21" s="131">
        <v>5938546.25</v>
      </c>
      <c r="K21" s="131"/>
      <c r="L21" s="131"/>
      <c r="M21" s="131"/>
      <c r="N21" s="131"/>
      <c r="O21" s="131"/>
      <c r="P21" s="131"/>
      <c r="Q21" s="131"/>
      <c r="R21" s="131"/>
      <c r="S21" s="119"/>
      <c r="T21" s="119"/>
      <c r="U21" s="123">
        <f t="shared" si="1"/>
        <v>23062608.249999911</v>
      </c>
    </row>
    <row r="22" spans="1:21" ht="18" customHeight="1">
      <c r="A22" s="118"/>
      <c r="B22" s="118"/>
      <c r="C22" s="118"/>
      <c r="D22" s="118"/>
      <c r="E22" s="128">
        <v>1311.05</v>
      </c>
      <c r="F22" s="129" t="s">
        <v>191</v>
      </c>
      <c r="G22" s="130"/>
      <c r="H22" s="131">
        <v>39822081.000000596</v>
      </c>
      <c r="I22" s="131">
        <v>104776032</v>
      </c>
      <c r="J22" s="131">
        <v>40988700</v>
      </c>
      <c r="K22" s="131"/>
      <c r="L22" s="131"/>
      <c r="M22" s="131"/>
      <c r="N22" s="131"/>
      <c r="O22" s="131"/>
      <c r="P22" s="131"/>
      <c r="Q22" s="131"/>
      <c r="R22" s="131"/>
      <c r="S22" s="119"/>
      <c r="T22" s="119"/>
      <c r="U22" s="123">
        <f t="shared" si="1"/>
        <v>185586813.0000006</v>
      </c>
    </row>
    <row r="23" spans="1:21" ht="18" customHeight="1">
      <c r="A23" s="118"/>
      <c r="B23" s="118"/>
      <c r="C23" s="118"/>
      <c r="D23" s="118"/>
      <c r="E23" s="128">
        <v>1311.06</v>
      </c>
      <c r="F23" s="129" t="s">
        <v>192</v>
      </c>
      <c r="G23" s="130"/>
      <c r="H23" s="131">
        <v>20377499.299999993</v>
      </c>
      <c r="I23" s="131">
        <v>14025000.299999997</v>
      </c>
      <c r="J23" s="131">
        <v>10682924.999999996</v>
      </c>
      <c r="K23" s="131"/>
      <c r="L23" s="131"/>
      <c r="M23" s="131"/>
      <c r="N23" s="131"/>
      <c r="O23" s="131"/>
      <c r="P23" s="131"/>
      <c r="Q23" s="131"/>
      <c r="R23" s="131"/>
      <c r="S23" s="119"/>
      <c r="T23" s="119"/>
      <c r="U23" s="123">
        <f t="shared" si="1"/>
        <v>45085424.599999994</v>
      </c>
    </row>
    <row r="24" spans="1:21" ht="18" customHeight="1">
      <c r="A24" s="118"/>
      <c r="B24" s="118"/>
      <c r="C24" s="118"/>
      <c r="D24" s="118"/>
      <c r="E24" s="128">
        <v>1311.07</v>
      </c>
      <c r="F24" s="129" t="s">
        <v>135</v>
      </c>
      <c r="G24" s="118"/>
      <c r="H24" s="131">
        <v>0</v>
      </c>
      <c r="I24" s="131">
        <v>0</v>
      </c>
      <c r="J24" s="131">
        <v>0</v>
      </c>
      <c r="K24" s="131"/>
      <c r="L24" s="131"/>
      <c r="M24" s="131"/>
      <c r="N24" s="131"/>
      <c r="O24" s="131"/>
      <c r="P24" s="131"/>
      <c r="Q24" s="131"/>
      <c r="R24" s="131"/>
      <c r="S24" s="119"/>
      <c r="T24" s="119"/>
      <c r="U24" s="123">
        <f t="shared" si="1"/>
        <v>0</v>
      </c>
    </row>
    <row r="25" spans="1:21" ht="18" customHeight="1">
      <c r="A25" s="118"/>
      <c r="B25" s="118"/>
      <c r="C25" s="118"/>
      <c r="D25" s="118"/>
      <c r="E25" s="128">
        <v>1311.08</v>
      </c>
      <c r="F25" s="117" t="s">
        <v>21</v>
      </c>
      <c r="G25" s="118"/>
      <c r="H25" s="131">
        <v>133516836.31999999</v>
      </c>
      <c r="I25" s="131">
        <v>177854885.22999999</v>
      </c>
      <c r="J25" s="131">
        <v>161515295.99999994</v>
      </c>
      <c r="K25" s="131"/>
      <c r="L25" s="131"/>
      <c r="M25" s="131"/>
      <c r="N25" s="131"/>
      <c r="O25" s="131"/>
      <c r="P25" s="131"/>
      <c r="Q25" s="131"/>
      <c r="R25" s="131"/>
      <c r="S25" s="119"/>
      <c r="T25" s="119"/>
      <c r="U25" s="123">
        <f t="shared" si="1"/>
        <v>472887017.54999989</v>
      </c>
    </row>
    <row r="26" spans="1:21" ht="18" customHeight="1" thickBot="1">
      <c r="A26" s="118"/>
      <c r="B26" s="118"/>
      <c r="C26" s="118"/>
      <c r="D26" s="118"/>
      <c r="E26" s="128"/>
      <c r="F26" s="129" t="s">
        <v>193</v>
      </c>
      <c r="G26" s="130"/>
      <c r="H26" s="132">
        <f>SUM(H18:H25)</f>
        <v>415977580.05000073</v>
      </c>
      <c r="I26" s="132">
        <f>SUM(I18:I25)</f>
        <v>562867106.13999999</v>
      </c>
      <c r="J26" s="132">
        <f>SUM(J18:J25)</f>
        <v>361083639.60999984</v>
      </c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215">
        <f>SUM(H26:Q26)+SUM(S26+T26)</f>
        <v>1339928325.8000007</v>
      </c>
    </row>
    <row r="27" spans="1:21" ht="18" customHeight="1" thickTop="1">
      <c r="A27" s="118"/>
      <c r="B27" s="118"/>
      <c r="C27" s="118"/>
      <c r="D27" s="133">
        <v>1</v>
      </c>
      <c r="E27" s="128">
        <v>1311.01</v>
      </c>
      <c r="F27" s="118" t="s">
        <v>194</v>
      </c>
      <c r="G27" s="118"/>
      <c r="H27" s="119">
        <f>IFERROR(VLOOKUP(E27,TBJan23!$A$8:F173,5,0),0)</f>
        <v>211415400</v>
      </c>
      <c r="I27" s="119">
        <f>VLOOKUP(E27,'TBFeb23 '!$A8:E172,5,0)</f>
        <v>99345000</v>
      </c>
      <c r="J27" s="119">
        <f>IFERROR(VLOOKUP(E27,TBMar23!$A$8:H168,5,0),0)</f>
        <v>302158009.80000001</v>
      </c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23">
        <f t="shared" si="1"/>
        <v>612918409.79999995</v>
      </c>
    </row>
    <row r="28" spans="1:21" ht="18" customHeight="1">
      <c r="A28" s="118"/>
      <c r="B28" s="118"/>
      <c r="C28" s="118"/>
      <c r="D28" s="133">
        <v>2</v>
      </c>
      <c r="E28" s="128">
        <v>1311.02</v>
      </c>
      <c r="F28" s="118" t="s">
        <v>195</v>
      </c>
      <c r="G28" s="118"/>
      <c r="H28" s="119">
        <f>IFERROR(VLOOKUP(E28,TBJan23!$A$8:F174,5,0),0)</f>
        <v>194389562</v>
      </c>
      <c r="I28" s="119">
        <f>VLOOKUP(E28,'TBFeb23 '!$A9:E173,5,0)</f>
        <v>126452800</v>
      </c>
      <c r="J28" s="119">
        <f>IFERROR(VLOOKUP(E28,TBMar23!$A$8:H169,5,0),0)</f>
        <v>241083411.43000001</v>
      </c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23">
        <f t="shared" si="1"/>
        <v>561925773.43000007</v>
      </c>
    </row>
    <row r="29" spans="1:21" ht="18" customHeight="1">
      <c r="A29" s="118"/>
      <c r="B29" s="118"/>
      <c r="C29" s="118"/>
      <c r="D29" s="133">
        <v>3</v>
      </c>
      <c r="E29" s="128">
        <v>1311.03</v>
      </c>
      <c r="F29" s="118" t="s">
        <v>196</v>
      </c>
      <c r="G29" s="118"/>
      <c r="H29" s="119">
        <f>IFERROR(VLOOKUP(E29,TBJan23!$A$8:F175,5,0),0)</f>
        <v>659145186.39999998</v>
      </c>
      <c r="I29" s="119">
        <f>VLOOKUP(E29,'TBFeb23 '!$A10:E174,5,0)</f>
        <v>940892908.88</v>
      </c>
      <c r="J29" s="119">
        <f>IFERROR(VLOOKUP(E29,TBMar23!$A$8:H170,5,0),0)</f>
        <v>1295263808.4100001</v>
      </c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23">
        <f t="shared" si="1"/>
        <v>2895301903.6900001</v>
      </c>
    </row>
    <row r="30" spans="1:21" ht="18" customHeight="1">
      <c r="A30" s="118"/>
      <c r="B30" s="118"/>
      <c r="C30" s="118"/>
      <c r="D30" s="133">
        <v>4</v>
      </c>
      <c r="E30" s="128">
        <v>1311.04</v>
      </c>
      <c r="F30" s="118" t="s">
        <v>197</v>
      </c>
      <c r="G30" s="118"/>
      <c r="H30" s="119">
        <f>IFERROR(VLOOKUP(E30,TBJan23!$A$8:F176,5,0),0)</f>
        <v>84764248</v>
      </c>
      <c r="I30" s="119">
        <f>VLOOKUP(E30,'TBFeb23 '!$A11:E175,5,0)</f>
        <v>87150000</v>
      </c>
      <c r="J30" s="119">
        <f>IFERROR(VLOOKUP(E30,TBMar23!$A$8:H171,5,0),0)</f>
        <v>155948124.71000001</v>
      </c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23">
        <f t="shared" si="1"/>
        <v>327862372.71000004</v>
      </c>
    </row>
    <row r="31" spans="1:21" ht="18" customHeight="1">
      <c r="A31" s="118"/>
      <c r="B31" s="118"/>
      <c r="C31" s="118"/>
      <c r="D31" s="133">
        <v>5</v>
      </c>
      <c r="E31" s="128">
        <v>1311.05</v>
      </c>
      <c r="F31" s="118" t="s">
        <v>198</v>
      </c>
      <c r="G31" s="118"/>
      <c r="H31" s="119">
        <f>IFERROR(VLOOKUP(E31,TBJan23!$A$8:F177,5,0),0)</f>
        <v>544157397</v>
      </c>
      <c r="I31" s="119">
        <f>VLOOKUP(E31,'TBFeb23 '!$A12:E176,5,0)</f>
        <v>371549000</v>
      </c>
      <c r="J31" s="119">
        <f>IFERROR(VLOOKUP(E31,TBMar23!$A$8:H172,5,0),0)</f>
        <v>655000060.20000005</v>
      </c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23">
        <f t="shared" si="1"/>
        <v>1570706457.2</v>
      </c>
    </row>
    <row r="32" spans="1:21" ht="18" customHeight="1">
      <c r="A32" s="118"/>
      <c r="B32" s="118"/>
      <c r="C32" s="118"/>
      <c r="D32" s="133">
        <v>6</v>
      </c>
      <c r="E32" s="128">
        <v>1311.06</v>
      </c>
      <c r="F32" s="118" t="s">
        <v>199</v>
      </c>
      <c r="G32" s="118"/>
      <c r="H32" s="119">
        <f>IFERROR(VLOOKUP(E32,TBJan23!$A$8:F178,5,0),0)</f>
        <v>28710001</v>
      </c>
      <c r="I32" s="119">
        <f>VLOOKUP(E32,'TBFeb23 '!$A13:E177,5,0)</f>
        <v>0</v>
      </c>
      <c r="J32" s="119">
        <f>IFERROR(VLOOKUP(E32,TBMar23!$A$8:H173,5,0),0)</f>
        <v>13798865.85</v>
      </c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23">
        <f t="shared" si="1"/>
        <v>42508866.850000001</v>
      </c>
    </row>
    <row r="33" spans="1:21" ht="18" customHeight="1">
      <c r="A33" s="118"/>
      <c r="B33" s="118"/>
      <c r="C33" s="118"/>
      <c r="D33" s="133">
        <v>7</v>
      </c>
      <c r="E33" s="128">
        <v>1311.07</v>
      </c>
      <c r="F33" s="118" t="s">
        <v>135</v>
      </c>
      <c r="G33" s="118"/>
      <c r="H33" s="119">
        <f>IFERROR(VLOOKUP(E33,TBJan23!$A$8:F179,5,0),0)</f>
        <v>0</v>
      </c>
      <c r="I33" s="119">
        <f>VLOOKUP(E33,'TBFeb23 '!$A14:E178,5,0)</f>
        <v>0</v>
      </c>
      <c r="J33" s="119">
        <f>IFERROR(VLOOKUP(E33,TBMar23!$A$8:H174,5,0),0)</f>
        <v>633435140.19000006</v>
      </c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23">
        <f t="shared" si="1"/>
        <v>633435140.19000006</v>
      </c>
    </row>
    <row r="34" spans="1:21" ht="18" customHeight="1">
      <c r="A34" s="118"/>
      <c r="B34" s="118"/>
      <c r="C34" s="118"/>
      <c r="D34" s="133">
        <v>8</v>
      </c>
      <c r="E34" s="128">
        <v>1311.08</v>
      </c>
      <c r="F34" s="118" t="s">
        <v>21</v>
      </c>
      <c r="G34" s="118"/>
      <c r="H34" s="119">
        <f>IFERROR(VLOOKUP(E34,TBJan23!$A$8:F180,5,0),0)</f>
        <v>548986924.90999997</v>
      </c>
      <c r="I34" s="119">
        <f>VLOOKUP(E34,'TBFeb23 '!$A15:E179,5,0)</f>
        <v>152394018.69999999</v>
      </c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23">
        <f t="shared" si="1"/>
        <v>701380943.6099999</v>
      </c>
    </row>
    <row r="35" spans="1:21" ht="18" customHeight="1" thickBot="1">
      <c r="A35" s="118"/>
      <c r="B35" s="118"/>
      <c r="C35" s="118"/>
      <c r="D35" s="133"/>
      <c r="E35" s="128"/>
      <c r="F35" s="117" t="s">
        <v>200</v>
      </c>
      <c r="G35" s="130"/>
      <c r="H35" s="132">
        <f>SUM(H27:H34)</f>
        <v>2271568719.3099999</v>
      </c>
      <c r="I35" s="132">
        <f>SUM(I27:I34)</f>
        <v>1777783727.5800002</v>
      </c>
      <c r="J35" s="132">
        <f>SUM(J27:J34)</f>
        <v>3296687420.5900002</v>
      </c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215">
        <f t="shared" si="1"/>
        <v>7346039867.4800005</v>
      </c>
    </row>
    <row r="36" spans="1:21" ht="18" customHeight="1" thickTop="1">
      <c r="A36" s="118"/>
      <c r="B36" s="118"/>
      <c r="C36" s="118"/>
      <c r="D36" s="133">
        <v>9</v>
      </c>
      <c r="E36" s="128">
        <v>1311.01</v>
      </c>
      <c r="F36" s="118" t="s">
        <v>201</v>
      </c>
      <c r="G36" s="118"/>
      <c r="H36" s="119">
        <f>IFERROR(VLOOKUP(E36,TBJan23!$A$8:H182,8,0),0)</f>
        <v>114864754.5</v>
      </c>
      <c r="I36" s="119">
        <f>VLOOKUP(E36,'TBFeb23 '!$A17:G181,7,0)</f>
        <v>33959100</v>
      </c>
      <c r="J36" s="119">
        <f>IFERROR(VLOOKUP(E36,TBMar23!$A$8:J177,7,0),0)</f>
        <v>110670399</v>
      </c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23">
        <f t="shared" si="1"/>
        <v>259494253.5</v>
      </c>
    </row>
    <row r="37" spans="1:21" ht="18" customHeight="1">
      <c r="A37" s="118"/>
      <c r="B37" s="118"/>
      <c r="C37" s="118"/>
      <c r="D37" s="133">
        <v>10</v>
      </c>
      <c r="E37" s="128">
        <v>1311.02</v>
      </c>
      <c r="F37" s="118" t="s">
        <v>202</v>
      </c>
      <c r="G37" s="118"/>
      <c r="H37" s="119">
        <f>IFERROR(VLOOKUP(E37,TBJan23!$A$8:H183,8,0),0)</f>
        <v>55245371.430000007</v>
      </c>
      <c r="I37" s="119">
        <f>VLOOKUP(E37,'TBFeb23 '!$A18:G182,7,0)</f>
        <v>26876000</v>
      </c>
      <c r="J37" s="119">
        <f>IFERROR(VLOOKUP(E37,TBMar23!$A$8:J178,7,0),0)</f>
        <v>36595199.99999994</v>
      </c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23">
        <f t="shared" si="1"/>
        <v>118716571.42999995</v>
      </c>
    </row>
    <row r="38" spans="1:21" ht="18" customHeight="1">
      <c r="A38" s="118"/>
      <c r="B38" s="118"/>
      <c r="C38" s="118"/>
      <c r="D38" s="133">
        <v>11</v>
      </c>
      <c r="E38" s="128">
        <v>1311.03</v>
      </c>
      <c r="F38" s="118" t="s">
        <v>203</v>
      </c>
      <c r="G38" s="118"/>
      <c r="H38" s="119">
        <f>IFERROR(VLOOKUP(E38,TBJan23!$A$8:H184,8,0),0)</f>
        <v>82195657.679999948</v>
      </c>
      <c r="I38" s="119">
        <f>VLOOKUP(E38,'TBFeb23 '!$A19:G183,7,0)</f>
        <v>81123072.359999895</v>
      </c>
      <c r="J38" s="119">
        <f>IFERROR(VLOOKUP(E38,TBMar23!$A$8:J179,7,0),0)</f>
        <v>83490125.75</v>
      </c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23">
        <f t="shared" si="1"/>
        <v>246808855.78999984</v>
      </c>
    </row>
    <row r="39" spans="1:21" ht="18" customHeight="1">
      <c r="A39" s="118"/>
      <c r="B39" s="118"/>
      <c r="C39" s="118"/>
      <c r="D39" s="133">
        <v>12</v>
      </c>
      <c r="E39" s="128">
        <v>1311.04</v>
      </c>
      <c r="F39" s="118" t="s">
        <v>204</v>
      </c>
      <c r="G39" s="118"/>
      <c r="H39" s="119">
        <f>IFERROR(VLOOKUP(E39,TBJan23!$A$8:H185,8,0),0)</f>
        <v>13905405</v>
      </c>
      <c r="I39" s="119">
        <f>VLOOKUP(E39,'TBFeb23 '!$A20:G184,7,0)</f>
        <v>5938546.25</v>
      </c>
      <c r="J39" s="119">
        <f>IFERROR(VLOOKUP(E39,TBMar23!$A$8:J180,7,0),0)</f>
        <v>12266953.810000002</v>
      </c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23">
        <f t="shared" si="1"/>
        <v>32110905.060000002</v>
      </c>
    </row>
    <row r="40" spans="1:21" ht="18" customHeight="1">
      <c r="A40" s="118"/>
      <c r="B40" s="118"/>
      <c r="C40" s="118"/>
      <c r="D40" s="133">
        <v>13</v>
      </c>
      <c r="E40" s="128">
        <v>1311.05</v>
      </c>
      <c r="F40" s="118" t="s">
        <v>205</v>
      </c>
      <c r="G40" s="118"/>
      <c r="H40" s="119">
        <f>IFERROR(VLOOKUP(E40,TBJan23!$A$8:H186,8,0),0)</f>
        <v>104776032</v>
      </c>
      <c r="I40" s="119">
        <f>VLOOKUP(E40,'TBFeb23 '!$A21:G185,7,0)</f>
        <v>40988700</v>
      </c>
      <c r="J40" s="119">
        <f>IFERROR(VLOOKUP(E40,TBMar23!$A$8:J181,7,0),0)</f>
        <v>29078641.200000048</v>
      </c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23">
        <f t="shared" si="1"/>
        <v>174843373.20000005</v>
      </c>
    </row>
    <row r="41" spans="1:21" ht="18" customHeight="1">
      <c r="A41" s="118"/>
      <c r="B41" s="118"/>
      <c r="C41" s="118"/>
      <c r="D41" s="133">
        <v>14</v>
      </c>
      <c r="E41" s="128">
        <v>1311.06</v>
      </c>
      <c r="F41" s="118" t="s">
        <v>206</v>
      </c>
      <c r="G41" s="118"/>
      <c r="H41" s="119">
        <f>IFERROR(VLOOKUP(E41,TBJan23!$A$8:H187,8,0),0)</f>
        <v>14025000.299999997</v>
      </c>
      <c r="I41" s="119">
        <f>VLOOKUP(E41,'TBFeb23 '!$A22:G186,7,0)</f>
        <v>10682924.999999996</v>
      </c>
      <c r="J41" s="119">
        <f>IFERROR(VLOOKUP(E41,TBMar23!$A$8:J182,7,0),0)</f>
        <v>20238375.960000001</v>
      </c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23">
        <f t="shared" si="1"/>
        <v>44946301.25999999</v>
      </c>
    </row>
    <row r="42" spans="1:21" ht="18" customHeight="1">
      <c r="A42" s="118"/>
      <c r="B42" s="118"/>
      <c r="C42" s="118"/>
      <c r="D42" s="133">
        <v>15</v>
      </c>
      <c r="E42" s="128">
        <v>1311.07</v>
      </c>
      <c r="F42" s="118" t="s">
        <v>135</v>
      </c>
      <c r="G42" s="118"/>
      <c r="H42" s="119">
        <f>IFERROR(VLOOKUP(E42,TBJan23!$A$8:H188,8,0),0)</f>
        <v>0</v>
      </c>
      <c r="I42" s="119">
        <f>VLOOKUP(E42,'TBFeb23 '!$A23:G187,7,0)</f>
        <v>0</v>
      </c>
      <c r="J42" s="119">
        <f>IFERROR(VLOOKUP(E42,TBMar23!$A$8:J183,7,0),0)</f>
        <v>127468016</v>
      </c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23">
        <f t="shared" si="1"/>
        <v>127468016</v>
      </c>
    </row>
    <row r="43" spans="1:21" ht="18" customHeight="1">
      <c r="A43" s="118"/>
      <c r="B43" s="118"/>
      <c r="C43" s="118"/>
      <c r="D43" s="133">
        <v>16</v>
      </c>
      <c r="E43" s="128">
        <v>1311.08</v>
      </c>
      <c r="F43" s="118" t="s">
        <v>21</v>
      </c>
      <c r="G43" s="118"/>
      <c r="H43" s="119">
        <f>IFERROR(VLOOKUP(E43,TBJan23!$A$8:H189,8,0),0)</f>
        <v>177854885.22999999</v>
      </c>
      <c r="I43" s="119">
        <f>VLOOKUP(E43,'TBFeb23 '!$A24:G188,7,0)</f>
        <v>161515295.99999994</v>
      </c>
      <c r="J43" s="119">
        <f>IFERROR(VLOOKUP(E43,TBMar23!$A$8:J184,7,0),0)</f>
        <v>0</v>
      </c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23">
        <f t="shared" si="1"/>
        <v>339370181.2299999</v>
      </c>
    </row>
    <row r="44" spans="1:21" ht="18" customHeight="1">
      <c r="A44" s="118"/>
      <c r="B44" s="118"/>
      <c r="C44" s="118"/>
      <c r="D44" s="118"/>
      <c r="E44" s="128"/>
      <c r="F44" s="129" t="s">
        <v>207</v>
      </c>
      <c r="G44" s="130"/>
      <c r="H44" s="132">
        <f>SUM(H36:H43)</f>
        <v>562867106.13999999</v>
      </c>
      <c r="I44" s="132">
        <f>SUM(I36:I43)</f>
        <v>361083639.60999984</v>
      </c>
      <c r="J44" s="132">
        <f>SUM(J36:J43)</f>
        <v>419807711.71999997</v>
      </c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217">
        <f t="shared" si="1"/>
        <v>1343758457.4699998</v>
      </c>
    </row>
    <row r="45" spans="1:21" ht="18" customHeight="1">
      <c r="A45" s="118"/>
      <c r="B45" s="118"/>
      <c r="C45" s="118"/>
      <c r="D45" s="118"/>
      <c r="E45" s="128"/>
      <c r="F45" s="117" t="s">
        <v>208</v>
      </c>
      <c r="G45" s="130"/>
      <c r="H45" s="27">
        <f>H26+H35-H44</f>
        <v>2124679193.2200007</v>
      </c>
      <c r="I45" s="27">
        <f>I26+I35-I44</f>
        <v>1979567194.1100004</v>
      </c>
      <c r="J45" s="27">
        <f>J26+J35-J44</f>
        <v>3237963348.48</v>
      </c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59">
        <f t="shared" si="1"/>
        <v>7342209735.8100014</v>
      </c>
    </row>
    <row r="46" spans="1:21" ht="18" customHeight="1">
      <c r="A46" s="118"/>
      <c r="B46" s="118"/>
      <c r="C46" s="118"/>
      <c r="D46" s="118"/>
      <c r="E46" s="128">
        <v>663.00009999999997</v>
      </c>
      <c r="F46" s="135" t="s">
        <v>249</v>
      </c>
      <c r="G46" s="130"/>
      <c r="H46" s="136">
        <f>-1184291.50000012</f>
        <v>-1184291.5000001199</v>
      </c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216">
        <f>SUM(H46:T46)</f>
        <v>-1184291.5000001199</v>
      </c>
    </row>
    <row r="47" spans="1:21" ht="18" customHeight="1">
      <c r="A47" s="118"/>
      <c r="B47" s="118"/>
      <c r="C47" s="118"/>
      <c r="D47" s="118"/>
      <c r="E47" s="128"/>
      <c r="F47" s="117" t="s">
        <v>209</v>
      </c>
      <c r="G47" s="118"/>
      <c r="H47" s="26">
        <f>SUM(H45:H46)</f>
        <v>2123494901.7200005</v>
      </c>
      <c r="I47" s="26">
        <f>SUM(I45:I46)</f>
        <v>1979567194.1100004</v>
      </c>
      <c r="J47" s="26">
        <f>SUM(J45:J46)</f>
        <v>3237963348.48</v>
      </c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24">
        <f t="shared" ref="U47:U67" si="2">SUM(H47:Q47)+SUM(S47+T47)</f>
        <v>7341025444.3100014</v>
      </c>
    </row>
    <row r="48" spans="1:21" ht="18" customHeight="1">
      <c r="A48" s="118"/>
      <c r="B48" s="118"/>
      <c r="C48" s="118"/>
      <c r="D48" s="118">
        <v>17</v>
      </c>
      <c r="E48" s="128">
        <v>1331.01</v>
      </c>
      <c r="F48" s="137" t="s">
        <v>210</v>
      </c>
      <c r="G48" s="138"/>
      <c r="H48" s="119">
        <f>IFERROR(VLOOKUP(E48,TBJan23!$A$8:E194,5,0),0)</f>
        <v>12600000</v>
      </c>
      <c r="I48" s="119">
        <f>VLOOKUP(E48,'TBFeb23 '!$A29:E193,5,0)</f>
        <v>13375000</v>
      </c>
      <c r="J48" s="119">
        <f>IFERROR(VLOOKUP(E48,TBMar23!$A$8:G189,5,0),0)</f>
        <v>18605000</v>
      </c>
      <c r="K48" s="119"/>
      <c r="L48" s="138"/>
      <c r="M48" s="138"/>
      <c r="N48" s="138"/>
      <c r="O48" s="138"/>
      <c r="P48" s="138"/>
      <c r="Q48" s="138"/>
      <c r="R48" s="138"/>
      <c r="S48" s="139"/>
      <c r="T48" s="139"/>
      <c r="U48" s="123">
        <f t="shared" si="2"/>
        <v>44580000</v>
      </c>
    </row>
    <row r="49" spans="1:21" ht="18" customHeight="1">
      <c r="A49" s="118"/>
      <c r="B49" s="118"/>
      <c r="C49" s="118"/>
      <c r="D49" s="118">
        <v>18</v>
      </c>
      <c r="E49" s="128">
        <v>1331.02</v>
      </c>
      <c r="F49" s="140" t="s">
        <v>211</v>
      </c>
      <c r="G49" s="138"/>
      <c r="H49" s="119">
        <f>IFERROR(VLOOKUP(E49,TBJan23!$A$8:E195,5,0),0)</f>
        <v>69439550</v>
      </c>
      <c r="I49" s="119">
        <f>VLOOKUP(E49,'TBFeb23 '!$A30:E194,5,0)</f>
        <v>24465000</v>
      </c>
      <c r="J49" s="119">
        <f>IFERROR(VLOOKUP(E49,TBMar23!$A$8:G190,5,0),0)</f>
        <v>42258000</v>
      </c>
      <c r="K49" s="119"/>
      <c r="L49" s="138"/>
      <c r="M49" s="138"/>
      <c r="N49" s="138"/>
      <c r="O49" s="138"/>
      <c r="P49" s="138"/>
      <c r="Q49" s="138"/>
      <c r="R49" s="138"/>
      <c r="S49" s="156"/>
      <c r="T49" s="156"/>
      <c r="U49" s="123">
        <f t="shared" si="2"/>
        <v>136162550</v>
      </c>
    </row>
    <row r="50" spans="1:21" ht="18" customHeight="1">
      <c r="A50" s="118"/>
      <c r="B50" s="118"/>
      <c r="C50" s="118"/>
      <c r="D50" s="118">
        <v>19</v>
      </c>
      <c r="E50" s="128">
        <v>1331.03</v>
      </c>
      <c r="F50" s="141" t="s">
        <v>122</v>
      </c>
      <c r="G50" s="138"/>
      <c r="H50" s="119">
        <f>IFERROR(VLOOKUP(E50,TBJan23!$A$8:E196,5,0),0)</f>
        <v>2251842.2400000002</v>
      </c>
      <c r="I50" s="119">
        <f>VLOOKUP(E50,'TBFeb23 '!$A31:E195,5,0)</f>
        <v>3264628.8</v>
      </c>
      <c r="J50" s="119">
        <f>IFERROR(VLOOKUP(E50,TBMar23!$A$8:G191,5,0),0)</f>
        <v>6331155.8600000003</v>
      </c>
      <c r="K50" s="119"/>
      <c r="L50" s="138"/>
      <c r="M50" s="138"/>
      <c r="N50" s="138"/>
      <c r="O50" s="138"/>
      <c r="P50" s="138"/>
      <c r="Q50" s="138"/>
      <c r="R50" s="138"/>
      <c r="S50" s="156"/>
      <c r="T50" s="156"/>
      <c r="U50" s="123">
        <f t="shared" si="2"/>
        <v>11847626.9</v>
      </c>
    </row>
    <row r="51" spans="1:21" ht="18" customHeight="1">
      <c r="A51" s="118"/>
      <c r="B51" s="118"/>
      <c r="C51" s="118"/>
      <c r="D51" s="118">
        <v>20</v>
      </c>
      <c r="E51" s="128">
        <v>1331.04</v>
      </c>
      <c r="F51" s="141" t="s">
        <v>212</v>
      </c>
      <c r="G51" s="138"/>
      <c r="H51" s="119">
        <f>IFERROR(VLOOKUP(E51,TBJan23!$A$8:E197,5,0),0)</f>
        <v>2793144.8</v>
      </c>
      <c r="I51" s="119">
        <f>VLOOKUP(E51,'TBFeb23 '!$A32:E196,5,0)</f>
        <v>2091143.2</v>
      </c>
      <c r="J51" s="119">
        <f>IFERROR(VLOOKUP(E51,TBMar23!$A$8:G192,5,0),0)</f>
        <v>8855917.1999999993</v>
      </c>
      <c r="K51" s="119"/>
      <c r="L51" s="138"/>
      <c r="M51" s="138"/>
      <c r="N51" s="138"/>
      <c r="O51" s="138"/>
      <c r="P51" s="138"/>
      <c r="Q51" s="138"/>
      <c r="R51" s="138"/>
      <c r="S51" s="156"/>
      <c r="T51" s="156"/>
      <c r="U51" s="123">
        <f t="shared" si="2"/>
        <v>13740205.199999999</v>
      </c>
    </row>
    <row r="52" spans="1:21" ht="18" customHeight="1">
      <c r="A52" s="118"/>
      <c r="B52" s="118"/>
      <c r="C52" s="118"/>
      <c r="D52" s="118">
        <v>21</v>
      </c>
      <c r="E52" s="128" t="s">
        <v>271</v>
      </c>
      <c r="F52" s="137" t="s">
        <v>213</v>
      </c>
      <c r="G52" s="138"/>
      <c r="H52" s="119">
        <f>IFERROR(VLOOKUP(E52,TBJan23!$A$8:E198,5,0),0)</f>
        <v>133780634.84</v>
      </c>
      <c r="I52" s="119">
        <f>VLOOKUP(E52,'TBFeb23 '!$A33:E197,5,0)</f>
        <v>78083504.170000002</v>
      </c>
      <c r="J52" s="119">
        <f>IFERROR(VLOOKUP(E52,TBMar23!$A$8:G193,5,0),0)</f>
        <v>102645418</v>
      </c>
      <c r="K52" s="119"/>
      <c r="L52" s="138"/>
      <c r="M52" s="138"/>
      <c r="N52" s="138"/>
      <c r="O52" s="138"/>
      <c r="P52" s="138"/>
      <c r="Q52" s="138"/>
      <c r="R52" s="138"/>
      <c r="S52" s="156"/>
      <c r="T52" s="156"/>
      <c r="U52" s="123">
        <f t="shared" si="2"/>
        <v>314509557.00999999</v>
      </c>
    </row>
    <row r="53" spans="1:21" ht="18" customHeight="1">
      <c r="A53" s="118"/>
      <c r="B53" s="118"/>
      <c r="C53" s="118"/>
      <c r="D53" s="118">
        <v>22</v>
      </c>
      <c r="E53" s="128" t="s">
        <v>273</v>
      </c>
      <c r="F53" s="137" t="s">
        <v>214</v>
      </c>
      <c r="G53" s="138"/>
      <c r="H53" s="119">
        <f>IFERROR(VLOOKUP(E53,TBJan23!$A$8:E199,5,0),0)</f>
        <v>39348972.259999998</v>
      </c>
      <c r="I53" s="119">
        <f>VLOOKUP(E53,'TBFeb23 '!$A34:E198,5,0)</f>
        <v>38996855.590000004</v>
      </c>
      <c r="J53" s="119">
        <f>IFERROR(VLOOKUP(E53,TBMar23!$A$8:G194,5,0),0)</f>
        <v>37675162.259999998</v>
      </c>
      <c r="K53" s="119"/>
      <c r="L53" s="138"/>
      <c r="M53" s="138"/>
      <c r="N53" s="138"/>
      <c r="O53" s="138"/>
      <c r="P53" s="138"/>
      <c r="Q53" s="138"/>
      <c r="R53" s="138"/>
      <c r="S53" s="156"/>
      <c r="T53" s="156"/>
      <c r="U53" s="123">
        <f t="shared" si="2"/>
        <v>116020990.10999998</v>
      </c>
    </row>
    <row r="54" spans="1:21" ht="18" customHeight="1">
      <c r="A54" s="118"/>
      <c r="B54" s="118"/>
      <c r="C54" s="118"/>
      <c r="D54" s="118">
        <v>23</v>
      </c>
      <c r="E54" s="128" t="s">
        <v>275</v>
      </c>
      <c r="F54" s="137" t="s">
        <v>276</v>
      </c>
      <c r="G54" s="138"/>
      <c r="H54" s="119">
        <f>IFERROR(VLOOKUP(E54,TBJan23!$A$8:E200,5,0),0)</f>
        <v>5957100</v>
      </c>
      <c r="I54" s="119">
        <f>VLOOKUP(E54,'TBFeb23 '!$A35:E199,5,0)</f>
        <v>5736300</v>
      </c>
      <c r="J54" s="119">
        <f>IFERROR(VLOOKUP(E54,TBMar23!$A$8:G197,5,0),0)</f>
        <v>5674200</v>
      </c>
      <c r="K54" s="119"/>
      <c r="L54" s="138"/>
      <c r="M54" s="138"/>
      <c r="N54" s="138"/>
      <c r="O54" s="138"/>
      <c r="P54" s="138"/>
      <c r="Q54" s="138"/>
      <c r="R54" s="138"/>
      <c r="S54" s="156"/>
      <c r="T54" s="156"/>
      <c r="U54" s="123">
        <f t="shared" si="2"/>
        <v>17367600</v>
      </c>
    </row>
    <row r="55" spans="1:21" ht="18" customHeight="1">
      <c r="A55" s="118"/>
      <c r="B55" s="118"/>
      <c r="C55" s="118"/>
      <c r="D55" s="118">
        <v>24</v>
      </c>
      <c r="E55" s="128" t="s">
        <v>315</v>
      </c>
      <c r="F55" s="137" t="s">
        <v>316</v>
      </c>
      <c r="G55" s="138"/>
      <c r="H55" s="119"/>
      <c r="I55" s="119">
        <f>VLOOKUP(E55,'TBFeb23 '!$A36:E200,5,0)</f>
        <v>550000</v>
      </c>
      <c r="J55" s="119">
        <f>IFERROR(VLOOKUP(E55,TBMar23!$A$8:G198,5,0),0)</f>
        <v>0</v>
      </c>
      <c r="K55" s="119"/>
      <c r="L55" s="138"/>
      <c r="M55" s="138"/>
      <c r="N55" s="138"/>
      <c r="O55" s="138"/>
      <c r="P55" s="138"/>
      <c r="Q55" s="138"/>
      <c r="R55" s="138"/>
      <c r="S55" s="156"/>
      <c r="T55" s="156"/>
      <c r="U55" s="123">
        <f t="shared" si="2"/>
        <v>550000</v>
      </c>
    </row>
    <row r="56" spans="1:21" ht="18" customHeight="1">
      <c r="A56" s="118"/>
      <c r="B56" s="118"/>
      <c r="C56" s="118"/>
      <c r="D56" s="118">
        <v>25</v>
      </c>
      <c r="E56" s="128" t="s">
        <v>277</v>
      </c>
      <c r="F56" s="137" t="s">
        <v>278</v>
      </c>
      <c r="G56" s="138"/>
      <c r="H56" s="119">
        <f>IFERROR(VLOOKUP(E56,TBJan23!$A$8:E201,5,0),0)</f>
        <v>66896000</v>
      </c>
      <c r="I56" s="119">
        <f>VLOOKUP(E56,'TBFeb23 '!$A37:E201,5,0)</f>
        <v>20550000</v>
      </c>
      <c r="J56" s="119">
        <f>IFERROR(VLOOKUP(E56,TBMar23!$A$8:G199,5,0),0)</f>
        <v>6208000</v>
      </c>
      <c r="K56" s="119"/>
      <c r="L56" s="138"/>
      <c r="M56" s="138"/>
      <c r="N56" s="138"/>
      <c r="O56" s="138"/>
      <c r="P56" s="138"/>
      <c r="Q56" s="138"/>
      <c r="R56" s="138"/>
      <c r="S56" s="156"/>
      <c r="T56" s="156"/>
      <c r="U56" s="123">
        <f t="shared" si="2"/>
        <v>93654000</v>
      </c>
    </row>
    <row r="57" spans="1:21" ht="18" customHeight="1">
      <c r="A57" s="118"/>
      <c r="B57" s="118"/>
      <c r="C57" s="118"/>
      <c r="D57" s="118">
        <v>26</v>
      </c>
      <c r="E57" s="128" t="s">
        <v>279</v>
      </c>
      <c r="F57" s="137" t="s">
        <v>280</v>
      </c>
      <c r="G57" s="138"/>
      <c r="H57" s="119">
        <f>IFERROR(VLOOKUP(E57,TBJan23!$A$8:E202,5,0),0)</f>
        <v>600000</v>
      </c>
      <c r="I57" s="119">
        <f>VLOOKUP(E57,'TBFeb23 '!$A37:E201,5,0)</f>
        <v>0</v>
      </c>
      <c r="J57" s="119">
        <f>IFERROR(VLOOKUP(E57,TBMar23!$A$8:G198,5,0),0)</f>
        <v>588000</v>
      </c>
      <c r="K57" s="119"/>
      <c r="L57" s="138"/>
      <c r="M57" s="138"/>
      <c r="N57" s="138"/>
      <c r="O57" s="138"/>
      <c r="P57" s="138"/>
      <c r="Q57" s="138"/>
      <c r="R57" s="138"/>
      <c r="S57" s="156"/>
      <c r="T57" s="156"/>
      <c r="U57" s="123">
        <f t="shared" si="2"/>
        <v>1188000</v>
      </c>
    </row>
    <row r="58" spans="1:21" ht="18" customHeight="1">
      <c r="A58" s="118"/>
      <c r="B58" s="118"/>
      <c r="C58" s="118"/>
      <c r="D58" s="118">
        <v>27</v>
      </c>
      <c r="E58" s="128" t="s">
        <v>281</v>
      </c>
      <c r="F58" s="137" t="s">
        <v>282</v>
      </c>
      <c r="G58" s="138"/>
      <c r="H58" s="119">
        <f>IFERROR(VLOOKUP(E58,TBJan23!$A$8:E203,5,0),0)</f>
        <v>5802122.9000000004</v>
      </c>
      <c r="I58" s="119">
        <f>VLOOKUP(E58,'TBFeb23 '!$A38:E202,5,0)</f>
        <v>6517581</v>
      </c>
      <c r="J58" s="119">
        <f>IFERROR(VLOOKUP(E58,TBMar23!$A$8:G199,5,0),0)</f>
        <v>23676417</v>
      </c>
      <c r="K58" s="119"/>
      <c r="L58" s="138"/>
      <c r="M58" s="138"/>
      <c r="N58" s="138"/>
      <c r="O58" s="138"/>
      <c r="P58" s="138"/>
      <c r="Q58" s="138"/>
      <c r="R58" s="138"/>
      <c r="S58" s="156"/>
      <c r="T58" s="156"/>
      <c r="U58" s="123">
        <f t="shared" si="2"/>
        <v>35996120.899999999</v>
      </c>
    </row>
    <row r="59" spans="1:21" ht="18" customHeight="1">
      <c r="A59" s="118"/>
      <c r="B59" s="118"/>
      <c r="C59" s="118"/>
      <c r="D59" s="118">
        <v>28</v>
      </c>
      <c r="E59" s="128" t="s">
        <v>283</v>
      </c>
      <c r="F59" s="137" t="s">
        <v>284</v>
      </c>
      <c r="G59" s="138"/>
      <c r="H59" s="119">
        <f>IFERROR(VLOOKUP(E59,TBJan23!$A$8:E204,5,0),0)</f>
        <v>20000</v>
      </c>
      <c r="I59" s="119">
        <f>VLOOKUP(E59,'TBFeb23 '!$A39:E203,5,0)</f>
        <v>0</v>
      </c>
      <c r="J59" s="119">
        <f>IFERROR(VLOOKUP(E59,TBMar23!$A$8:G200,5,0),0)</f>
        <v>0</v>
      </c>
      <c r="K59" s="119"/>
      <c r="L59" s="138"/>
      <c r="M59" s="138"/>
      <c r="N59" s="138"/>
      <c r="O59" s="138"/>
      <c r="P59" s="138"/>
      <c r="Q59" s="138"/>
      <c r="R59" s="138"/>
      <c r="S59" s="156"/>
      <c r="T59" s="156"/>
      <c r="U59" s="123">
        <f t="shared" si="2"/>
        <v>20000</v>
      </c>
    </row>
    <row r="60" spans="1:21" ht="18" customHeight="1">
      <c r="A60" s="118"/>
      <c r="B60" s="118"/>
      <c r="C60" s="118"/>
      <c r="D60" s="118">
        <v>29</v>
      </c>
      <c r="E60" s="128" t="s">
        <v>285</v>
      </c>
      <c r="F60" s="137" t="s">
        <v>246</v>
      </c>
      <c r="G60" s="138"/>
      <c r="H60" s="119">
        <f>IFERROR(VLOOKUP(E60,TBJan23!$A$8:E205,5,0),0)</f>
        <v>3570000</v>
      </c>
      <c r="I60" s="119">
        <f>VLOOKUP(E60,'TBFeb23 '!$A40:E204,5,0)</f>
        <v>300000</v>
      </c>
      <c r="J60" s="119">
        <f>IFERROR(VLOOKUP(E60,TBMar23!$A$8:G201,5,0),0)</f>
        <v>0</v>
      </c>
      <c r="K60" s="119"/>
      <c r="L60" s="138"/>
      <c r="M60" s="138"/>
      <c r="N60" s="138"/>
      <c r="O60" s="138"/>
      <c r="P60" s="138"/>
      <c r="Q60" s="138"/>
      <c r="R60" s="138"/>
      <c r="S60" s="156"/>
      <c r="T60" s="156"/>
      <c r="U60" s="123">
        <f t="shared" si="2"/>
        <v>3870000</v>
      </c>
    </row>
    <row r="61" spans="1:21" ht="18" customHeight="1">
      <c r="A61" s="118"/>
      <c r="B61" s="118"/>
      <c r="C61" s="118"/>
      <c r="D61" s="118">
        <v>30</v>
      </c>
      <c r="E61" s="128" t="s">
        <v>286</v>
      </c>
      <c r="F61" s="137" t="s">
        <v>242</v>
      </c>
      <c r="G61" s="138"/>
      <c r="H61" s="119">
        <f>IFERROR(VLOOKUP(E61,TBJan23!$A$8:E200,5,0),0)</f>
        <v>19380000</v>
      </c>
      <c r="I61" s="119">
        <f>VLOOKUP(E61,'TBFeb23 '!$A41:E205,5,0)</f>
        <v>17757000</v>
      </c>
      <c r="J61" s="119">
        <f>IFERROR(VLOOKUP(E61,TBMar23!$A$8:G202,5,0),0)</f>
        <v>72415572.060000002</v>
      </c>
      <c r="K61" s="119"/>
      <c r="L61" s="138"/>
      <c r="M61" s="138"/>
      <c r="N61" s="138"/>
      <c r="O61" s="138"/>
      <c r="P61" s="138"/>
      <c r="Q61" s="138"/>
      <c r="R61" s="138"/>
      <c r="S61" s="156"/>
      <c r="T61" s="156"/>
      <c r="U61" s="123">
        <f t="shared" si="2"/>
        <v>109552572.06</v>
      </c>
    </row>
    <row r="62" spans="1:21" ht="18" customHeight="1">
      <c r="A62" s="118"/>
      <c r="B62" s="118"/>
      <c r="C62" s="118"/>
      <c r="D62" s="118">
        <v>31</v>
      </c>
      <c r="E62" s="128" t="s">
        <v>310</v>
      </c>
      <c r="F62" s="137" t="s">
        <v>317</v>
      </c>
      <c r="G62" s="138"/>
      <c r="H62" s="119"/>
      <c r="I62" s="119">
        <f>VLOOKUP(E62,'TBFeb23 '!$A42:E206,5,0)</f>
        <v>332500</v>
      </c>
      <c r="J62" s="119">
        <f>IFERROR(VLOOKUP(E62,TBMar23!$A$8:G203,5,0),0)</f>
        <v>2562250</v>
      </c>
      <c r="K62" s="119"/>
      <c r="L62" s="138"/>
      <c r="M62" s="138"/>
      <c r="N62" s="138"/>
      <c r="O62" s="138"/>
      <c r="P62" s="138"/>
      <c r="Q62" s="138"/>
      <c r="R62" s="138"/>
      <c r="S62" s="205"/>
      <c r="T62" s="205"/>
      <c r="U62" s="123">
        <f t="shared" si="2"/>
        <v>2894750</v>
      </c>
    </row>
    <row r="63" spans="1:21" ht="18" customHeight="1">
      <c r="A63" s="118"/>
      <c r="B63" s="118"/>
      <c r="C63" s="118"/>
      <c r="D63" s="118">
        <v>32</v>
      </c>
      <c r="E63" s="128" t="s">
        <v>318</v>
      </c>
      <c r="F63" s="137" t="s">
        <v>312</v>
      </c>
      <c r="G63" s="138"/>
      <c r="H63" s="119"/>
      <c r="I63" s="119">
        <f>VLOOKUP(E63,'TBFeb23 '!$A43:E207,5,0)</f>
        <v>4490000</v>
      </c>
      <c r="J63" s="119">
        <f>IFERROR(VLOOKUP(E63,TBMar23!$A$8:G204,5,0),0)</f>
        <v>0</v>
      </c>
      <c r="K63" s="119"/>
      <c r="L63" s="138"/>
      <c r="M63" s="138"/>
      <c r="N63" s="138"/>
      <c r="O63" s="138"/>
      <c r="P63" s="138"/>
      <c r="Q63" s="138"/>
      <c r="R63" s="138"/>
      <c r="S63" s="205"/>
      <c r="T63" s="205"/>
      <c r="U63" s="123">
        <f t="shared" si="2"/>
        <v>4490000</v>
      </c>
    </row>
    <row r="64" spans="1:21" ht="18" customHeight="1">
      <c r="A64" s="118"/>
      <c r="B64" s="118"/>
      <c r="C64" s="118"/>
      <c r="D64" s="118">
        <v>33</v>
      </c>
      <c r="E64" s="128" t="s">
        <v>311</v>
      </c>
      <c r="F64" s="137" t="s">
        <v>319</v>
      </c>
      <c r="G64" s="138"/>
      <c r="H64" s="119"/>
      <c r="I64" s="119">
        <f>VLOOKUP(E64,'TBFeb23 '!$A44:E208,5,0)</f>
        <v>12615380</v>
      </c>
      <c r="J64" s="119">
        <f>IFERROR(VLOOKUP(E64,TBMar23!$A$8:G205,5,0),0)</f>
        <v>0</v>
      </c>
      <c r="K64" s="119"/>
      <c r="L64" s="138"/>
      <c r="M64" s="138"/>
      <c r="N64" s="138"/>
      <c r="O64" s="138"/>
      <c r="P64" s="138"/>
      <c r="Q64" s="138"/>
      <c r="R64" s="138"/>
      <c r="S64" s="205"/>
      <c r="T64" s="205"/>
      <c r="U64" s="123">
        <f t="shared" si="2"/>
        <v>12615380</v>
      </c>
    </row>
    <row r="65" spans="1:21" ht="18" customHeight="1">
      <c r="A65" s="118"/>
      <c r="B65" s="118"/>
      <c r="C65" s="118"/>
      <c r="D65" s="118">
        <v>34</v>
      </c>
      <c r="E65" s="128" t="s">
        <v>334</v>
      </c>
      <c r="F65" s="137" t="s">
        <v>341</v>
      </c>
      <c r="G65" s="138"/>
      <c r="H65" s="119"/>
      <c r="I65" s="119"/>
      <c r="J65" s="119">
        <f>IFERROR(VLOOKUP(E65,TBMar23!$A$8:G206,5,0),0)</f>
        <v>13140000</v>
      </c>
      <c r="K65" s="119"/>
      <c r="L65" s="138"/>
      <c r="M65" s="138"/>
      <c r="N65" s="138"/>
      <c r="O65" s="138"/>
      <c r="P65" s="138"/>
      <c r="Q65" s="138"/>
      <c r="R65" s="138"/>
      <c r="S65" s="205"/>
      <c r="T65" s="205"/>
      <c r="U65" s="123">
        <f t="shared" si="2"/>
        <v>13140000</v>
      </c>
    </row>
    <row r="66" spans="1:21" ht="18" customHeight="1">
      <c r="A66" s="118"/>
      <c r="B66" s="118"/>
      <c r="C66" s="118"/>
      <c r="D66" s="118">
        <v>35</v>
      </c>
      <c r="E66" s="128" t="s">
        <v>335</v>
      </c>
      <c r="F66" s="137" t="s">
        <v>342</v>
      </c>
      <c r="G66" s="138"/>
      <c r="H66" s="119"/>
      <c r="I66" s="119"/>
      <c r="J66" s="119">
        <f>IFERROR(VLOOKUP(E66,TBMar23!$A$8:G207,5,0),0)</f>
        <v>3000000</v>
      </c>
      <c r="K66" s="119"/>
      <c r="L66" s="138"/>
      <c r="M66" s="138"/>
      <c r="N66" s="138"/>
      <c r="O66" s="138"/>
      <c r="P66" s="138"/>
      <c r="Q66" s="138"/>
      <c r="R66" s="138"/>
      <c r="S66" s="205"/>
      <c r="T66" s="205"/>
      <c r="U66" s="123">
        <f t="shared" si="2"/>
        <v>3000000</v>
      </c>
    </row>
    <row r="67" spans="1:21" ht="18" customHeight="1">
      <c r="A67" s="118"/>
      <c r="B67" s="118"/>
      <c r="C67" s="118"/>
      <c r="D67" s="118">
        <v>36</v>
      </c>
      <c r="E67" s="128" t="s">
        <v>3</v>
      </c>
      <c r="F67" s="137" t="s">
        <v>241</v>
      </c>
      <c r="G67" s="119"/>
      <c r="H67" s="119">
        <f>IFERROR(VLOOKUP(E67,TBJan23!$A$8:E201,5,0),0)</f>
        <v>0</v>
      </c>
      <c r="I67" s="119">
        <v>0</v>
      </c>
      <c r="J67" s="119">
        <f>IFERROR(VLOOKUP(E67,TBMar23!$A$8:G208,5,0),0)</f>
        <v>0</v>
      </c>
      <c r="K67" s="119"/>
      <c r="L67" s="138"/>
      <c r="M67" s="138"/>
      <c r="N67" s="138"/>
      <c r="O67" s="138"/>
      <c r="P67" s="138"/>
      <c r="Q67" s="138"/>
      <c r="R67" s="138"/>
      <c r="S67" s="139"/>
      <c r="T67" s="139"/>
      <c r="U67" s="123">
        <f t="shared" si="2"/>
        <v>0</v>
      </c>
    </row>
    <row r="68" spans="1:21" ht="18" customHeight="1">
      <c r="A68" s="118"/>
      <c r="B68" s="118"/>
      <c r="C68" s="118"/>
      <c r="D68" s="118"/>
      <c r="E68" s="128"/>
      <c r="F68" s="117" t="s">
        <v>215</v>
      </c>
      <c r="G68" s="118"/>
      <c r="H68" s="124">
        <f>SUM(H48:H67)</f>
        <v>362439367.03999996</v>
      </c>
      <c r="I68" s="124">
        <f>SUM(I48:I67)</f>
        <v>229124892.75999999</v>
      </c>
      <c r="J68" s="124">
        <f>SUM(J48:J67)</f>
        <v>343635092.38</v>
      </c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>
        <f>SUM(H68:Q68)+SUM(S68+T68)</f>
        <v>935199352.17999995</v>
      </c>
    </row>
    <row r="69" spans="1:21" ht="18" customHeight="1">
      <c r="A69" s="118"/>
      <c r="B69" s="118"/>
      <c r="C69" s="118"/>
      <c r="D69" s="118"/>
      <c r="E69" s="128">
        <v>1111</v>
      </c>
      <c r="F69" s="118" t="s">
        <v>216</v>
      </c>
      <c r="G69" s="118"/>
      <c r="H69" s="157">
        <v>0</v>
      </c>
      <c r="I69" s="119">
        <v>0</v>
      </c>
      <c r="J69" s="119">
        <v>0</v>
      </c>
      <c r="K69" s="143"/>
      <c r="L69" s="143"/>
      <c r="M69" s="143"/>
      <c r="N69" s="143"/>
      <c r="O69" s="143"/>
      <c r="P69" s="143"/>
      <c r="Q69" s="143"/>
      <c r="R69" s="143"/>
      <c r="S69" s="119"/>
      <c r="T69" s="119"/>
      <c r="U69" s="216">
        <f>SUM(H69:T69)</f>
        <v>0</v>
      </c>
    </row>
    <row r="70" spans="1:21" ht="18" customHeight="1">
      <c r="A70" s="118"/>
      <c r="B70" s="118"/>
      <c r="C70" s="118"/>
      <c r="D70" s="118"/>
      <c r="E70" s="128"/>
      <c r="F70" s="118" t="s">
        <v>101</v>
      </c>
      <c r="G70" s="118"/>
      <c r="H70" s="119">
        <v>0</v>
      </c>
      <c r="I70" s="119">
        <v>0</v>
      </c>
      <c r="J70" s="119">
        <v>0</v>
      </c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216">
        <f>SUM(H70:T70)</f>
        <v>0</v>
      </c>
    </row>
    <row r="71" spans="1:21" ht="18" customHeight="1">
      <c r="A71" s="118"/>
      <c r="B71" s="118"/>
      <c r="C71" s="118"/>
      <c r="D71" s="118"/>
      <c r="E71" s="128"/>
      <c r="F71" s="117" t="s">
        <v>217</v>
      </c>
      <c r="G71" s="118"/>
      <c r="H71" s="25">
        <f>H69+H70</f>
        <v>0</v>
      </c>
      <c r="I71" s="206">
        <f>I69+I70</f>
        <v>0</v>
      </c>
      <c r="J71" s="206">
        <f>J69+J70</f>
        <v>0</v>
      </c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218">
        <f>SUM(H71:Q71)+SUM(S71+T71)</f>
        <v>0</v>
      </c>
    </row>
    <row r="72" spans="1:21" s="17" customFormat="1" ht="18" customHeight="1">
      <c r="A72" s="117"/>
      <c r="B72" s="117"/>
      <c r="C72" s="117" t="s">
        <v>218</v>
      </c>
      <c r="D72" s="117"/>
      <c r="E72" s="122"/>
      <c r="F72" s="117"/>
      <c r="G72" s="117"/>
      <c r="H72" s="28">
        <f>H47+H68</f>
        <v>2485934268.7600002</v>
      </c>
      <c r="I72" s="28">
        <f>I47+I68</f>
        <v>2208692086.8700004</v>
      </c>
      <c r="J72" s="28">
        <f>J47+J68</f>
        <v>3581598440.8600001</v>
      </c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59">
        <f>SUM(H72:Q72)+SUM(S72+T72)</f>
        <v>8276224796.4900017</v>
      </c>
    </row>
    <row r="73" spans="1:21" s="17" customFormat="1" ht="18" customHeight="1">
      <c r="A73" s="117"/>
      <c r="B73" s="117" t="s">
        <v>102</v>
      </c>
      <c r="C73" s="117"/>
      <c r="D73" s="117"/>
      <c r="E73" s="122">
        <v>100</v>
      </c>
      <c r="F73" s="117"/>
      <c r="G73" s="117"/>
      <c r="H73" s="158">
        <f>H14-H72</f>
        <v>820934985.0199995</v>
      </c>
      <c r="I73" s="158">
        <f>I14-I72</f>
        <v>767747671.92999983</v>
      </c>
      <c r="J73" s="158">
        <f>J14-J72</f>
        <v>969747767.50999975</v>
      </c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219">
        <f>SUM(H73:Q73)+SUM(S73+T73)</f>
        <v>2558430424.4599991</v>
      </c>
    </row>
    <row r="74" spans="1:21" ht="18" customHeight="1">
      <c r="A74" s="118"/>
      <c r="B74" s="118"/>
      <c r="C74" s="118"/>
      <c r="D74" s="118"/>
      <c r="E74" s="128"/>
      <c r="F74" s="118"/>
      <c r="G74" s="118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25"/>
    </row>
    <row r="75" spans="1:21" s="19" customFormat="1" ht="18" customHeight="1">
      <c r="A75" s="118"/>
      <c r="B75" s="118"/>
      <c r="C75" s="117" t="s">
        <v>219</v>
      </c>
      <c r="D75" s="117"/>
      <c r="E75" s="128"/>
      <c r="F75" s="118"/>
      <c r="G75" s="118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25"/>
    </row>
    <row r="76" spans="1:21" s="19" customFormat="1" ht="18" customHeight="1">
      <c r="A76" s="118"/>
      <c r="B76" s="118"/>
      <c r="C76" s="117"/>
      <c r="D76" s="117" t="s">
        <v>103</v>
      </c>
      <c r="E76" s="128"/>
      <c r="F76" s="118"/>
      <c r="G76" s="118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25">
        <f>SUM(H76:S76)</f>
        <v>0</v>
      </c>
    </row>
    <row r="77" spans="1:21" s="19" customFormat="1" ht="18" customHeight="1">
      <c r="A77" s="118"/>
      <c r="B77" s="118"/>
      <c r="C77" s="118"/>
      <c r="D77" s="118"/>
      <c r="E77" s="128">
        <v>606.01</v>
      </c>
      <c r="F77" s="118" t="s">
        <v>67</v>
      </c>
      <c r="G77" s="148"/>
      <c r="H77" s="119">
        <f>IFERROR(VLOOKUP(E77,TBJan23!$A$8:E217,5,0),0)</f>
        <v>3421046.4</v>
      </c>
      <c r="I77" s="119">
        <f>VLOOKUP(E77,'TBFeb23 '!$A55:E219,5,0)</f>
        <v>4978086.08</v>
      </c>
      <c r="J77" s="119">
        <f>IFERROR(VLOOKUP(E77,TBMar23!$A$8:G212,5,0),0)</f>
        <v>3628965.02</v>
      </c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23">
        <f t="shared" ref="U77:U121" si="3">SUM(H77:Q77)+SUM(S77+T77)</f>
        <v>12028097.5</v>
      </c>
    </row>
    <row r="78" spans="1:21" s="19" customFormat="1" ht="18" customHeight="1">
      <c r="A78" s="118"/>
      <c r="B78" s="118"/>
      <c r="C78" s="118"/>
      <c r="D78" s="118"/>
      <c r="E78" s="128">
        <v>606.02</v>
      </c>
      <c r="F78" s="118" t="s">
        <v>68</v>
      </c>
      <c r="G78" s="148"/>
      <c r="H78" s="119">
        <f>IFERROR(VLOOKUP(E78,TBJan23!$A$8:E218,5,0),0)</f>
        <v>516000</v>
      </c>
      <c r="I78" s="119">
        <f>VLOOKUP(E78,'TBFeb23 '!$A56:E220,5,0)</f>
        <v>1004000</v>
      </c>
      <c r="J78" s="119">
        <f>IFERROR(VLOOKUP(E78,TBMar23!$A$8:G213,5,0),0)</f>
        <v>598500</v>
      </c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23">
        <f t="shared" si="3"/>
        <v>2118500</v>
      </c>
    </row>
    <row r="79" spans="1:21" s="19" customFormat="1" ht="18" customHeight="1">
      <c r="A79" s="118"/>
      <c r="B79" s="118"/>
      <c r="C79" s="118"/>
      <c r="D79" s="118"/>
      <c r="E79" s="128">
        <v>606.03</v>
      </c>
      <c r="F79" s="118" t="s">
        <v>69</v>
      </c>
      <c r="G79" s="148"/>
      <c r="H79" s="119">
        <f>IFERROR(VLOOKUP(E79,TBJan23!$A$8:E219,5,0),0)</f>
        <v>16464054.189999999</v>
      </c>
      <c r="I79" s="119">
        <f>VLOOKUP(E79,'TBFeb23 '!$A57:E221,5,0)</f>
        <v>10900000</v>
      </c>
      <c r="J79" s="119">
        <f>IFERROR(VLOOKUP(E79,TBMar23!$A$8:G214,5,0),0)</f>
        <v>12300000</v>
      </c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23">
        <f t="shared" si="3"/>
        <v>39664054.189999998</v>
      </c>
    </row>
    <row r="80" spans="1:21" s="19" customFormat="1" ht="18" customHeight="1">
      <c r="A80" s="118"/>
      <c r="B80" s="118"/>
      <c r="C80" s="118"/>
      <c r="D80" s="118"/>
      <c r="E80" s="128">
        <v>606.04</v>
      </c>
      <c r="F80" s="118" t="s">
        <v>70</v>
      </c>
      <c r="G80" s="148"/>
      <c r="H80" s="119">
        <f>IFERROR(VLOOKUP(E80,TBJan23!$A$8:E220,5,0),0)</f>
        <v>3979600</v>
      </c>
      <c r="I80" s="119">
        <f>VLOOKUP(E80,'TBFeb23 '!$A58:E222,5,0)</f>
        <v>4270500</v>
      </c>
      <c r="J80" s="119">
        <f>IFERROR(VLOOKUP(E80,TBMar23!$A$8:G215,5,0),0)</f>
        <v>2511000</v>
      </c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23">
        <f t="shared" si="3"/>
        <v>10761100</v>
      </c>
    </row>
    <row r="81" spans="1:21" s="19" customFormat="1" ht="18" customHeight="1">
      <c r="A81" s="118"/>
      <c r="B81" s="118"/>
      <c r="C81" s="118"/>
      <c r="D81" s="118"/>
      <c r="E81" s="128">
        <v>606.04999999999995</v>
      </c>
      <c r="F81" s="118" t="s">
        <v>71</v>
      </c>
      <c r="G81" s="148"/>
      <c r="H81" s="119">
        <f>IFERROR(VLOOKUP(E81,TBJan23!$A$8:E221,5,0),0)</f>
        <v>0</v>
      </c>
      <c r="I81" s="119">
        <f>VLOOKUP(E81,'TBFeb23 '!$A59:E223,5,0)</f>
        <v>0</v>
      </c>
      <c r="J81" s="119">
        <f>IFERROR(VLOOKUP(E81,TBMar23!$A$8:G216,5,0),0)</f>
        <v>150000</v>
      </c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23">
        <f t="shared" si="3"/>
        <v>150000</v>
      </c>
    </row>
    <row r="82" spans="1:21" s="19" customFormat="1" ht="18" customHeight="1">
      <c r="A82" s="118"/>
      <c r="B82" s="118"/>
      <c r="C82" s="118"/>
      <c r="D82" s="118"/>
      <c r="E82" s="128">
        <v>606.05999999999995</v>
      </c>
      <c r="F82" s="118" t="s">
        <v>323</v>
      </c>
      <c r="G82" s="148"/>
      <c r="H82" s="119"/>
      <c r="I82" s="119">
        <f>VLOOKUP(E82,'TBFeb23 '!$A60:E224,5,0)</f>
        <v>680000</v>
      </c>
      <c r="J82" s="119">
        <f>IFERROR(VLOOKUP(E82,TBMar23!$A$8:G217,5,0),0)</f>
        <v>8475000</v>
      </c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23">
        <f t="shared" si="3"/>
        <v>9155000</v>
      </c>
    </row>
    <row r="83" spans="1:21" s="19" customFormat="1" ht="18" customHeight="1">
      <c r="A83" s="118"/>
      <c r="B83" s="118"/>
      <c r="C83" s="118"/>
      <c r="D83" s="118"/>
      <c r="E83" s="128">
        <v>611.01</v>
      </c>
      <c r="F83" s="118" t="s">
        <v>220</v>
      </c>
      <c r="G83" s="148"/>
      <c r="H83" s="119">
        <f>IFERROR(VLOOKUP(E83,TBJan23!$A$8:E222,5,0),0)</f>
        <v>19466050</v>
      </c>
      <c r="I83" s="119">
        <f>VLOOKUP(E83,'TBFeb23 '!$A60:E224,5,0)</f>
        <v>8471500</v>
      </c>
      <c r="J83" s="119">
        <f>IFERROR(VLOOKUP(E83,TBMar23!$A$8:G218,5,0),0)</f>
        <v>0</v>
      </c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23">
        <f t="shared" si="3"/>
        <v>27937550</v>
      </c>
    </row>
    <row r="84" spans="1:21" s="19" customFormat="1" ht="18" customHeight="1">
      <c r="A84" s="118"/>
      <c r="B84" s="118"/>
      <c r="C84" s="118"/>
      <c r="D84" s="118"/>
      <c r="E84" s="128">
        <v>611.02</v>
      </c>
      <c r="F84" s="118" t="s">
        <v>73</v>
      </c>
      <c r="G84" s="148"/>
      <c r="H84" s="119">
        <f>IFERROR(VLOOKUP(E84,TBJan23!$A$8:E223,5,0),0)</f>
        <v>0</v>
      </c>
      <c r="I84" s="119">
        <f>VLOOKUP(E84,'TBFeb23 '!$A61:E225,5,0)</f>
        <v>0</v>
      </c>
      <c r="J84" s="119">
        <f>IFERROR(VLOOKUP(E84,TBMar23!$A$8:G219,5,0),0)</f>
        <v>4485981</v>
      </c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23">
        <f t="shared" si="3"/>
        <v>4485981</v>
      </c>
    </row>
    <row r="85" spans="1:21" s="19" customFormat="1" ht="18" customHeight="1">
      <c r="A85" s="118"/>
      <c r="B85" s="118"/>
      <c r="C85" s="118"/>
      <c r="D85" s="118"/>
      <c r="E85" s="128">
        <v>611.03</v>
      </c>
      <c r="F85" s="118" t="s">
        <v>104</v>
      </c>
      <c r="G85" s="148"/>
      <c r="H85" s="119">
        <f>IFERROR(VLOOKUP(E85,TBJan23!$A$8:E224,5,0),0)</f>
        <v>0</v>
      </c>
      <c r="I85" s="119">
        <f>VLOOKUP(E85,'TBFeb23 '!$A62:E226,5,0)</f>
        <v>0</v>
      </c>
      <c r="J85" s="119">
        <f>IFERROR(VLOOKUP(E85,TBMar23!$A$8:G220,5,0),0)</f>
        <v>0</v>
      </c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23">
        <f t="shared" si="3"/>
        <v>0</v>
      </c>
    </row>
    <row r="86" spans="1:21" s="19" customFormat="1" ht="18" customHeight="1">
      <c r="A86" s="118"/>
      <c r="B86" s="118"/>
      <c r="C86" s="118"/>
      <c r="D86" s="118"/>
      <c r="E86" s="128">
        <v>611.04</v>
      </c>
      <c r="F86" s="118" t="s">
        <v>221</v>
      </c>
      <c r="G86" s="148"/>
      <c r="H86" s="119">
        <f>IFERROR(VLOOKUP(E86,TBJan23!$A$8:E225,5,0),0)</f>
        <v>17874912</v>
      </c>
      <c r="I86" s="119">
        <f>VLOOKUP(E86,'TBFeb23 '!$A63:E227,5,0)</f>
        <v>13554400</v>
      </c>
      <c r="J86" s="119">
        <f>IFERROR(VLOOKUP(E86,TBMar23!$A$8:G221,5,0),0)</f>
        <v>13560000</v>
      </c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23">
        <f t="shared" si="3"/>
        <v>44989312</v>
      </c>
    </row>
    <row r="87" spans="1:21" s="19" customFormat="1" ht="18" customHeight="1">
      <c r="A87" s="118"/>
      <c r="B87" s="118"/>
      <c r="C87" s="118"/>
      <c r="D87" s="118"/>
      <c r="E87" s="128">
        <v>611.04999999999995</v>
      </c>
      <c r="F87" s="118" t="s">
        <v>105</v>
      </c>
      <c r="G87" s="148"/>
      <c r="H87" s="119">
        <f>IFERROR(VLOOKUP(E87,TBJan23!$A$8:E226,5,0),0)</f>
        <v>0</v>
      </c>
      <c r="I87" s="119">
        <f>VLOOKUP(E87,'TBFeb23 '!$A64:E228,5,0)</f>
        <v>0</v>
      </c>
      <c r="J87" s="119">
        <f>IFERROR(VLOOKUP(E87,TBMar23!$A$8:G222,5,0),0)</f>
        <v>0</v>
      </c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23">
        <f t="shared" si="3"/>
        <v>0</v>
      </c>
    </row>
    <row r="88" spans="1:21" s="19" customFormat="1" ht="18" customHeight="1">
      <c r="A88" s="118"/>
      <c r="B88" s="118"/>
      <c r="C88" s="118"/>
      <c r="D88" s="118"/>
      <c r="E88" s="128">
        <v>611.05999999999995</v>
      </c>
      <c r="F88" s="118" t="s">
        <v>74</v>
      </c>
      <c r="G88" s="148"/>
      <c r="H88" s="119">
        <f>IFERROR(VLOOKUP(E88,TBJan23!$A$8:E227,5,0),0)</f>
        <v>6770800</v>
      </c>
      <c r="I88" s="119">
        <f>VLOOKUP(E88,'TBFeb23 '!$A65:E229,5,0)</f>
        <v>0</v>
      </c>
      <c r="J88" s="119">
        <f>IFERROR(VLOOKUP(E88,TBMar23!$A$8:G223,5,0),0)</f>
        <v>0</v>
      </c>
      <c r="K88" s="119"/>
      <c r="L88" s="119"/>
      <c r="M88" s="119"/>
      <c r="N88" s="119"/>
      <c r="O88" s="119"/>
      <c r="P88" s="119"/>
      <c r="Q88" s="119"/>
      <c r="R88" s="119"/>
      <c r="S88" s="139"/>
      <c r="T88" s="119"/>
      <c r="U88" s="123">
        <f t="shared" si="3"/>
        <v>6770800</v>
      </c>
    </row>
    <row r="89" spans="1:21" s="19" customFormat="1" ht="18" customHeight="1">
      <c r="A89" s="118"/>
      <c r="B89" s="118"/>
      <c r="C89" s="118"/>
      <c r="D89" s="118"/>
      <c r="E89" s="128">
        <v>611.07000000000005</v>
      </c>
      <c r="F89" s="118" t="s">
        <v>222</v>
      </c>
      <c r="G89" s="148"/>
      <c r="H89" s="119">
        <f>IFERROR(VLOOKUP(E89,TBJan23!$A$8:E228,5,0),0)</f>
        <v>74630296.650000006</v>
      </c>
      <c r="I89" s="119">
        <f>VLOOKUP(E89,'TBFeb23 '!$A66:E230,5,0)</f>
        <v>0</v>
      </c>
      <c r="J89" s="119">
        <f>IFERROR(VLOOKUP(E89,TBMar23!$A$8:G224,5,0),0)</f>
        <v>0</v>
      </c>
      <c r="K89" s="119"/>
      <c r="L89" s="119"/>
      <c r="M89" s="119"/>
      <c r="N89" s="119"/>
      <c r="O89" s="119"/>
      <c r="P89" s="119"/>
      <c r="Q89" s="119"/>
      <c r="R89" s="119"/>
      <c r="S89" s="139"/>
      <c r="T89" s="119"/>
      <c r="U89" s="123">
        <f t="shared" si="3"/>
        <v>74630296.650000006</v>
      </c>
    </row>
    <row r="90" spans="1:21" s="19" customFormat="1" ht="18" customHeight="1">
      <c r="A90" s="118"/>
      <c r="B90" s="118"/>
      <c r="C90" s="118"/>
      <c r="D90" s="118"/>
      <c r="E90" s="128">
        <v>612</v>
      </c>
      <c r="F90" s="118" t="s">
        <v>106</v>
      </c>
      <c r="G90" s="148"/>
      <c r="H90" s="119">
        <f>IFERROR(VLOOKUP(E90,TBJan23!$A$8:E229,5,0),0)</f>
        <v>0</v>
      </c>
      <c r="I90" s="119">
        <v>0</v>
      </c>
      <c r="J90" s="119">
        <f>IFERROR(VLOOKUP(E90,TBMar23!$A$8:G225,5,0),0)</f>
        <v>0</v>
      </c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23">
        <f t="shared" si="3"/>
        <v>0</v>
      </c>
    </row>
    <row r="91" spans="1:21" s="24" customFormat="1" ht="18" customHeight="1">
      <c r="A91" s="118"/>
      <c r="B91" s="118"/>
      <c r="C91" s="118"/>
      <c r="D91" s="118"/>
      <c r="E91" s="128">
        <v>612.01</v>
      </c>
      <c r="F91" s="118" t="s">
        <v>75</v>
      </c>
      <c r="G91" s="148"/>
      <c r="H91" s="119">
        <f>IFERROR(VLOOKUP(E91,TBJan23!$A$8:E230,5,0),0)</f>
        <v>12052870.35</v>
      </c>
      <c r="I91" s="119">
        <f>VLOOKUP(E91,'TBFeb23 '!$A68:E232,5,0)</f>
        <v>12064263.15</v>
      </c>
      <c r="J91" s="119">
        <f>IFERROR(VLOOKUP(E91,TBMar23!$A$8:G226,5,0),0)</f>
        <v>12069247.5</v>
      </c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23">
        <f t="shared" si="3"/>
        <v>36186381</v>
      </c>
    </row>
    <row r="92" spans="1:21" s="19" customFormat="1" ht="18" customHeight="1">
      <c r="A92" s="118"/>
      <c r="B92" s="118"/>
      <c r="C92" s="118"/>
      <c r="D92" s="118"/>
      <c r="E92" s="128">
        <v>612.02</v>
      </c>
      <c r="F92" s="118" t="s">
        <v>76</v>
      </c>
      <c r="G92" s="138"/>
      <c r="H92" s="119">
        <f>IFERROR(VLOOKUP(E92,TBJan23!$A$8:E231,5,0),0)</f>
        <v>0</v>
      </c>
      <c r="I92" s="119">
        <f>VLOOKUP(E92,'TBFeb23 '!$A69:E233,5,0)</f>
        <v>0</v>
      </c>
      <c r="J92" s="119">
        <f>IFERROR(VLOOKUP(E92,TBMar23!$A$8:G227,5,0),0)</f>
        <v>0</v>
      </c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23">
        <f t="shared" si="3"/>
        <v>0</v>
      </c>
    </row>
    <row r="93" spans="1:21" s="24" customFormat="1" ht="18" customHeight="1">
      <c r="A93" s="118"/>
      <c r="B93" s="118"/>
      <c r="C93" s="118"/>
      <c r="D93" s="118"/>
      <c r="E93" s="128">
        <v>612.04</v>
      </c>
      <c r="F93" s="118" t="s">
        <v>77</v>
      </c>
      <c r="G93" s="138"/>
      <c r="H93" s="119">
        <f>IFERROR(VLOOKUP(E93,TBJan23!$A$8:E232,5,0),0)</f>
        <v>28894389</v>
      </c>
      <c r="I93" s="119">
        <f>VLOOKUP(E93,'TBFeb23 '!$A70:E234,5,0)</f>
        <v>28921701</v>
      </c>
      <c r="J93" s="119">
        <f>IFERROR(VLOOKUP(E93,TBMar23!$A$8:G228,5,0),0)</f>
        <v>28933650</v>
      </c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23">
        <f t="shared" si="3"/>
        <v>86749740</v>
      </c>
    </row>
    <row r="94" spans="1:21" s="24" customFormat="1" ht="18" customHeight="1">
      <c r="A94" s="118"/>
      <c r="B94" s="118"/>
      <c r="C94" s="118"/>
      <c r="D94" s="118"/>
      <c r="E94" s="128" t="s">
        <v>291</v>
      </c>
      <c r="F94" s="118" t="s">
        <v>292</v>
      </c>
      <c r="G94" s="138"/>
      <c r="H94" s="119">
        <f>IFERROR(VLOOKUP(E94,TBJan23!$A$8:E233,5,0),0)</f>
        <v>850000</v>
      </c>
      <c r="I94" s="119">
        <f>VLOOKUP(E94,'TBFeb23 '!$A71:E235,5,0)</f>
        <v>0</v>
      </c>
      <c r="J94" s="119">
        <f>IFERROR(VLOOKUP(E94,TBMar23!$A$8:G229,5,0),0)</f>
        <v>0</v>
      </c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23">
        <f t="shared" si="3"/>
        <v>850000</v>
      </c>
    </row>
    <row r="95" spans="1:21" s="19" customFormat="1" ht="18" customHeight="1">
      <c r="A95" s="118"/>
      <c r="B95" s="118"/>
      <c r="C95" s="118"/>
      <c r="D95" s="118"/>
      <c r="E95" s="128">
        <v>614.01</v>
      </c>
      <c r="F95" s="118" t="s">
        <v>78</v>
      </c>
      <c r="G95" s="148"/>
      <c r="H95" s="119">
        <f>IFERROR(VLOOKUP(E95,TBJan23!$A$8:E233,5,0),0)</f>
        <v>0</v>
      </c>
      <c r="I95" s="119">
        <f>VLOOKUP(E95,'TBFeb23 '!$A72:E236,5,0)</f>
        <v>300000</v>
      </c>
      <c r="J95" s="119">
        <f>IFERROR(VLOOKUP(E95,TBMar23!$A$8:G230,5,0),0)</f>
        <v>760000</v>
      </c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23">
        <f t="shared" si="3"/>
        <v>1060000</v>
      </c>
    </row>
    <row r="96" spans="1:21" s="19" customFormat="1" ht="18" customHeight="1">
      <c r="A96" s="118"/>
      <c r="B96" s="118"/>
      <c r="C96" s="118"/>
      <c r="D96" s="118"/>
      <c r="E96" s="128">
        <v>614.02</v>
      </c>
      <c r="F96" s="118" t="s">
        <v>79</v>
      </c>
      <c r="G96" s="148"/>
      <c r="H96" s="119">
        <f>IFERROR(VLOOKUP(E96,TBJan23!$A$8:E234,5,0),0)</f>
        <v>3071000</v>
      </c>
      <c r="I96" s="119">
        <f>VLOOKUP(E96,'TBFeb23 '!$A73:E237,5,0)</f>
        <v>320000</v>
      </c>
      <c r="J96" s="119">
        <f>IFERROR(VLOOKUP(E96,TBMar23!$A$8:G231,5,0),0)</f>
        <v>0</v>
      </c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23">
        <f t="shared" si="3"/>
        <v>3391000</v>
      </c>
    </row>
    <row r="97" spans="1:21" s="19" customFormat="1" ht="18" customHeight="1">
      <c r="A97" s="118"/>
      <c r="B97" s="118"/>
      <c r="C97" s="118"/>
      <c r="D97" s="118"/>
      <c r="E97" s="128">
        <v>614.03</v>
      </c>
      <c r="F97" s="118" t="s">
        <v>107</v>
      </c>
      <c r="G97" s="148"/>
      <c r="H97" s="119">
        <f>IFERROR(VLOOKUP(E97,TBJan23!$A$8:E235,5,0),0)</f>
        <v>0</v>
      </c>
      <c r="I97" s="119">
        <f>VLOOKUP(E97,'TBFeb23 '!$A74:E238,5,0)</f>
        <v>0</v>
      </c>
      <c r="J97" s="119">
        <f>IFERROR(VLOOKUP(E97,TBMar23!$A$8:G232,5,0),0)</f>
        <v>0</v>
      </c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23">
        <f t="shared" si="3"/>
        <v>0</v>
      </c>
    </row>
    <row r="98" spans="1:21" s="19" customFormat="1" ht="18" customHeight="1">
      <c r="A98" s="118"/>
      <c r="B98" s="118"/>
      <c r="C98" s="118"/>
      <c r="D98" s="118"/>
      <c r="E98" s="128">
        <v>615</v>
      </c>
      <c r="F98" s="118" t="s">
        <v>108</v>
      </c>
      <c r="G98" s="148"/>
      <c r="H98" s="119">
        <f>IFERROR(VLOOKUP(E98,TBJan23!$A$8:E236,5,0),0)</f>
        <v>0</v>
      </c>
      <c r="I98" s="119">
        <f>VLOOKUP(E98,'TBFeb23 '!$A75:E239,5,0)</f>
        <v>0</v>
      </c>
      <c r="J98" s="119">
        <f>IFERROR(VLOOKUP(E98,TBMar23!$A$8:G233,5,0),0)</f>
        <v>0</v>
      </c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23">
        <f t="shared" si="3"/>
        <v>0</v>
      </c>
    </row>
    <row r="99" spans="1:21" s="19" customFormat="1" ht="18" customHeight="1">
      <c r="A99" s="118"/>
      <c r="B99" s="118"/>
      <c r="C99" s="118"/>
      <c r="D99" s="118"/>
      <c r="E99" s="128">
        <v>618</v>
      </c>
      <c r="F99" s="118" t="s">
        <v>109</v>
      </c>
      <c r="G99" s="148"/>
      <c r="H99" s="119">
        <f>IFERROR(VLOOKUP(E99,TBJan23!$A$8:E237,5,0),0)</f>
        <v>0</v>
      </c>
      <c r="I99" s="119">
        <f>VLOOKUP(E99,'TBFeb23 '!$A76:E240,5,0)</f>
        <v>0</v>
      </c>
      <c r="J99" s="119">
        <f>IFERROR(VLOOKUP(E99,TBMar23!$A$8:G234,5,0),0)</f>
        <v>0</v>
      </c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23">
        <f t="shared" si="3"/>
        <v>0</v>
      </c>
    </row>
    <row r="100" spans="1:21" s="19" customFormat="1" ht="18" customHeight="1">
      <c r="A100" s="118"/>
      <c r="B100" s="118"/>
      <c r="C100" s="118"/>
      <c r="D100" s="118"/>
      <c r="E100" s="128">
        <v>621</v>
      </c>
      <c r="F100" s="118" t="s">
        <v>245</v>
      </c>
      <c r="G100" s="148"/>
      <c r="H100" s="119">
        <f>IFERROR(VLOOKUP(E100,TBJan23!$A$8:E238,5,0),0)</f>
        <v>1392922.83</v>
      </c>
      <c r="I100" s="119">
        <f>VLOOKUP(E100,'TBFeb23 '!$A77:E241,5,0)</f>
        <v>992859.8</v>
      </c>
      <c r="J100" s="119">
        <f>IFERROR(VLOOKUP(E100,TBMar23!$A$8:G235,5,0),0)</f>
        <v>70000</v>
      </c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23">
        <f t="shared" si="3"/>
        <v>2455782.63</v>
      </c>
    </row>
    <row r="101" spans="1:21" s="19" customFormat="1" ht="18" customHeight="1">
      <c r="A101" s="118"/>
      <c r="B101" s="118"/>
      <c r="C101" s="118"/>
      <c r="D101" s="118"/>
      <c r="E101" s="128" t="s">
        <v>337</v>
      </c>
      <c r="F101" s="118" t="s">
        <v>80</v>
      </c>
      <c r="G101" s="148"/>
      <c r="H101" s="119">
        <v>0</v>
      </c>
      <c r="I101" s="119">
        <v>0</v>
      </c>
      <c r="J101" s="119">
        <f>IFERROR(VLOOKUP(E101,TBMar23!$A$8:G236,5,0),0)</f>
        <v>600000</v>
      </c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23"/>
    </row>
    <row r="102" spans="1:21" s="19" customFormat="1" ht="17.399999999999999" customHeight="1">
      <c r="A102" s="118"/>
      <c r="B102" s="118"/>
      <c r="C102" s="118"/>
      <c r="D102" s="118"/>
      <c r="E102" s="128">
        <v>622.01</v>
      </c>
      <c r="F102" s="118" t="s">
        <v>80</v>
      </c>
      <c r="G102" s="148"/>
      <c r="H102" s="119">
        <f>IFERROR(VLOOKUP(E102,TBJan23!$A$8:E239,5,0),0)</f>
        <v>0</v>
      </c>
      <c r="I102" s="119">
        <f>VLOOKUP(E102,'TBFeb23 '!$A78:E242,5,0)</f>
        <v>1234000</v>
      </c>
      <c r="J102" s="119">
        <f>IFERROR(VLOOKUP(E102,TBMar23!$A$8:G237,5,0),0)</f>
        <v>700000</v>
      </c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23">
        <f t="shared" si="3"/>
        <v>1934000</v>
      </c>
    </row>
    <row r="103" spans="1:21" s="19" customFormat="1" ht="18" customHeight="1">
      <c r="A103" s="118"/>
      <c r="B103" s="118"/>
      <c r="C103" s="118"/>
      <c r="D103" s="118"/>
      <c r="E103" s="128">
        <v>623.01</v>
      </c>
      <c r="F103" s="118" t="s">
        <v>81</v>
      </c>
      <c r="G103" s="148"/>
      <c r="H103" s="119">
        <f>IFERROR(VLOOKUP(E103,TBJan23!$A$8:E240,5,0),0)</f>
        <v>1130442.46</v>
      </c>
      <c r="I103" s="119">
        <f>VLOOKUP(E103,'TBFeb23 '!$A79:E243,5,0)</f>
        <v>1069158.8799999999</v>
      </c>
      <c r="J103" s="119">
        <f>IFERROR(VLOOKUP(E103,TBMar23!$A$8:G238,5,0),0)</f>
        <v>1150000</v>
      </c>
      <c r="K103" s="119"/>
      <c r="L103" s="119"/>
      <c r="M103" s="119"/>
      <c r="N103" s="119"/>
      <c r="O103" s="119"/>
      <c r="P103" s="119"/>
      <c r="Q103" s="119"/>
      <c r="R103" s="119"/>
      <c r="S103" s="139"/>
      <c r="T103" s="119"/>
      <c r="U103" s="123">
        <f t="shared" si="3"/>
        <v>3349601.34</v>
      </c>
    </row>
    <row r="104" spans="1:21" s="24" customFormat="1" ht="18" customHeight="1">
      <c r="A104" s="118"/>
      <c r="B104" s="118"/>
      <c r="C104" s="118"/>
      <c r="D104" s="118"/>
      <c r="E104" s="128">
        <v>623.02</v>
      </c>
      <c r="F104" s="118" t="s">
        <v>82</v>
      </c>
      <c r="G104" s="148"/>
      <c r="H104" s="119">
        <f>IFERROR(VLOOKUP(E104,TBJan23!$A$8:E241,5,0),0)</f>
        <v>2635514</v>
      </c>
      <c r="I104" s="119">
        <f>VLOOKUP(E104,'TBFeb23 '!$A80:E244,5,0)</f>
        <v>0</v>
      </c>
      <c r="J104" s="119">
        <f>IFERROR(VLOOKUP(E104,TBMar23!$A$8:G239,5,0),0)</f>
        <v>0</v>
      </c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23">
        <f t="shared" si="3"/>
        <v>2635514</v>
      </c>
    </row>
    <row r="105" spans="1:21" s="19" customFormat="1" ht="18" customHeight="1">
      <c r="A105" s="118"/>
      <c r="B105" s="118"/>
      <c r="C105" s="118"/>
      <c r="D105" s="118"/>
      <c r="E105" s="128">
        <v>624</v>
      </c>
      <c r="F105" s="118" t="s">
        <v>83</v>
      </c>
      <c r="G105" s="148"/>
      <c r="H105" s="119">
        <f>IFERROR(VLOOKUP(E105,TBJan23!$A$8:E242,5,0),0)</f>
        <v>7365900</v>
      </c>
      <c r="I105" s="119">
        <f>VLOOKUP(E105,'TBFeb23 '!$A81:E245,5,0)</f>
        <v>0</v>
      </c>
      <c r="J105" s="119">
        <f>IFERROR(VLOOKUP(E105,TBMar23!$A$8:G240,5,0),0)</f>
        <v>0</v>
      </c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23">
        <f t="shared" si="3"/>
        <v>7365900</v>
      </c>
    </row>
    <row r="106" spans="1:21" s="19" customFormat="1" ht="18" customHeight="1">
      <c r="A106" s="118"/>
      <c r="B106" s="118"/>
      <c r="C106" s="118"/>
      <c r="D106" s="118"/>
      <c r="E106" s="128" t="s">
        <v>338</v>
      </c>
      <c r="F106" s="118" t="s">
        <v>344</v>
      </c>
      <c r="G106" s="148"/>
      <c r="H106" s="119"/>
      <c r="I106" s="119"/>
      <c r="J106" s="119">
        <f>IFERROR(VLOOKUP(E106,TBMar23!$A$8:G241,5,0),0)</f>
        <v>989475</v>
      </c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23"/>
    </row>
    <row r="107" spans="1:21" s="19" customFormat="1" ht="18" customHeight="1">
      <c r="A107" s="118"/>
      <c r="B107" s="118"/>
      <c r="C107" s="118"/>
      <c r="D107" s="118"/>
      <c r="E107" s="128">
        <v>625.01</v>
      </c>
      <c r="F107" s="118" t="s">
        <v>84</v>
      </c>
      <c r="G107" s="148"/>
      <c r="H107" s="119">
        <f>IFERROR(VLOOKUP(E107,TBJan23!$A$8:E243,5,0),0)</f>
        <v>0</v>
      </c>
      <c r="I107" s="119">
        <f>VLOOKUP(E107,'TBFeb23 '!$A82:E246,5,0)</f>
        <v>0</v>
      </c>
      <c r="J107" s="119">
        <f>IFERROR(VLOOKUP(E107,TBMar23!$A$8:G242,5,0),0)</f>
        <v>0</v>
      </c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23">
        <f t="shared" si="3"/>
        <v>0</v>
      </c>
    </row>
    <row r="108" spans="1:21" s="19" customFormat="1" ht="18" customHeight="1">
      <c r="A108" s="118"/>
      <c r="B108" s="118"/>
      <c r="C108" s="118"/>
      <c r="D108" s="118"/>
      <c r="E108" s="128">
        <v>625.02</v>
      </c>
      <c r="F108" s="118" t="s">
        <v>85</v>
      </c>
      <c r="G108" s="148"/>
      <c r="H108" s="119">
        <f>IFERROR(VLOOKUP(E108,TBJan23!$A$8:E244,5,0),0)</f>
        <v>5090000</v>
      </c>
      <c r="I108" s="119">
        <f>VLOOKUP(E108,'TBFeb23 '!$A83:E247,5,0)</f>
        <v>0</v>
      </c>
      <c r="J108" s="119">
        <f>IFERROR(VLOOKUP(E108,TBMar23!$A$8:G243,5,0),0)</f>
        <v>7249000</v>
      </c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23">
        <f t="shared" si="3"/>
        <v>12339000</v>
      </c>
    </row>
    <row r="109" spans="1:21" s="19" customFormat="1" ht="18" customHeight="1">
      <c r="A109" s="118"/>
      <c r="B109" s="118"/>
      <c r="C109" s="118"/>
      <c r="D109" s="118"/>
      <c r="E109" s="128">
        <v>625.03</v>
      </c>
      <c r="F109" s="118" t="s">
        <v>86</v>
      </c>
      <c r="G109" s="148"/>
      <c r="H109" s="119">
        <f>IFERROR(VLOOKUP(E109,TBJan23!$A$8:E245,5,0),0)</f>
        <v>0</v>
      </c>
      <c r="I109" s="119">
        <f>VLOOKUP(E109,'TBFeb23 '!$A84:E248,5,0)</f>
        <v>0</v>
      </c>
      <c r="J109" s="119">
        <f>IFERROR(VLOOKUP(E109,TBMar23!$A$8:G244,5,0),0)</f>
        <v>0</v>
      </c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23">
        <f t="shared" si="3"/>
        <v>0</v>
      </c>
    </row>
    <row r="110" spans="1:21" s="19" customFormat="1" ht="18" customHeight="1">
      <c r="A110" s="118"/>
      <c r="B110" s="118"/>
      <c r="C110" s="118"/>
      <c r="D110" s="118"/>
      <c r="E110" s="128">
        <v>627</v>
      </c>
      <c r="F110" s="118" t="s">
        <v>87</v>
      </c>
      <c r="G110" s="148"/>
      <c r="H110" s="119">
        <f>IFERROR(VLOOKUP(E110,TBJan23!$A$8:E246,5,0),0)</f>
        <v>520358.25</v>
      </c>
      <c r="I110" s="119">
        <f>VLOOKUP(E110,'TBFeb23 '!$A85:E249,5,0)</f>
        <v>330950.48</v>
      </c>
      <c r="J110" s="119">
        <f>IFERROR(VLOOKUP(E110,TBMar23!$A$8:G245,5,0),0)</f>
        <v>273844.47999999998</v>
      </c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23">
        <f t="shared" si="3"/>
        <v>1125153.21</v>
      </c>
    </row>
    <row r="111" spans="1:21" s="19" customFormat="1" ht="18" customHeight="1">
      <c r="A111" s="118"/>
      <c r="B111" s="118"/>
      <c r="C111" s="118"/>
      <c r="D111" s="118"/>
      <c r="E111" s="128">
        <v>631</v>
      </c>
      <c r="F111" s="118" t="s">
        <v>88</v>
      </c>
      <c r="G111" s="148"/>
      <c r="H111" s="119">
        <f>IFERROR(VLOOKUP(E111,TBJan23!$A$8:E247,5,0),0)</f>
        <v>175237889.97999999</v>
      </c>
      <c r="I111" s="119">
        <f>VLOOKUP(E111,'TBFeb23 '!$A86:E250,5,0)</f>
        <v>132682195.27000003</v>
      </c>
      <c r="J111" s="119">
        <f>IFERROR(VLOOKUP(E111,TBMar23!$A$8:G246,5,0),0)</f>
        <v>136901793</v>
      </c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23">
        <f t="shared" si="3"/>
        <v>444821878.25</v>
      </c>
    </row>
    <row r="112" spans="1:21" s="19" customFormat="1" ht="18" customHeight="1">
      <c r="A112" s="118"/>
      <c r="B112" s="118"/>
      <c r="C112" s="118"/>
      <c r="D112" s="118"/>
      <c r="E112" s="128">
        <v>633</v>
      </c>
      <c r="F112" s="118" t="s">
        <v>223</v>
      </c>
      <c r="G112" s="148"/>
      <c r="H112" s="119">
        <f>IFERROR(VLOOKUP(E112,TBJan23!$A$8:E248,5,0),0)</f>
        <v>0</v>
      </c>
      <c r="I112" s="119">
        <f>VLOOKUP(E112,'TBFeb23 '!$A87:E251,5,0)</f>
        <v>0</v>
      </c>
      <c r="J112" s="119">
        <f>IFERROR(VLOOKUP(E112,TBMar23!$A$8:G247,5,0),0)</f>
        <v>0</v>
      </c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23">
        <f t="shared" si="3"/>
        <v>0</v>
      </c>
    </row>
    <row r="113" spans="1:21" s="19" customFormat="1" ht="18" customHeight="1">
      <c r="A113" s="118"/>
      <c r="B113" s="118"/>
      <c r="C113" s="118"/>
      <c r="D113" s="118"/>
      <c r="E113" s="128" t="s">
        <v>252</v>
      </c>
      <c r="F113" s="118" t="s">
        <v>295</v>
      </c>
      <c r="G113" s="148"/>
      <c r="H113" s="119">
        <f>IFERROR(VLOOKUP(E113,TBJan23!$A$8:E249,5,0),0)</f>
        <v>2850000</v>
      </c>
      <c r="I113" s="119">
        <f>VLOOKUP(E113,'TBFeb23 '!$A88:E252,5,0)</f>
        <v>0</v>
      </c>
      <c r="J113" s="119">
        <f>IFERROR(VLOOKUP(E113,TBMar23!$A$8:G248,5,0),0)</f>
        <v>0</v>
      </c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23">
        <f t="shared" si="3"/>
        <v>2850000</v>
      </c>
    </row>
    <row r="114" spans="1:21" s="19" customFormat="1" ht="18" customHeight="1">
      <c r="A114" s="118"/>
      <c r="B114" s="118"/>
      <c r="C114" s="118"/>
      <c r="D114" s="118"/>
      <c r="E114" s="128">
        <v>635</v>
      </c>
      <c r="F114" s="118" t="s">
        <v>89</v>
      </c>
      <c r="G114" s="148"/>
      <c r="H114" s="119">
        <f>IFERROR(VLOOKUP(E114,TBJan23!$A$8:E250,5,0),0)</f>
        <v>10066872.300000001</v>
      </c>
      <c r="I114" s="119">
        <f>VLOOKUP(E114,'TBFeb23 '!$A89:E253,5,0)</f>
        <v>10797662.43</v>
      </c>
      <c r="J114" s="119">
        <f>IFERROR(VLOOKUP(E114,TBMar23!$A$8:G249,5,0),0)</f>
        <v>4828976</v>
      </c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23">
        <f t="shared" si="3"/>
        <v>25693510.73</v>
      </c>
    </row>
    <row r="115" spans="1:21" s="19" customFormat="1" ht="18" customHeight="1">
      <c r="A115" s="118"/>
      <c r="B115" s="118"/>
      <c r="C115" s="118"/>
      <c r="D115" s="118"/>
      <c r="E115" s="128" t="s">
        <v>296</v>
      </c>
      <c r="F115" s="118" t="s">
        <v>86</v>
      </c>
      <c r="G115" s="148"/>
      <c r="H115" s="119">
        <f>IFERROR(VLOOKUP(E115,TBJan23!$A$8:E251,5,0),0)</f>
        <v>4870000</v>
      </c>
      <c r="I115" s="119">
        <f>VLOOKUP(E115,'TBFeb23 '!$A90:E254,5,0)</f>
        <v>5070000</v>
      </c>
      <c r="J115" s="119">
        <f>IFERROR(VLOOKUP(E115,TBMar23!$A$8:G250,5,0),0)</f>
        <v>4580000</v>
      </c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23">
        <f t="shared" si="3"/>
        <v>14520000</v>
      </c>
    </row>
    <row r="116" spans="1:21" s="19" customFormat="1" ht="18" customHeight="1">
      <c r="A116" s="118"/>
      <c r="B116" s="118"/>
      <c r="C116" s="118"/>
      <c r="D116" s="118"/>
      <c r="E116" s="128">
        <v>638.01</v>
      </c>
      <c r="F116" s="118" t="s">
        <v>341</v>
      </c>
      <c r="G116" s="148"/>
      <c r="H116" s="119">
        <f>IFERROR(VLOOKUP(E116,TBJan23!$A$8:E252,5,0),0)</f>
        <v>0</v>
      </c>
      <c r="I116" s="119">
        <v>0</v>
      </c>
      <c r="J116" s="119">
        <f>IFERROR(VLOOKUP(E116,TBMar23!$A$8:G251,5,0),0)</f>
        <v>9570000</v>
      </c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23">
        <f t="shared" si="3"/>
        <v>9570000</v>
      </c>
    </row>
    <row r="117" spans="1:21" s="19" customFormat="1" ht="18" customHeight="1">
      <c r="A117" s="118"/>
      <c r="B117" s="118"/>
      <c r="C117" s="118"/>
      <c r="D117" s="118"/>
      <c r="E117" s="128">
        <v>643</v>
      </c>
      <c r="F117" s="118" t="s">
        <v>110</v>
      </c>
      <c r="G117" s="148"/>
      <c r="H117" s="119">
        <f>IFERROR(VLOOKUP(E117,TBJan23!$A$8:E252,5,0),0)</f>
        <v>0</v>
      </c>
      <c r="I117" s="119">
        <v>0</v>
      </c>
      <c r="J117" s="119">
        <f>IFERROR(VLOOKUP(E117,TBMar23!$A$8:G252,5,0),0)</f>
        <v>0</v>
      </c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23">
        <f t="shared" si="3"/>
        <v>0</v>
      </c>
    </row>
    <row r="118" spans="1:21" s="19" customFormat="1" ht="18" customHeight="1">
      <c r="A118" s="118"/>
      <c r="B118" s="118"/>
      <c r="C118" s="118"/>
      <c r="D118" s="118"/>
      <c r="E118" s="128">
        <v>647</v>
      </c>
      <c r="F118" s="118" t="s">
        <v>111</v>
      </c>
      <c r="G118" s="148"/>
      <c r="H118" s="119">
        <f>IFERROR(VLOOKUP(E118,TBJan23!$A$8:E253,5,0),0)</f>
        <v>0</v>
      </c>
      <c r="I118" s="119">
        <v>0</v>
      </c>
      <c r="J118" s="119">
        <f>IFERROR(VLOOKUP(E118,TBMar23!$A$8:G253,5,0),0)</f>
        <v>0</v>
      </c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23">
        <f t="shared" si="3"/>
        <v>0</v>
      </c>
    </row>
    <row r="119" spans="1:21" s="19" customFormat="1" ht="18" customHeight="1">
      <c r="A119" s="118"/>
      <c r="B119" s="118"/>
      <c r="C119" s="118"/>
      <c r="D119" s="138"/>
      <c r="E119" s="128">
        <v>682</v>
      </c>
      <c r="F119" s="118" t="s">
        <v>95</v>
      </c>
      <c r="G119" s="148"/>
      <c r="H119" s="119">
        <f>IFERROR(VLOOKUP(E119,TBJan23!$A$8:E255,5,0),0)</f>
        <v>15622829.109999999</v>
      </c>
      <c r="I119" s="119">
        <f>VLOOKUP(E119,'TBFeb23 '!$A95:E259,5,0)</f>
        <v>14540575.83</v>
      </c>
      <c r="J119" s="119">
        <f>IFERROR(VLOOKUP(E119,TBMar23!$A$8:G254,5,0),0)</f>
        <v>14445300.83</v>
      </c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23">
        <f t="shared" si="3"/>
        <v>44608705.769999996</v>
      </c>
    </row>
    <row r="120" spans="1:21" s="19" customFormat="1" ht="18" customHeight="1">
      <c r="A120" s="118"/>
      <c r="B120" s="118"/>
      <c r="C120" s="118"/>
      <c r="D120" s="138"/>
      <c r="E120" s="128"/>
      <c r="F120" s="118"/>
      <c r="G120" s="148"/>
      <c r="H120" s="119">
        <v>0</v>
      </c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23">
        <f t="shared" si="3"/>
        <v>0</v>
      </c>
    </row>
    <row r="121" spans="1:21" s="19" customFormat="1" ht="18" customHeight="1">
      <c r="A121" s="118"/>
      <c r="B121" s="118"/>
      <c r="C121" s="118"/>
      <c r="D121" s="118"/>
      <c r="E121" s="122" t="s">
        <v>224</v>
      </c>
      <c r="F121" s="118"/>
      <c r="G121" s="148"/>
      <c r="H121" s="147">
        <f>SUM(H77:H120)</f>
        <v>414773747.52000004</v>
      </c>
      <c r="I121" s="147">
        <f>SUM(I77:I120)</f>
        <v>252181852.92000005</v>
      </c>
      <c r="J121" s="147">
        <f>SUM(J77:J120)</f>
        <v>268830732.82999998</v>
      </c>
      <c r="K121" s="147"/>
      <c r="L121" s="159"/>
      <c r="M121" s="159"/>
      <c r="N121" s="159"/>
      <c r="O121" s="159"/>
      <c r="P121" s="159"/>
      <c r="Q121" s="159"/>
      <c r="R121" s="159"/>
      <c r="S121" s="159"/>
      <c r="T121" s="159"/>
      <c r="U121" s="146">
        <f t="shared" si="3"/>
        <v>935786333.26999998</v>
      </c>
    </row>
    <row r="122" spans="1:21" s="19" customFormat="1" ht="18" customHeight="1">
      <c r="A122" s="118"/>
      <c r="B122" s="118"/>
      <c r="C122" s="118"/>
      <c r="D122" s="117" t="s">
        <v>112</v>
      </c>
      <c r="E122" s="128"/>
      <c r="F122" s="118"/>
      <c r="G122" s="148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25"/>
    </row>
    <row r="123" spans="1:21" s="19" customFormat="1" ht="18" customHeight="1">
      <c r="A123" s="118"/>
      <c r="B123" s="118"/>
      <c r="C123" s="118"/>
      <c r="D123" s="117"/>
      <c r="E123" s="128">
        <v>652</v>
      </c>
      <c r="F123" s="118" t="s">
        <v>225</v>
      </c>
      <c r="G123" s="148"/>
      <c r="H123" s="119">
        <v>0</v>
      </c>
      <c r="I123" s="119">
        <v>0</v>
      </c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25">
        <f>SUM(H123:S123)</f>
        <v>0</v>
      </c>
    </row>
    <row r="124" spans="1:21" s="19" customFormat="1" ht="18" customHeight="1">
      <c r="A124" s="118"/>
      <c r="B124" s="118"/>
      <c r="C124" s="118"/>
      <c r="D124" s="118"/>
      <c r="E124" s="128">
        <v>656</v>
      </c>
      <c r="F124" s="118" t="s">
        <v>92</v>
      </c>
      <c r="G124" s="118"/>
      <c r="H124" s="119">
        <f>IFERROR(VLOOKUP(E124,TBJan23!$A$8:E261,5,0),0)</f>
        <v>200000</v>
      </c>
      <c r="I124" s="119">
        <f>VLOOKUP(E124,'TBFeb23 '!$A100:E264,5,0)</f>
        <v>0</v>
      </c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25">
        <f t="shared" ref="U124:U127" si="4">SUM(H124:S124)</f>
        <v>200000</v>
      </c>
    </row>
    <row r="125" spans="1:21" s="19" customFormat="1" ht="18" customHeight="1">
      <c r="A125" s="118"/>
      <c r="B125" s="118"/>
      <c r="C125" s="118"/>
      <c r="D125" s="138"/>
      <c r="E125" s="128">
        <v>658</v>
      </c>
      <c r="F125" s="118" t="s">
        <v>93</v>
      </c>
      <c r="G125" s="118"/>
      <c r="H125" s="119">
        <f>IFERROR(VLOOKUP(E125,TBJan23!$A$8:J262,10,0),0)</f>
        <v>62879421.5</v>
      </c>
      <c r="I125" s="119">
        <f>VLOOKUP(E125,'TBFeb23 '!$A101:E265,5,0)</f>
        <v>0</v>
      </c>
      <c r="J125" s="119"/>
      <c r="K125" s="119"/>
      <c r="L125" s="139"/>
      <c r="M125" s="139"/>
      <c r="N125" s="139"/>
      <c r="O125" s="139"/>
      <c r="P125" s="139"/>
      <c r="Q125" s="139"/>
      <c r="R125" s="139"/>
      <c r="S125" s="139"/>
      <c r="T125" s="119"/>
      <c r="U125" s="125">
        <f t="shared" si="4"/>
        <v>62879421.5</v>
      </c>
    </row>
    <row r="126" spans="1:21" s="19" customFormat="1" ht="18" customHeight="1">
      <c r="A126" s="118"/>
      <c r="B126" s="118"/>
      <c r="C126" s="118"/>
      <c r="D126" s="138"/>
      <c r="E126" s="128" t="s">
        <v>324</v>
      </c>
      <c r="F126" s="118" t="s">
        <v>91</v>
      </c>
      <c r="G126" s="118"/>
      <c r="H126" s="119"/>
      <c r="I126" s="119">
        <f>VLOOKUP(E126,'TBFeb23 '!$A102:E266,5,0)</f>
        <v>750000</v>
      </c>
      <c r="J126" s="119">
        <f>IFERROR(VLOOKUP(E126,TBMar23!$A$8:G259,5,0),0)</f>
        <v>250000</v>
      </c>
      <c r="K126" s="119"/>
      <c r="L126" s="139"/>
      <c r="M126" s="139"/>
      <c r="N126" s="139"/>
      <c r="O126" s="139"/>
      <c r="P126" s="139"/>
      <c r="Q126" s="139"/>
      <c r="R126" s="139"/>
      <c r="S126" s="139"/>
      <c r="T126" s="119"/>
      <c r="U126" s="125">
        <f t="shared" si="4"/>
        <v>1000000</v>
      </c>
    </row>
    <row r="127" spans="1:21" s="19" customFormat="1" ht="18" customHeight="1">
      <c r="A127" s="118"/>
      <c r="B127" s="118"/>
      <c r="C127" s="118"/>
      <c r="D127" s="138"/>
      <c r="E127" s="128" t="s">
        <v>326</v>
      </c>
      <c r="F127" s="118" t="s">
        <v>93</v>
      </c>
      <c r="G127" s="118"/>
      <c r="H127" s="119"/>
      <c r="I127" s="119">
        <f>VLOOKUP(E127,'TBFeb23 '!$A102:E266,5,0)</f>
        <v>60000.5</v>
      </c>
      <c r="J127" s="119">
        <f>IFERROR(VLOOKUP(E127,TBMar23!$A$8:G260,5,0),0)</f>
        <v>590000</v>
      </c>
      <c r="K127" s="119"/>
      <c r="L127" s="139"/>
      <c r="M127" s="139"/>
      <c r="N127" s="139"/>
      <c r="O127" s="139"/>
      <c r="P127" s="139"/>
      <c r="Q127" s="139"/>
      <c r="R127" s="139"/>
      <c r="S127" s="139"/>
      <c r="T127" s="119"/>
      <c r="U127" s="125">
        <f t="shared" si="4"/>
        <v>650000.5</v>
      </c>
    </row>
    <row r="128" spans="1:21" s="19" customFormat="1" ht="18" customHeight="1">
      <c r="A128" s="118"/>
      <c r="B128" s="118"/>
      <c r="C128" s="118"/>
      <c r="D128" s="118"/>
      <c r="E128" s="128" t="s">
        <v>226</v>
      </c>
      <c r="F128" s="118"/>
      <c r="G128" s="148"/>
      <c r="H128" s="147">
        <f>SUM(H123:H125)</f>
        <v>63079421.5</v>
      </c>
      <c r="I128" s="147">
        <f>SUM(I123:I127)</f>
        <v>810000.5</v>
      </c>
      <c r="J128" s="147">
        <f>SUM(J123:J127)</f>
        <v>840000</v>
      </c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6">
        <f>SUM(H128:Q128)+SUM(S128+T128)</f>
        <v>64729422</v>
      </c>
    </row>
    <row r="129" spans="1:21" s="19" customFormat="1" ht="18" customHeight="1">
      <c r="A129" s="118"/>
      <c r="B129" s="118"/>
      <c r="C129" s="118"/>
      <c r="D129" s="118"/>
      <c r="E129" s="122" t="s">
        <v>227</v>
      </c>
      <c r="F129" s="118"/>
      <c r="G129" s="148"/>
      <c r="H129" s="147">
        <f>H121+H128</f>
        <v>477853169.02000004</v>
      </c>
      <c r="I129" s="147">
        <f>I121+I128</f>
        <v>252991853.42000005</v>
      </c>
      <c r="J129" s="147">
        <f>J121+J128</f>
        <v>269670732.82999998</v>
      </c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6">
        <f>SUM(H129:Q129)+SUM(S129+T129)</f>
        <v>1000515755.27</v>
      </c>
    </row>
    <row r="130" spans="1:21" s="19" customFormat="1" ht="18" customHeight="1">
      <c r="A130" s="118"/>
      <c r="B130" s="118"/>
      <c r="C130" s="118"/>
      <c r="D130" s="118"/>
      <c r="E130" s="122" t="s">
        <v>113</v>
      </c>
      <c r="F130" s="118"/>
      <c r="G130" s="148"/>
      <c r="H130" s="145">
        <f>H73-H129</f>
        <v>343081815.99999946</v>
      </c>
      <c r="I130" s="145">
        <f>I73-I129</f>
        <v>514755818.50999975</v>
      </c>
      <c r="J130" s="145">
        <f>J73-J129</f>
        <v>700077034.67999983</v>
      </c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6">
        <f>SUM(H130:Q130)+SUM(S130+T130)</f>
        <v>1557914669.1899991</v>
      </c>
    </row>
    <row r="131" spans="1:21" s="19" customFormat="1" ht="18" customHeight="1">
      <c r="A131" s="118"/>
      <c r="B131" s="118"/>
      <c r="C131" s="118"/>
      <c r="D131" s="117" t="s">
        <v>114</v>
      </c>
      <c r="E131" s="128"/>
      <c r="F131" s="118"/>
      <c r="G131" s="148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25"/>
    </row>
    <row r="132" spans="1:21" s="19" customFormat="1" ht="18" customHeight="1">
      <c r="A132" s="118"/>
      <c r="B132" s="118"/>
      <c r="C132" s="118"/>
      <c r="D132" s="117"/>
      <c r="E132" s="128">
        <v>762</v>
      </c>
      <c r="F132" s="128" t="s">
        <v>115</v>
      </c>
      <c r="G132" s="148"/>
      <c r="H132" s="119">
        <v>0</v>
      </c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23">
        <f>SUM(H132:Q132)+SUM(S132+T132)</f>
        <v>0</v>
      </c>
    </row>
    <row r="133" spans="1:21" s="19" customFormat="1" ht="18" customHeight="1">
      <c r="A133" s="118"/>
      <c r="B133" s="118"/>
      <c r="C133" s="118"/>
      <c r="D133" s="138"/>
      <c r="E133" s="128">
        <v>763</v>
      </c>
      <c r="F133" s="128" t="s">
        <v>98</v>
      </c>
      <c r="G133" s="118"/>
      <c r="H133" s="119">
        <f>IFERROR(VLOOKUP(E133,TBJan23!$A$8:F268,6,0),0)</f>
        <v>89765383.879999995</v>
      </c>
      <c r="I133" s="119">
        <f>VLOOKUP(E133,'TBFeb23 '!A124:H288,6,0)</f>
        <v>49527366.530000001</v>
      </c>
      <c r="J133" s="119">
        <f>IFERROR(VLOOKUP(E133,TBMar23!$A$8:H247,6,0),0)</f>
        <v>3985152.05</v>
      </c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23">
        <f>SUM(H133:Q133)+SUM(S133+T133)</f>
        <v>143277902.46000001</v>
      </c>
    </row>
    <row r="134" spans="1:21" s="19" customFormat="1" ht="18" customHeight="1">
      <c r="A134" s="118"/>
      <c r="B134" s="118"/>
      <c r="C134" s="118"/>
      <c r="D134" s="138"/>
      <c r="E134" s="128">
        <v>764</v>
      </c>
      <c r="F134" s="128" t="s">
        <v>116</v>
      </c>
      <c r="G134" s="118"/>
      <c r="H134" s="119">
        <f>IFERROR(VLOOKUP(E134,TBJan23!$A$8:F269,6,0),0)</f>
        <v>0</v>
      </c>
      <c r="I134" s="119">
        <v>0</v>
      </c>
      <c r="J134" s="119">
        <f>IFERROR(VLOOKUP(E134,TBMar23!$A$8:H248,6,0),0)</f>
        <v>0</v>
      </c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23">
        <f t="shared" ref="U134:U139" si="5">SUM(H134:Q134)+SUM(S134+T134)</f>
        <v>0</v>
      </c>
    </row>
    <row r="135" spans="1:21" s="19" customFormat="1" ht="18" customHeight="1">
      <c r="A135" s="118"/>
      <c r="B135" s="118"/>
      <c r="C135" s="118"/>
      <c r="D135" s="138"/>
      <c r="E135" s="128" t="s">
        <v>329</v>
      </c>
      <c r="F135" s="128" t="s">
        <v>298</v>
      </c>
      <c r="G135" s="118"/>
      <c r="H135" s="119"/>
      <c r="I135" s="119">
        <f>VLOOKUP(E135,'TBFeb23 '!A126:H290,6,0)</f>
        <v>6015000</v>
      </c>
      <c r="J135" s="119">
        <f>IFERROR(VLOOKUP(E135,TBMar23!$A$8:H249,6,0),0)</f>
        <v>8637990.6600000001</v>
      </c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23">
        <f t="shared" si="5"/>
        <v>14652990.66</v>
      </c>
    </row>
    <row r="136" spans="1:21" s="19" customFormat="1" ht="18" customHeight="1">
      <c r="A136" s="118"/>
      <c r="B136" s="118"/>
      <c r="C136" s="118"/>
      <c r="D136" s="138"/>
      <c r="E136" s="128" t="s">
        <v>330</v>
      </c>
      <c r="F136" s="128" t="s">
        <v>331</v>
      </c>
      <c r="G136" s="118"/>
      <c r="H136" s="119"/>
      <c r="I136" s="119">
        <f>VLOOKUP(E136,'TBFeb23 '!A127:H291,6,0)</f>
        <v>802074733.71000004</v>
      </c>
      <c r="J136" s="119">
        <f>IFERROR(VLOOKUP(E136,TBMar23!$A$8:H250,6,0),0)</f>
        <v>66019625.700000003</v>
      </c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23">
        <f t="shared" si="5"/>
        <v>868094359.41000009</v>
      </c>
    </row>
    <row r="137" spans="1:21" s="19" customFormat="1" ht="18" customHeight="1">
      <c r="A137" s="118"/>
      <c r="B137" s="118"/>
      <c r="C137" s="118"/>
      <c r="D137" s="118"/>
      <c r="E137" s="128">
        <v>768</v>
      </c>
      <c r="F137" s="118" t="s">
        <v>99</v>
      </c>
      <c r="G137" s="118"/>
      <c r="H137" s="119">
        <f>IFERROR(VLOOKUP(E137,TBJan23!$A$8:F270,6,0),0)</f>
        <v>5924450</v>
      </c>
      <c r="I137" s="119">
        <f>VLOOKUP(E137,'TBFeb23 '!A128:H292,6,0)</f>
        <v>4235750</v>
      </c>
      <c r="J137" s="119">
        <f>IFERROR(VLOOKUP(E137,TBMar23!$A$8:H251,6,0),0)</f>
        <v>8475000</v>
      </c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23">
        <f t="shared" si="5"/>
        <v>18635200</v>
      </c>
    </row>
    <row r="138" spans="1:21" s="19" customFormat="1" ht="18" customHeight="1">
      <c r="A138" s="118"/>
      <c r="B138" s="118"/>
      <c r="C138" s="118"/>
      <c r="D138" s="118"/>
      <c r="E138" s="128" t="s">
        <v>299</v>
      </c>
      <c r="F138" s="118" t="s">
        <v>300</v>
      </c>
      <c r="G138" s="118"/>
      <c r="H138" s="119">
        <f>IFERROR(VLOOKUP(E138,TBJan23!$A$8:F271,6,0),0)</f>
        <v>12256200</v>
      </c>
      <c r="I138" s="119">
        <f>VLOOKUP(E138,'TBFeb23 '!A128:H292,6,0)</f>
        <v>16665800</v>
      </c>
      <c r="J138" s="119">
        <f>IFERROR(VLOOKUP(E138,TBMar23!$A$8:H252,6,0),0)</f>
        <v>19230000</v>
      </c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23">
        <f t="shared" si="5"/>
        <v>48152000</v>
      </c>
    </row>
    <row r="139" spans="1:21" s="19" customFormat="1" ht="18" customHeight="1">
      <c r="A139" s="118"/>
      <c r="B139" s="118"/>
      <c r="C139" s="118"/>
      <c r="D139" s="118"/>
      <c r="E139" s="128" t="s">
        <v>327</v>
      </c>
      <c r="F139" s="118" t="s">
        <v>328</v>
      </c>
      <c r="G139" s="118"/>
      <c r="H139" s="119"/>
      <c r="I139" s="119">
        <f>VLOOKUP(E139,'TBFeb23 '!A129:H293,6,0)</f>
        <v>507500</v>
      </c>
      <c r="J139" s="119">
        <f>IFERROR(VLOOKUP(E139,TBMar23!$A$8:H253,6,0),0)</f>
        <v>0</v>
      </c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23">
        <f t="shared" si="5"/>
        <v>507500</v>
      </c>
    </row>
    <row r="140" spans="1:21" s="19" customFormat="1" ht="18" customHeight="1">
      <c r="A140" s="118"/>
      <c r="B140" s="118"/>
      <c r="C140" s="118"/>
      <c r="D140" s="118"/>
      <c r="E140" s="122" t="s">
        <v>228</v>
      </c>
      <c r="F140" s="118"/>
      <c r="G140" s="118"/>
      <c r="H140" s="147">
        <f>SUM(H132:H138)</f>
        <v>107946033.88</v>
      </c>
      <c r="I140" s="147">
        <f>SUM(I132:I139)</f>
        <v>879026150.24000001</v>
      </c>
      <c r="J140" s="147">
        <f>SUM(J132:J139)</f>
        <v>106347768.41</v>
      </c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6">
        <f>SUM(H140:Q140)+SUM(S140+T140)</f>
        <v>1093319952.53</v>
      </c>
    </row>
    <row r="141" spans="1:21" s="19" customFormat="1" ht="18" customHeight="1">
      <c r="A141" s="118"/>
      <c r="B141" s="118"/>
      <c r="C141" s="118"/>
      <c r="D141" s="117" t="s">
        <v>117</v>
      </c>
      <c r="E141" s="122"/>
      <c r="F141" s="118"/>
      <c r="G141" s="118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25"/>
    </row>
    <row r="142" spans="1:21" s="19" customFormat="1" ht="18" customHeight="1">
      <c r="A142" s="118"/>
      <c r="B142" s="118"/>
      <c r="C142" s="118"/>
      <c r="D142" s="118"/>
      <c r="E142" s="128">
        <v>661</v>
      </c>
      <c r="F142" s="118" t="s">
        <v>229</v>
      </c>
      <c r="G142" s="148"/>
      <c r="H142" s="119">
        <v>0</v>
      </c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23">
        <f>SUM(H142:Q142)+SUM(S142+T142)</f>
        <v>0</v>
      </c>
    </row>
    <row r="143" spans="1:21" s="19" customFormat="1" ht="18" customHeight="1">
      <c r="A143" s="118"/>
      <c r="B143" s="118"/>
      <c r="C143" s="118"/>
      <c r="D143" s="118"/>
      <c r="E143" s="128">
        <v>663</v>
      </c>
      <c r="F143" s="118" t="s">
        <v>94</v>
      </c>
      <c r="G143" s="118"/>
      <c r="H143" s="119">
        <f>IFERROR(VLOOKUP(E143,TBJan23!$A$8:E273,5,0),0)</f>
        <v>186139540.44</v>
      </c>
      <c r="I143" s="139">
        <f>VLOOKUP(E143,'TBFeb23 '!$A116:E280,5,0)</f>
        <v>381614438.81</v>
      </c>
      <c r="J143" s="119">
        <f>IFERROR(VLOOKUP(E143,TBMar23!$A$8:G277,5,0),0)</f>
        <v>64858231.159999996</v>
      </c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23">
        <f>SUM(H143:Q143)+SUM(S143+T143)</f>
        <v>632612210.40999997</v>
      </c>
    </row>
    <row r="144" spans="1:21" s="19" customFormat="1" ht="18" customHeight="1">
      <c r="A144" s="118"/>
      <c r="B144" s="118"/>
      <c r="C144" s="118"/>
      <c r="D144" s="118"/>
      <c r="E144" s="128">
        <v>663</v>
      </c>
      <c r="F144" s="118" t="s">
        <v>332</v>
      </c>
      <c r="G144" s="118"/>
      <c r="H144" s="119"/>
      <c r="I144" s="207">
        <v>-4854540.55</v>
      </c>
      <c r="J144" s="207">
        <v>-7563285.8300000001</v>
      </c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23">
        <f>SUM(H144:Q144)+SUM(S144+T144)</f>
        <v>-12417826.379999999</v>
      </c>
    </row>
    <row r="145" spans="1:21" s="19" customFormat="1" ht="18" customHeight="1">
      <c r="A145" s="118"/>
      <c r="B145" s="118"/>
      <c r="C145" s="118"/>
      <c r="D145" s="118"/>
      <c r="E145" s="128">
        <v>678</v>
      </c>
      <c r="F145" s="118" t="s">
        <v>119</v>
      </c>
      <c r="G145" s="118"/>
      <c r="H145" s="119">
        <v>0</v>
      </c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23">
        <f t="shared" ref="U144:U145" si="6">SUM(H145:Q145)+SUM(S145+T145)</f>
        <v>0</v>
      </c>
    </row>
    <row r="146" spans="1:21" s="19" customFormat="1" ht="18" customHeight="1">
      <c r="A146" s="118"/>
      <c r="B146" s="118"/>
      <c r="C146" s="118"/>
      <c r="D146" s="118"/>
      <c r="E146" s="122" t="s">
        <v>230</v>
      </c>
      <c r="F146" s="118"/>
      <c r="G146" s="118"/>
      <c r="H146" s="147">
        <f>SUM(H142:H145)</f>
        <v>186139540.44</v>
      </c>
      <c r="I146" s="147">
        <f>SUM(I142:I145)</f>
        <v>376759898.25999999</v>
      </c>
      <c r="J146" s="147">
        <f>SUM(J142:J145)</f>
        <v>57294945.329999998</v>
      </c>
      <c r="K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46">
        <f>SUM(H146:Q146)+SUM(S146+T146)</f>
        <v>620194384.03000009</v>
      </c>
    </row>
    <row r="147" spans="1:21" s="19" customFormat="1" ht="18" customHeight="1" thickBot="1">
      <c r="A147" s="118"/>
      <c r="B147" s="118"/>
      <c r="C147" s="118"/>
      <c r="D147" s="118"/>
      <c r="E147" s="117" t="s">
        <v>118</v>
      </c>
      <c r="F147" s="118"/>
      <c r="G147" s="148"/>
      <c r="H147" s="163">
        <f>+H130+H140-H146</f>
        <v>264888309.43999946</v>
      </c>
      <c r="I147" s="163">
        <f>+I130+I140-I146</f>
        <v>1017022070.4899998</v>
      </c>
      <c r="J147" s="253">
        <f>+J130+J140-J146</f>
        <v>749129857.75999975</v>
      </c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46">
        <f>SUM(H147:Q147)+SUM(S147+T147)</f>
        <v>2031040237.6899991</v>
      </c>
    </row>
    <row r="148" spans="1:21" s="19" customFormat="1" ht="18" customHeight="1" thickTop="1">
      <c r="A148" s="118"/>
      <c r="B148" s="118"/>
      <c r="C148" s="118"/>
      <c r="D148" s="118"/>
      <c r="E148" s="118"/>
      <c r="F148" s="118"/>
      <c r="G148" s="148"/>
      <c r="H148" s="214">
        <f>H147</f>
        <v>264888309.43999946</v>
      </c>
      <c r="I148" s="214">
        <f>H148+I147</f>
        <v>1281910379.9299994</v>
      </c>
      <c r="J148" s="214">
        <f>I148+J147</f>
        <v>2031040237.6899991</v>
      </c>
      <c r="K148" s="119"/>
      <c r="L148" s="119"/>
      <c r="M148" s="119"/>
      <c r="N148" s="119"/>
      <c r="O148" s="119"/>
      <c r="P148" s="119"/>
      <c r="Q148" s="119"/>
      <c r="R148" s="119"/>
      <c r="S148" s="149"/>
      <c r="T148" s="149"/>
      <c r="U148" s="150"/>
    </row>
    <row r="149" spans="1:21" s="19" customFormat="1" ht="18" customHeight="1">
      <c r="A149" s="118"/>
      <c r="B149" s="118"/>
      <c r="C149" s="118"/>
      <c r="D149" s="118"/>
      <c r="E149" s="118"/>
      <c r="F149" s="118"/>
      <c r="G149" s="148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49"/>
      <c r="T149" s="149"/>
      <c r="U149" s="150"/>
    </row>
    <row r="150" spans="1:21" s="19" customFormat="1" ht="18" customHeight="1">
      <c r="A150" s="118"/>
      <c r="B150" s="118"/>
      <c r="C150" s="118"/>
      <c r="D150" s="118"/>
      <c r="E150" s="118"/>
      <c r="F150" s="118"/>
      <c r="G150" s="148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49"/>
      <c r="T150" s="149"/>
      <c r="U150" s="150"/>
    </row>
    <row r="151" spans="1:21" s="19" customFormat="1" ht="18" customHeight="1">
      <c r="A151" s="118"/>
      <c r="B151" s="118"/>
      <c r="C151" s="118"/>
      <c r="D151" s="118"/>
      <c r="E151" s="118"/>
      <c r="F151" s="118"/>
      <c r="G151" s="148"/>
      <c r="H151" s="164"/>
      <c r="I151" s="164"/>
      <c r="J151" s="119"/>
      <c r="K151" s="119"/>
      <c r="L151" s="119"/>
      <c r="M151" s="119"/>
      <c r="N151" s="119"/>
      <c r="O151" s="119"/>
      <c r="P151" s="119"/>
      <c r="Q151" s="119"/>
      <c r="R151" s="119"/>
      <c r="S151" s="139"/>
      <c r="T151" s="139"/>
      <c r="U151" s="151"/>
    </row>
    <row r="152" spans="1:21" s="19" customFormat="1" ht="18" customHeight="1">
      <c r="A152" s="18"/>
      <c r="B152" s="18"/>
      <c r="C152" s="18"/>
      <c r="D152" s="18"/>
      <c r="E152" s="18"/>
      <c r="F152" s="18"/>
      <c r="G152" s="29"/>
      <c r="H152" s="165"/>
      <c r="I152" s="208"/>
      <c r="S152" s="30"/>
      <c r="T152" s="30"/>
      <c r="U152" s="45"/>
    </row>
    <row r="153" spans="1:21" s="19" customFormat="1" ht="18" customHeight="1">
      <c r="A153" s="18"/>
      <c r="B153" s="18"/>
      <c r="C153" s="18"/>
      <c r="D153" s="18"/>
      <c r="E153" s="18"/>
      <c r="F153" s="18"/>
      <c r="G153" s="29"/>
      <c r="H153" s="166"/>
      <c r="I153" s="208"/>
      <c r="S153" s="30"/>
      <c r="T153" s="30"/>
      <c r="U153" s="45"/>
    </row>
    <row r="154" spans="1:21" s="19" customFormat="1" ht="18" customHeight="1">
      <c r="A154" s="18"/>
      <c r="B154" s="18"/>
      <c r="C154" s="18"/>
      <c r="D154" s="18"/>
      <c r="E154" s="18"/>
      <c r="F154" s="18"/>
      <c r="G154" s="29"/>
      <c r="H154" s="166"/>
      <c r="I154" s="208"/>
      <c r="S154" s="30"/>
      <c r="T154" s="30"/>
      <c r="U154" s="45"/>
    </row>
    <row r="155" spans="1:21" s="19" customFormat="1" ht="18" customHeight="1">
      <c r="A155" s="18"/>
      <c r="B155" s="18"/>
      <c r="C155" s="18"/>
      <c r="D155" s="18"/>
      <c r="E155" s="18"/>
      <c r="F155" s="18"/>
      <c r="G155" s="29"/>
      <c r="H155" s="166"/>
      <c r="I155" s="208"/>
      <c r="U155" s="24"/>
    </row>
    <row r="156" spans="1:21" s="19" customFormat="1" ht="18" customHeight="1">
      <c r="A156" s="18"/>
      <c r="B156" s="18"/>
      <c r="C156" s="18"/>
      <c r="D156" s="18"/>
      <c r="E156" s="18"/>
      <c r="F156" s="18"/>
      <c r="G156" s="29"/>
      <c r="H156" s="166"/>
      <c r="U156" s="24"/>
    </row>
    <row r="157" spans="1:21" s="19" customFormat="1" ht="18" customHeight="1">
      <c r="A157" s="18"/>
      <c r="B157" s="18"/>
      <c r="C157" s="18"/>
      <c r="D157" s="18"/>
      <c r="E157" s="18"/>
      <c r="F157" s="18"/>
      <c r="G157" s="29"/>
      <c r="H157" s="167"/>
      <c r="U157" s="24"/>
    </row>
    <row r="158" spans="1:21" s="19" customFormat="1" ht="18" customHeight="1">
      <c r="A158" s="18"/>
      <c r="B158" s="18"/>
      <c r="C158" s="18"/>
      <c r="D158" s="18"/>
      <c r="E158" s="18"/>
      <c r="F158" s="18"/>
      <c r="G158" s="29"/>
      <c r="U158" s="24"/>
    </row>
    <row r="159" spans="1:21" ht="18" customHeight="1">
      <c r="G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1:21" ht="18" customHeight="1">
      <c r="G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7:20" ht="18" customHeight="1">
      <c r="G161" s="29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</row>
    <row r="162" spans="7:20" ht="18" customHeight="1">
      <c r="G162" s="29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</row>
  </sheetData>
  <phoneticPr fontId="20" type="noConversion"/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3C20D-4BBC-45AF-BE5B-FF2E4C43BB53}">
  <dimension ref="A1:T158"/>
  <sheetViews>
    <sheetView zoomScale="73" zoomScaleNormal="73" zoomScaleSheetLayoutView="90" workbookViewId="0">
      <pane xSplit="7" ySplit="4" topLeftCell="H134" activePane="bottomRight" state="frozen"/>
      <selection pane="topRight" activeCell="H1" sqref="H1"/>
      <selection pane="bottomLeft" activeCell="A5" sqref="A5"/>
      <selection pane="bottomRight" activeCell="K152" sqref="K152"/>
    </sheetView>
  </sheetViews>
  <sheetFormatPr defaultColWidth="8.6640625" defaultRowHeight="18" customHeight="1"/>
  <cols>
    <col min="1" max="1" width="5.109375" style="18" customWidth="1"/>
    <col min="2" max="2" width="1.6640625" style="18" customWidth="1"/>
    <col min="3" max="3" width="2.5546875" style="18" customWidth="1"/>
    <col min="4" max="4" width="9" style="18" customWidth="1"/>
    <col min="5" max="5" width="12.6640625" style="18" customWidth="1"/>
    <col min="6" max="6" width="50.109375" style="18" customWidth="1"/>
    <col min="7" max="7" width="5.88671875" style="18" customWidth="1"/>
    <col min="8" max="8" width="25.5546875" style="19" customWidth="1"/>
    <col min="9" max="19" width="26" style="20" customWidth="1"/>
    <col min="20" max="20" width="26" style="18" customWidth="1"/>
    <col min="21" max="16384" width="8.6640625" style="18"/>
  </cols>
  <sheetData>
    <row r="1" spans="1:20" ht="18" customHeight="1">
      <c r="A1" s="17" t="s">
        <v>123</v>
      </c>
    </row>
    <row r="2" spans="1:20" ht="18" customHeight="1">
      <c r="A2" s="17" t="s">
        <v>175</v>
      </c>
      <c r="H2" s="234">
        <v>16762</v>
      </c>
      <c r="I2" s="235">
        <v>16786</v>
      </c>
      <c r="J2" s="235">
        <v>16851</v>
      </c>
    </row>
    <row r="3" spans="1:20" ht="18" customHeight="1">
      <c r="A3" s="17" t="s">
        <v>176</v>
      </c>
      <c r="C3" s="22" t="s">
        <v>347</v>
      </c>
    </row>
    <row r="4" spans="1:20" ht="18" customHeight="1">
      <c r="A4" s="18">
        <v>1</v>
      </c>
      <c r="B4" s="18">
        <v>2</v>
      </c>
      <c r="C4" s="18">
        <v>3</v>
      </c>
      <c r="D4" s="18">
        <v>4</v>
      </c>
      <c r="E4" s="18">
        <v>5</v>
      </c>
      <c r="F4" s="18">
        <v>6</v>
      </c>
      <c r="G4" s="18">
        <v>7</v>
      </c>
      <c r="H4" s="116">
        <v>44927</v>
      </c>
      <c r="I4" s="116">
        <v>44958</v>
      </c>
      <c r="J4" s="116">
        <v>44986</v>
      </c>
      <c r="K4" s="116">
        <v>45017</v>
      </c>
      <c r="L4" s="116">
        <v>45047</v>
      </c>
      <c r="M4" s="116">
        <v>45078</v>
      </c>
      <c r="N4" s="116">
        <v>45108</v>
      </c>
      <c r="O4" s="116">
        <v>45139</v>
      </c>
      <c r="P4" s="116">
        <v>45170</v>
      </c>
      <c r="Q4" s="116">
        <v>45200</v>
      </c>
      <c r="R4" s="116">
        <v>45231</v>
      </c>
      <c r="S4" s="116">
        <v>45261</v>
      </c>
      <c r="T4" s="58" t="s">
        <v>100</v>
      </c>
    </row>
    <row r="5" spans="1:20" ht="18" customHeight="1">
      <c r="A5" s="17" t="s">
        <v>177</v>
      </c>
      <c r="B5" s="17"/>
      <c r="C5" s="17"/>
      <c r="D5" s="17"/>
      <c r="T5" s="21"/>
    </row>
    <row r="6" spans="1:20" ht="18" customHeight="1">
      <c r="A6" s="17"/>
      <c r="B6" s="17"/>
      <c r="C6" s="17" t="s">
        <v>178</v>
      </c>
      <c r="D6" s="17"/>
      <c r="T6" s="21"/>
    </row>
    <row r="7" spans="1:20" ht="18" customHeight="1">
      <c r="A7" s="117"/>
      <c r="B7" s="117"/>
      <c r="C7" s="117"/>
      <c r="D7" s="117" t="s">
        <v>179</v>
      </c>
      <c r="E7" s="118"/>
      <c r="F7" s="118"/>
      <c r="G7" s="118"/>
      <c r="H7" s="119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1"/>
    </row>
    <row r="8" spans="1:20" ht="18" customHeight="1">
      <c r="A8" s="118"/>
      <c r="B8" s="118"/>
      <c r="C8" s="118"/>
      <c r="D8" s="117"/>
      <c r="E8" s="122">
        <v>701.01</v>
      </c>
      <c r="F8" s="117" t="s">
        <v>180</v>
      </c>
      <c r="G8" s="118"/>
      <c r="H8" s="119">
        <f>PL!H8/'PL USD'!$H$2</f>
        <v>148743.0097363083</v>
      </c>
      <c r="I8" s="119">
        <f>PL!I8/'PL USD'!$I$2</f>
        <v>173588.66585249614</v>
      </c>
      <c r="J8" s="119">
        <f>PL!J8/'PL USD'!$J$2</f>
        <v>264557.00989496172</v>
      </c>
      <c r="K8" s="119"/>
      <c r="L8" s="119"/>
      <c r="M8" s="119"/>
      <c r="N8" s="119"/>
      <c r="O8" s="119"/>
      <c r="P8" s="119"/>
      <c r="Q8" s="119"/>
      <c r="R8" s="119"/>
      <c r="S8" s="119"/>
      <c r="T8" s="123">
        <f>SUM(H8:S8)</f>
        <v>586888.68548376614</v>
      </c>
    </row>
    <row r="9" spans="1:20" ht="18" customHeight="1">
      <c r="A9" s="118"/>
      <c r="B9" s="118"/>
      <c r="C9" s="118"/>
      <c r="D9" s="117"/>
      <c r="E9" s="122">
        <v>708</v>
      </c>
      <c r="F9" s="117" t="s">
        <v>181</v>
      </c>
      <c r="G9" s="118"/>
      <c r="H9" s="119">
        <f>PL!H9/'PL USD'!$H$2</f>
        <v>0</v>
      </c>
      <c r="I9" s="119">
        <f>PL!I9/'PL USD'!$I$2</f>
        <v>0</v>
      </c>
      <c r="J9" s="119">
        <f>PL!J9/'PL USD'!$J$2</f>
        <v>0</v>
      </c>
      <c r="K9" s="119"/>
      <c r="L9" s="119"/>
      <c r="M9" s="119"/>
      <c r="N9" s="119"/>
      <c r="O9" s="119"/>
      <c r="P9" s="119"/>
      <c r="Q9" s="119"/>
      <c r="R9" s="119"/>
      <c r="S9" s="119"/>
      <c r="T9" s="123">
        <f t="shared" ref="T9:T12" si="0">SUM(H9:S9)</f>
        <v>0</v>
      </c>
    </row>
    <row r="10" spans="1:20" ht="18" customHeight="1">
      <c r="A10" s="118"/>
      <c r="B10" s="118"/>
      <c r="C10" s="118"/>
      <c r="D10" s="117"/>
      <c r="E10" s="122">
        <v>701.02</v>
      </c>
      <c r="F10" s="117" t="s">
        <v>182</v>
      </c>
      <c r="G10" s="118"/>
      <c r="H10" s="119">
        <f>PL!H10/'PL USD'!$H$2</f>
        <v>0</v>
      </c>
      <c r="I10" s="119">
        <f>PL!I10/'PL USD'!$I$2</f>
        <v>0</v>
      </c>
      <c r="J10" s="119">
        <f>PL!J10/'PL USD'!$J$2</f>
        <v>0</v>
      </c>
      <c r="K10" s="119"/>
      <c r="L10" s="119"/>
      <c r="M10" s="119"/>
      <c r="N10" s="119"/>
      <c r="O10" s="119"/>
      <c r="P10" s="119"/>
      <c r="Q10" s="119"/>
      <c r="R10" s="119"/>
      <c r="S10" s="119"/>
      <c r="T10" s="123">
        <f t="shared" si="0"/>
        <v>0</v>
      </c>
    </row>
    <row r="11" spans="1:20" ht="18" customHeight="1">
      <c r="A11" s="118"/>
      <c r="B11" s="118"/>
      <c r="C11" s="118"/>
      <c r="D11" s="117"/>
      <c r="E11" s="122">
        <v>701.03</v>
      </c>
      <c r="F11" s="117" t="s">
        <v>97</v>
      </c>
      <c r="G11" s="118"/>
      <c r="H11" s="119">
        <f>PL!H11/'PL USD'!$H$2</f>
        <v>48341.124244123617</v>
      </c>
      <c r="I11" s="119">
        <f>PL!I11/'PL USD'!$I$2</f>
        <v>3927.4046109853448</v>
      </c>
      <c r="J11" s="119">
        <f>PL!J11/'PL USD'!$J$2</f>
        <v>5536.5280772654442</v>
      </c>
      <c r="K11" s="119"/>
      <c r="L11" s="119"/>
      <c r="M11" s="119"/>
      <c r="N11" s="119"/>
      <c r="O11" s="119"/>
      <c r="P11" s="119"/>
      <c r="Q11" s="119"/>
      <c r="R11" s="119"/>
      <c r="S11" s="119"/>
      <c r="T11" s="123">
        <f t="shared" si="0"/>
        <v>57805.056932374406</v>
      </c>
    </row>
    <row r="12" spans="1:20" ht="18" customHeight="1">
      <c r="A12" s="118"/>
      <c r="B12" s="118"/>
      <c r="C12" s="118"/>
      <c r="D12" s="117"/>
      <c r="E12" s="122" t="s">
        <v>297</v>
      </c>
      <c r="F12" s="117" t="s">
        <v>298</v>
      </c>
      <c r="G12" s="118"/>
      <c r="H12" s="119">
        <f>PL!H12/'PL USD'!$H$2</f>
        <v>199.55852523565207</v>
      </c>
      <c r="I12" s="119">
        <f>PL!I12/'PL USD'!$I$2</f>
        <v>-199.27320386035981</v>
      </c>
      <c r="J12" s="119">
        <f>PL!J12/'PL USD'!$J$2</f>
        <v>0</v>
      </c>
      <c r="K12" s="119"/>
      <c r="L12" s="119"/>
      <c r="M12" s="119"/>
      <c r="N12" s="119"/>
      <c r="O12" s="119"/>
      <c r="P12" s="119"/>
      <c r="Q12" s="119"/>
      <c r="R12" s="119"/>
      <c r="S12" s="119"/>
      <c r="T12" s="123">
        <f t="shared" si="0"/>
        <v>0.28532137529225565</v>
      </c>
    </row>
    <row r="13" spans="1:20" ht="18" customHeight="1">
      <c r="A13" s="118"/>
      <c r="B13" s="118"/>
      <c r="C13" s="118"/>
      <c r="D13" s="117" t="s">
        <v>183</v>
      </c>
      <c r="E13" s="118"/>
      <c r="F13" s="118"/>
      <c r="G13" s="118"/>
      <c r="H13" s="124">
        <f>SUM(H8:H12)</f>
        <v>197283.69250566757</v>
      </c>
      <c r="I13" s="124">
        <f>SUM(I8:I12)</f>
        <v>177316.79725962112</v>
      </c>
      <c r="J13" s="124">
        <f>SUM(J8:J12)</f>
        <v>270093.53797222715</v>
      </c>
      <c r="K13" s="124"/>
      <c r="L13" s="124"/>
      <c r="M13" s="124"/>
      <c r="N13" s="124"/>
      <c r="O13" s="124"/>
      <c r="P13" s="124"/>
      <c r="Q13" s="124"/>
      <c r="R13" s="124"/>
      <c r="S13" s="124"/>
      <c r="T13" s="124">
        <f>SUM(T8:T12)</f>
        <v>644694.02773751575</v>
      </c>
    </row>
    <row r="14" spans="1:20" ht="18" customHeight="1">
      <c r="A14" s="118"/>
      <c r="B14" s="118"/>
      <c r="C14" s="118"/>
      <c r="D14" s="118"/>
      <c r="E14" s="118" t="s">
        <v>184</v>
      </c>
      <c r="F14" s="118"/>
      <c r="G14" s="118"/>
      <c r="H14" s="119">
        <v>0</v>
      </c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39">
        <f>SUM(H14:S14)</f>
        <v>0</v>
      </c>
    </row>
    <row r="15" spans="1:20" ht="18" customHeight="1" thickBot="1">
      <c r="A15" s="118"/>
      <c r="B15" s="118"/>
      <c r="C15" s="117" t="s">
        <v>185</v>
      </c>
      <c r="D15" s="118"/>
      <c r="E15" s="118"/>
      <c r="F15" s="118"/>
      <c r="G15" s="118"/>
      <c r="H15" s="126">
        <f>H13+H14</f>
        <v>197283.69250566757</v>
      </c>
      <c r="I15" s="126">
        <f>I13+I14</f>
        <v>177316.79725962112</v>
      </c>
      <c r="J15" s="126">
        <f>J13+J14</f>
        <v>270093.53797222715</v>
      </c>
      <c r="K15" s="126"/>
      <c r="L15" s="126"/>
      <c r="M15" s="126"/>
      <c r="N15" s="126"/>
      <c r="O15" s="126"/>
      <c r="P15" s="126"/>
      <c r="Q15" s="126"/>
      <c r="R15" s="126"/>
      <c r="S15" s="126"/>
      <c r="T15" s="126">
        <f>T13+T14</f>
        <v>644694.02773751575</v>
      </c>
    </row>
    <row r="16" spans="1:20" ht="18" customHeight="1" thickTop="1">
      <c r="A16" s="118"/>
      <c r="B16" s="118"/>
      <c r="C16" s="117" t="s">
        <v>186</v>
      </c>
      <c r="D16" s="118"/>
      <c r="E16" s="118"/>
      <c r="F16" s="118"/>
      <c r="G16" s="118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25">
        <f>SUM(H16:L16)</f>
        <v>0</v>
      </c>
    </row>
    <row r="17" spans="1:20" ht="18" customHeight="1">
      <c r="A17" s="118"/>
      <c r="B17" s="118"/>
      <c r="C17" s="118"/>
      <c r="D17" s="118"/>
      <c r="E17" s="128">
        <v>1311.01</v>
      </c>
      <c r="F17" s="129" t="s">
        <v>187</v>
      </c>
      <c r="G17" s="130"/>
      <c r="H17" s="119">
        <f>PL!H18/'PL USD'!$H$2</f>
        <v>5028.5616274907597</v>
      </c>
      <c r="I17" s="119">
        <f>PL!I18/'PL USD'!$I$2</f>
        <v>6842.8901763374242</v>
      </c>
      <c r="J17" s="119">
        <f>PL!J18/'PL USD'!$J$2</f>
        <v>2015.2572547623286</v>
      </c>
      <c r="K17" s="131"/>
      <c r="L17" s="131"/>
      <c r="M17" s="131"/>
      <c r="N17" s="131"/>
      <c r="O17" s="131"/>
      <c r="P17" s="131"/>
      <c r="Q17" s="131"/>
      <c r="R17" s="131"/>
      <c r="S17" s="119"/>
      <c r="T17" s="123">
        <f>SUM(H17:S17)</f>
        <v>13886.709058590513</v>
      </c>
    </row>
    <row r="18" spans="1:20" ht="18" customHeight="1">
      <c r="A18" s="118"/>
      <c r="B18" s="118"/>
      <c r="C18" s="118"/>
      <c r="D18" s="118"/>
      <c r="E18" s="128">
        <v>1311.02</v>
      </c>
      <c r="F18" s="129" t="s">
        <v>188</v>
      </c>
      <c r="G18" s="130"/>
      <c r="H18" s="119">
        <f>PL!H19/'PL USD'!$H$2</f>
        <v>2444.2906520701622</v>
      </c>
      <c r="I18" s="119">
        <f>PL!I19/'PL USD'!$I$2</f>
        <v>3291.1575974025977</v>
      </c>
      <c r="J18" s="119">
        <f>PL!J19/'PL USD'!$J$2</f>
        <v>1594.92018277847</v>
      </c>
      <c r="K18" s="131"/>
      <c r="L18" s="131"/>
      <c r="M18" s="131"/>
      <c r="N18" s="131"/>
      <c r="O18" s="131"/>
      <c r="P18" s="131"/>
      <c r="Q18" s="131"/>
      <c r="R18" s="131"/>
      <c r="S18" s="119"/>
      <c r="T18" s="123">
        <f t="shared" ref="T18:T24" si="1">SUM(H18:S18)</f>
        <v>7330.3684322512299</v>
      </c>
    </row>
    <row r="19" spans="1:20" ht="18" customHeight="1">
      <c r="A19" s="118"/>
      <c r="B19" s="118"/>
      <c r="C19" s="118"/>
      <c r="D19" s="118"/>
      <c r="E19" s="128">
        <v>1311.03</v>
      </c>
      <c r="F19" s="129" t="s">
        <v>189</v>
      </c>
      <c r="G19" s="130"/>
      <c r="H19" s="119">
        <f>PL!H20/'PL USD'!$H$2</f>
        <v>5594.950275623436</v>
      </c>
      <c r="I19" s="119">
        <f>PL!I20/'PL USD'!$I$2</f>
        <v>4896.6792374597844</v>
      </c>
      <c r="J19" s="119">
        <f>PL!J20/'PL USD'!$J$2</f>
        <v>4814.1399537119396</v>
      </c>
      <c r="K19" s="131"/>
      <c r="L19" s="131"/>
      <c r="M19" s="131"/>
      <c r="N19" s="131"/>
      <c r="O19" s="131"/>
      <c r="P19" s="131"/>
      <c r="Q19" s="131"/>
      <c r="R19" s="131"/>
      <c r="S19" s="119"/>
      <c r="T19" s="123">
        <f t="shared" si="1"/>
        <v>15305.76946679516</v>
      </c>
    </row>
    <row r="20" spans="1:20" ht="18" customHeight="1">
      <c r="A20" s="118"/>
      <c r="B20" s="118"/>
      <c r="C20" s="118"/>
      <c r="D20" s="118"/>
      <c r="E20" s="128">
        <v>1311.04</v>
      </c>
      <c r="F20" s="129" t="s">
        <v>190</v>
      </c>
      <c r="G20" s="130"/>
      <c r="H20" s="119">
        <f>PL!H21/'PL USD'!$H$2</f>
        <v>192.0210595394291</v>
      </c>
      <c r="I20" s="119">
        <f>PL!I21/'PL USD'!$I$2</f>
        <v>828.39300607649227</v>
      </c>
      <c r="J20" s="119">
        <f>PL!J21/'PL USD'!$J$2</f>
        <v>352.41506438787013</v>
      </c>
      <c r="K20" s="131"/>
      <c r="L20" s="131"/>
      <c r="M20" s="131"/>
      <c r="N20" s="131"/>
      <c r="O20" s="131"/>
      <c r="P20" s="131"/>
      <c r="Q20" s="131"/>
      <c r="R20" s="131"/>
      <c r="S20" s="119"/>
      <c r="T20" s="123">
        <f t="shared" si="1"/>
        <v>1372.8291300037915</v>
      </c>
    </row>
    <row r="21" spans="1:20" ht="18" customHeight="1">
      <c r="A21" s="118"/>
      <c r="B21" s="118"/>
      <c r="C21" s="118"/>
      <c r="D21" s="118"/>
      <c r="E21" s="128">
        <v>1311.05</v>
      </c>
      <c r="F21" s="129" t="s">
        <v>191</v>
      </c>
      <c r="G21" s="130"/>
      <c r="H21" s="119">
        <f>PL!H22/'PL USD'!$H$2</f>
        <v>2375.7356520701942</v>
      </c>
      <c r="I21" s="119">
        <f>PL!I22/'PL USD'!$I$2</f>
        <v>6241.8701298701299</v>
      </c>
      <c r="J21" s="119">
        <f>PL!J22/'PL USD'!$J$2</f>
        <v>2432.419440982731</v>
      </c>
      <c r="K21" s="131"/>
      <c r="L21" s="131"/>
      <c r="M21" s="131"/>
      <c r="N21" s="131"/>
      <c r="O21" s="131"/>
      <c r="P21" s="131"/>
      <c r="Q21" s="131"/>
      <c r="R21" s="131"/>
      <c r="S21" s="119"/>
      <c r="T21" s="123">
        <f t="shared" si="1"/>
        <v>11050.025222923055</v>
      </c>
    </row>
    <row r="22" spans="1:20" ht="18" customHeight="1">
      <c r="A22" s="118"/>
      <c r="B22" s="118"/>
      <c r="C22" s="118"/>
      <c r="D22" s="118"/>
      <c r="E22" s="128">
        <v>1311.06</v>
      </c>
      <c r="F22" s="129" t="s">
        <v>192</v>
      </c>
      <c r="G22" s="130"/>
      <c r="H22" s="119">
        <f>PL!H23/'PL USD'!$H$2</f>
        <v>1215.6961758740003</v>
      </c>
      <c r="I22" s="119">
        <f>PL!I23/'PL USD'!$I$2</f>
        <v>835.51771118789452</v>
      </c>
      <c r="J22" s="119">
        <f>PL!J23/'PL USD'!$J$2</f>
        <v>633.96385971158963</v>
      </c>
      <c r="K22" s="131"/>
      <c r="L22" s="131"/>
      <c r="M22" s="131"/>
      <c r="N22" s="131"/>
      <c r="O22" s="131"/>
      <c r="P22" s="131"/>
      <c r="Q22" s="131"/>
      <c r="R22" s="131"/>
      <c r="S22" s="119"/>
      <c r="T22" s="123">
        <f t="shared" si="1"/>
        <v>2685.1777467734842</v>
      </c>
    </row>
    <row r="23" spans="1:20" ht="18" customHeight="1">
      <c r="A23" s="118"/>
      <c r="B23" s="118"/>
      <c r="C23" s="118"/>
      <c r="D23" s="118"/>
      <c r="E23" s="128">
        <v>1311.07</v>
      </c>
      <c r="F23" s="129" t="s">
        <v>135</v>
      </c>
      <c r="G23" s="118"/>
      <c r="H23" s="119">
        <f>PL!H24/'PL USD'!$H$2</f>
        <v>0</v>
      </c>
      <c r="I23" s="119">
        <f>PL!I24/'PL USD'!$I$2</f>
        <v>0</v>
      </c>
      <c r="J23" s="119">
        <f>PL!J24/'PL USD'!$J$2</f>
        <v>0</v>
      </c>
      <c r="K23" s="131"/>
      <c r="L23" s="131"/>
      <c r="M23" s="131"/>
      <c r="N23" s="131"/>
      <c r="O23" s="131"/>
      <c r="P23" s="131"/>
      <c r="Q23" s="131"/>
      <c r="R23" s="131"/>
      <c r="S23" s="119"/>
      <c r="T23" s="123">
        <f t="shared" si="1"/>
        <v>0</v>
      </c>
    </row>
    <row r="24" spans="1:20" ht="18" customHeight="1">
      <c r="A24" s="118"/>
      <c r="B24" s="118"/>
      <c r="C24" s="118"/>
      <c r="D24" s="118"/>
      <c r="E24" s="128">
        <v>1311.08</v>
      </c>
      <c r="F24" s="117" t="s">
        <v>21</v>
      </c>
      <c r="G24" s="118"/>
      <c r="H24" s="119">
        <f>PL!H25/'PL USD'!$H$2</f>
        <v>7965.4478176828534</v>
      </c>
      <c r="I24" s="119">
        <f>PL!I25/'PL USD'!$I$2</f>
        <v>10595.429836173</v>
      </c>
      <c r="J24" s="119">
        <f>PL!J25/'PL USD'!$J$2</f>
        <v>9584.9086701085962</v>
      </c>
      <c r="K24" s="131"/>
      <c r="L24" s="131"/>
      <c r="M24" s="131"/>
      <c r="N24" s="131"/>
      <c r="O24" s="131"/>
      <c r="P24" s="131"/>
      <c r="Q24" s="131"/>
      <c r="R24" s="131"/>
      <c r="S24" s="119"/>
      <c r="T24" s="123">
        <f t="shared" si="1"/>
        <v>28145.78632396445</v>
      </c>
    </row>
    <row r="25" spans="1:20" ht="18" customHeight="1">
      <c r="A25" s="118"/>
      <c r="B25" s="118"/>
      <c r="C25" s="118"/>
      <c r="D25" s="118"/>
      <c r="E25" s="128"/>
      <c r="F25" s="129" t="s">
        <v>193</v>
      </c>
      <c r="G25" s="130"/>
      <c r="H25" s="132">
        <f>SUM(H17:H24)</f>
        <v>24816.703260350834</v>
      </c>
      <c r="I25" s="132">
        <f>SUM(I17:I24)</f>
        <v>33531.937694507324</v>
      </c>
      <c r="J25" s="132">
        <f>SUM(J17:J24)</f>
        <v>21428.024426443524</v>
      </c>
      <c r="K25" s="132"/>
      <c r="L25" s="132"/>
      <c r="M25" s="132"/>
      <c r="N25" s="132"/>
      <c r="O25" s="132"/>
      <c r="P25" s="132"/>
      <c r="Q25" s="132"/>
      <c r="R25" s="132"/>
      <c r="S25" s="132"/>
      <c r="T25" s="132">
        <f>SUM(T17:T24)</f>
        <v>79776.665381301689</v>
      </c>
    </row>
    <row r="26" spans="1:20" ht="18" customHeight="1">
      <c r="A26" s="118"/>
      <c r="B26" s="118"/>
      <c r="C26" s="118"/>
      <c r="D26" s="133">
        <v>1</v>
      </c>
      <c r="E26" s="128">
        <v>1311.01</v>
      </c>
      <c r="F26" s="118" t="s">
        <v>194</v>
      </c>
      <c r="G26" s="118"/>
      <c r="H26" s="119">
        <f>PL!H27/'PL USD'!$H$2</f>
        <v>12612.778904665314</v>
      </c>
      <c r="I26" s="119">
        <f>PL!I27/'PL USD'!$I$2</f>
        <v>5918.3247944715831</v>
      </c>
      <c r="J26" s="119">
        <f>PL!J27/'PL USD'!$J$2</f>
        <v>17931.161936977034</v>
      </c>
      <c r="K26" s="119"/>
      <c r="L26" s="119"/>
      <c r="M26" s="119"/>
      <c r="N26" s="119"/>
      <c r="O26" s="119"/>
      <c r="P26" s="119"/>
      <c r="Q26" s="119"/>
      <c r="R26" s="119"/>
      <c r="S26" s="119"/>
      <c r="T26" s="123">
        <f>SUM(H26:S26)</f>
        <v>36462.265636113931</v>
      </c>
    </row>
    <row r="27" spans="1:20" ht="18" customHeight="1">
      <c r="A27" s="118"/>
      <c r="B27" s="118"/>
      <c r="C27" s="118"/>
      <c r="D27" s="133">
        <v>2</v>
      </c>
      <c r="E27" s="128">
        <v>1311.02</v>
      </c>
      <c r="F27" s="118" t="s">
        <v>195</v>
      </c>
      <c r="G27" s="118"/>
      <c r="H27" s="119">
        <f>PL!H28/'PL USD'!$H$2</f>
        <v>11597.038658871257</v>
      </c>
      <c r="I27" s="119">
        <f>PL!I28/'PL USD'!$I$2</f>
        <v>7533.2300726796138</v>
      </c>
      <c r="J27" s="119">
        <f>PL!J28/'PL USD'!$J$2</f>
        <v>14306.771789804759</v>
      </c>
      <c r="K27" s="119"/>
      <c r="L27" s="119"/>
      <c r="M27" s="119"/>
      <c r="N27" s="119"/>
      <c r="O27" s="119"/>
      <c r="P27" s="119"/>
      <c r="Q27" s="119"/>
      <c r="R27" s="119"/>
      <c r="S27" s="119"/>
      <c r="T27" s="123">
        <f>SUM(H27:S27)</f>
        <v>33437.04052135563</v>
      </c>
    </row>
    <row r="28" spans="1:20" ht="18" customHeight="1">
      <c r="A28" s="118"/>
      <c r="B28" s="118"/>
      <c r="C28" s="118"/>
      <c r="D28" s="133">
        <v>3</v>
      </c>
      <c r="E28" s="128">
        <v>1311.03</v>
      </c>
      <c r="F28" s="118" t="s">
        <v>196</v>
      </c>
      <c r="G28" s="118"/>
      <c r="H28" s="119">
        <f>PL!H29/'PL USD'!$H$2</f>
        <v>39323.779167163819</v>
      </c>
      <c r="I28" s="119">
        <f>PL!I29/'PL USD'!$I$2</f>
        <v>56052.240490885262</v>
      </c>
      <c r="J28" s="119">
        <f>PL!J29/'PL USD'!$J$2</f>
        <v>76865.693929737114</v>
      </c>
      <c r="K28" s="119"/>
      <c r="L28" s="119"/>
      <c r="M28" s="119"/>
      <c r="N28" s="119"/>
      <c r="O28" s="119"/>
      <c r="P28" s="119"/>
      <c r="Q28" s="119"/>
      <c r="R28" s="119"/>
      <c r="S28" s="119"/>
      <c r="T28" s="123">
        <f t="shared" ref="T28:T35" si="2">SUM(H28:S28)</f>
        <v>172241.71358778619</v>
      </c>
    </row>
    <row r="29" spans="1:20" ht="18" customHeight="1">
      <c r="A29" s="118"/>
      <c r="B29" s="118"/>
      <c r="C29" s="118"/>
      <c r="D29" s="133">
        <v>4</v>
      </c>
      <c r="E29" s="128">
        <v>1311.04</v>
      </c>
      <c r="F29" s="118" t="s">
        <v>197</v>
      </c>
      <c r="G29" s="118"/>
      <c r="H29" s="119">
        <f>PL!H30/'PL USD'!$H$2</f>
        <v>5056.9292447202006</v>
      </c>
      <c r="I29" s="119">
        <f>PL!I30/'PL USD'!$I$2</f>
        <v>5191.8265221017518</v>
      </c>
      <c r="J29" s="119">
        <f>PL!J30/'PL USD'!$J$2</f>
        <v>9254.5323547563949</v>
      </c>
      <c r="K29" s="119"/>
      <c r="L29" s="119"/>
      <c r="M29" s="119"/>
      <c r="N29" s="119"/>
      <c r="O29" s="119"/>
      <c r="P29" s="119"/>
      <c r="Q29" s="119"/>
      <c r="R29" s="119"/>
      <c r="S29" s="119"/>
      <c r="T29" s="123">
        <f t="shared" si="2"/>
        <v>19503.288121578349</v>
      </c>
    </row>
    <row r="30" spans="1:20" ht="18" customHeight="1">
      <c r="A30" s="118"/>
      <c r="B30" s="118"/>
      <c r="C30" s="118"/>
      <c r="D30" s="133">
        <v>5</v>
      </c>
      <c r="E30" s="128">
        <v>1311.05</v>
      </c>
      <c r="F30" s="118" t="s">
        <v>198</v>
      </c>
      <c r="G30" s="118"/>
      <c r="H30" s="119">
        <f>PL!H31/'PL USD'!$H$2</f>
        <v>32463.751163345663</v>
      </c>
      <c r="I30" s="119">
        <f>PL!I31/'PL USD'!$I$2</f>
        <v>22134.457285833432</v>
      </c>
      <c r="J30" s="119">
        <f>PL!J31/'PL USD'!$J$2</f>
        <v>38870.100302652667</v>
      </c>
      <c r="K30" s="119"/>
      <c r="L30" s="119"/>
      <c r="M30" s="119"/>
      <c r="N30" s="119"/>
      <c r="O30" s="119"/>
      <c r="P30" s="119"/>
      <c r="Q30" s="119"/>
      <c r="R30" s="119"/>
      <c r="S30" s="119"/>
      <c r="T30" s="123">
        <f t="shared" si="2"/>
        <v>93468.308751831762</v>
      </c>
    </row>
    <row r="31" spans="1:20" ht="18" customHeight="1">
      <c r="A31" s="118"/>
      <c r="B31" s="118"/>
      <c r="C31" s="118"/>
      <c r="D31" s="133">
        <v>6</v>
      </c>
      <c r="E31" s="128">
        <v>1311.06</v>
      </c>
      <c r="F31" s="118" t="s">
        <v>199</v>
      </c>
      <c r="G31" s="118"/>
      <c r="H31" s="119">
        <f>PL!H32/'PL USD'!$H$2</f>
        <v>1712.8028278248419</v>
      </c>
      <c r="I31" s="119">
        <f>PL!I32/'PL USD'!$I$2</f>
        <v>0</v>
      </c>
      <c r="J31" s="119">
        <f>PL!J32/'PL USD'!$J$2</f>
        <v>818.87519138330072</v>
      </c>
      <c r="K31" s="119"/>
      <c r="L31" s="119"/>
      <c r="M31" s="119"/>
      <c r="N31" s="119"/>
      <c r="O31" s="119"/>
      <c r="P31" s="119"/>
      <c r="Q31" s="119"/>
      <c r="R31" s="119"/>
      <c r="S31" s="119"/>
      <c r="T31" s="123">
        <f t="shared" si="2"/>
        <v>2531.6780192081424</v>
      </c>
    </row>
    <row r="32" spans="1:20" ht="18" customHeight="1">
      <c r="A32" s="118"/>
      <c r="B32" s="118"/>
      <c r="C32" s="118"/>
      <c r="D32" s="133">
        <v>7</v>
      </c>
      <c r="E32" s="128">
        <v>1311.07</v>
      </c>
      <c r="F32" s="118" t="s">
        <v>135</v>
      </c>
      <c r="G32" s="118"/>
      <c r="H32" s="119">
        <f>PL!H33/'PL USD'!$H$2</f>
        <v>0</v>
      </c>
      <c r="I32" s="119">
        <f>PL!I33/'PL USD'!$I$2</f>
        <v>0</v>
      </c>
      <c r="J32" s="119">
        <f>PL!J33/'PL USD'!$J$2</f>
        <v>37590.359040413037</v>
      </c>
      <c r="K32" s="119"/>
      <c r="L32" s="119"/>
      <c r="M32" s="119"/>
      <c r="N32" s="119"/>
      <c r="O32" s="119"/>
      <c r="P32" s="119"/>
      <c r="Q32" s="119"/>
      <c r="R32" s="119"/>
      <c r="S32" s="119"/>
      <c r="T32" s="123">
        <f t="shared" si="2"/>
        <v>37590.359040413037</v>
      </c>
    </row>
    <row r="33" spans="1:20" ht="18" customHeight="1">
      <c r="A33" s="118"/>
      <c r="B33" s="118"/>
      <c r="C33" s="118"/>
      <c r="D33" s="133">
        <v>8</v>
      </c>
      <c r="E33" s="128">
        <v>1311.08</v>
      </c>
      <c r="F33" s="118" t="s">
        <v>21</v>
      </c>
      <c r="G33" s="118"/>
      <c r="H33" s="119">
        <f>PL!H34/'PL USD'!$H$2</f>
        <v>32751.874770910392</v>
      </c>
      <c r="I33" s="119">
        <f>PL!I34/'PL USD'!$I$2</f>
        <v>9078.6380733944952</v>
      </c>
      <c r="J33" s="119">
        <f>PL!J34/'PL USD'!$J$2</f>
        <v>0</v>
      </c>
      <c r="K33" s="119"/>
      <c r="L33" s="119"/>
      <c r="M33" s="119"/>
      <c r="N33" s="119"/>
      <c r="O33" s="119"/>
      <c r="P33" s="119"/>
      <c r="Q33" s="119"/>
      <c r="R33" s="119"/>
      <c r="S33" s="119"/>
      <c r="T33" s="123">
        <f t="shared" si="2"/>
        <v>41830.512844304889</v>
      </c>
    </row>
    <row r="34" spans="1:20" ht="18" customHeight="1">
      <c r="A34" s="118"/>
      <c r="B34" s="118"/>
      <c r="C34" s="118"/>
      <c r="D34" s="133"/>
      <c r="E34" s="128"/>
      <c r="F34" s="117" t="s">
        <v>200</v>
      </c>
      <c r="G34" s="130"/>
      <c r="H34" s="132">
        <f>SUM(H26:H33)</f>
        <v>135518.95473750148</v>
      </c>
      <c r="I34" s="132">
        <f>SUM(I26:I33)</f>
        <v>105908.71723936613</v>
      </c>
      <c r="J34" s="132">
        <f>SUM(J26:J33)</f>
        <v>195637.4945457243</v>
      </c>
      <c r="K34" s="132"/>
      <c r="L34" s="132"/>
      <c r="M34" s="132"/>
      <c r="N34" s="132"/>
      <c r="O34" s="132"/>
      <c r="P34" s="132"/>
      <c r="Q34" s="132"/>
      <c r="R34" s="132"/>
      <c r="S34" s="132"/>
      <c r="T34" s="132">
        <f>SUM(T26:T33)</f>
        <v>437065.16652259196</v>
      </c>
    </row>
    <row r="35" spans="1:20" ht="18" customHeight="1">
      <c r="A35" s="118"/>
      <c r="B35" s="118"/>
      <c r="C35" s="118"/>
      <c r="D35" s="133">
        <v>9</v>
      </c>
      <c r="E35" s="128">
        <v>1311.01</v>
      </c>
      <c r="F35" s="118" t="s">
        <v>201</v>
      </c>
      <c r="G35" s="118"/>
      <c r="H35" s="119">
        <f>PL!H36/'PL USD'!$H$2</f>
        <v>6852.6878952392317</v>
      </c>
      <c r="I35" s="119">
        <f>PL!I36/'PL USD'!$I$2</f>
        <v>2023.0608840700584</v>
      </c>
      <c r="J35" s="119">
        <f>PL!J36/'PL USD'!$J$2</f>
        <v>6567.5864340395228</v>
      </c>
      <c r="K35" s="119"/>
      <c r="L35" s="119"/>
      <c r="M35" s="119"/>
      <c r="N35" s="119"/>
      <c r="O35" s="119"/>
      <c r="P35" s="119"/>
      <c r="Q35" s="119"/>
      <c r="R35" s="119"/>
      <c r="S35" s="119"/>
      <c r="T35" s="123">
        <f t="shared" si="2"/>
        <v>15443.335213348812</v>
      </c>
    </row>
    <row r="36" spans="1:20" ht="18" customHeight="1">
      <c r="A36" s="118"/>
      <c r="B36" s="118"/>
      <c r="C36" s="118"/>
      <c r="D36" s="133">
        <v>10</v>
      </c>
      <c r="E36" s="128">
        <v>1311.02</v>
      </c>
      <c r="F36" s="118" t="s">
        <v>202</v>
      </c>
      <c r="G36" s="118"/>
      <c r="H36" s="119">
        <f>PL!H37/'PL USD'!$H$2</f>
        <v>3295.869909915285</v>
      </c>
      <c r="I36" s="119">
        <f>PL!I37/'PL USD'!$I$2</f>
        <v>1601.0961515548672</v>
      </c>
      <c r="J36" s="119">
        <f>PL!J37/'PL USD'!$J$2</f>
        <v>2171.6930745949758</v>
      </c>
      <c r="K36" s="119"/>
      <c r="L36" s="119"/>
      <c r="M36" s="119"/>
      <c r="N36" s="119"/>
      <c r="O36" s="119"/>
      <c r="P36" s="119"/>
      <c r="Q36" s="119"/>
      <c r="R36" s="119"/>
      <c r="S36" s="119"/>
      <c r="T36" s="123">
        <f>SUM(H36:S36)</f>
        <v>7068.6591360651282</v>
      </c>
    </row>
    <row r="37" spans="1:20" ht="18" customHeight="1">
      <c r="A37" s="118"/>
      <c r="B37" s="118"/>
      <c r="C37" s="118"/>
      <c r="D37" s="133">
        <v>11</v>
      </c>
      <c r="E37" s="128">
        <v>1311.03</v>
      </c>
      <c r="F37" s="118" t="s">
        <v>203</v>
      </c>
      <c r="G37" s="118"/>
      <c r="H37" s="119">
        <f>PL!H38/'PL USD'!$H$2</f>
        <v>4903.6903519866337</v>
      </c>
      <c r="I37" s="119">
        <f>PL!I38/'PL USD'!$I$2</f>
        <v>4832.7816251638205</v>
      </c>
      <c r="J37" s="119">
        <f>PL!J38/'PL USD'!$J$2</f>
        <v>4954.6095632306688</v>
      </c>
      <c r="K37" s="119"/>
      <c r="L37" s="119"/>
      <c r="M37" s="119"/>
      <c r="N37" s="119"/>
      <c r="O37" s="119"/>
      <c r="P37" s="119"/>
      <c r="Q37" s="119"/>
      <c r="R37" s="119"/>
      <c r="S37" s="119"/>
      <c r="T37" s="123">
        <f t="shared" ref="T37:T42" si="3">SUM(H37:S37)</f>
        <v>14691.081540381121</v>
      </c>
    </row>
    <row r="38" spans="1:20" ht="18" customHeight="1">
      <c r="A38" s="118"/>
      <c r="B38" s="118"/>
      <c r="C38" s="118"/>
      <c r="D38" s="133">
        <v>12</v>
      </c>
      <c r="E38" s="128">
        <v>1311.04</v>
      </c>
      <c r="F38" s="118" t="s">
        <v>204</v>
      </c>
      <c r="G38" s="118"/>
      <c r="H38" s="119">
        <f>PL!H39/'PL USD'!$H$2</f>
        <v>829.57910750507097</v>
      </c>
      <c r="I38" s="119">
        <f>PL!I39/'PL USD'!$I$2</f>
        <v>353.77971226021685</v>
      </c>
      <c r="J38" s="119">
        <f>PL!J39/'PL USD'!$J$2</f>
        <v>727.96592546436432</v>
      </c>
      <c r="K38" s="119"/>
      <c r="L38" s="119"/>
      <c r="M38" s="119"/>
      <c r="N38" s="119"/>
      <c r="O38" s="119"/>
      <c r="P38" s="119"/>
      <c r="Q38" s="119"/>
      <c r="R38" s="119"/>
      <c r="S38" s="119"/>
      <c r="T38" s="123">
        <f t="shared" si="3"/>
        <v>1911.3247452296521</v>
      </c>
    </row>
    <row r="39" spans="1:20" ht="18" customHeight="1">
      <c r="A39" s="118"/>
      <c r="B39" s="118"/>
      <c r="C39" s="118"/>
      <c r="D39" s="133">
        <v>13</v>
      </c>
      <c r="E39" s="128">
        <v>1311.05</v>
      </c>
      <c r="F39" s="118" t="s">
        <v>205</v>
      </c>
      <c r="G39" s="118"/>
      <c r="H39" s="119">
        <f>PL!H40/'PL USD'!$H$2</f>
        <v>6250.8073022312374</v>
      </c>
      <c r="I39" s="119">
        <f>PL!I40/'PL USD'!$I$2</f>
        <v>2441.8384367925651</v>
      </c>
      <c r="J39" s="119">
        <f>PL!J40/'PL USD'!$J$2</f>
        <v>1725.6329713370155</v>
      </c>
      <c r="K39" s="119"/>
      <c r="L39" s="119"/>
      <c r="M39" s="119"/>
      <c r="N39" s="119"/>
      <c r="O39" s="119"/>
      <c r="P39" s="119"/>
      <c r="Q39" s="119"/>
      <c r="R39" s="119"/>
      <c r="S39" s="119"/>
      <c r="T39" s="123">
        <f t="shared" si="3"/>
        <v>10418.278710360819</v>
      </c>
    </row>
    <row r="40" spans="1:20" ht="18" customHeight="1">
      <c r="A40" s="118"/>
      <c r="B40" s="118"/>
      <c r="C40" s="118"/>
      <c r="D40" s="133">
        <v>14</v>
      </c>
      <c r="E40" s="128">
        <v>1311.06</v>
      </c>
      <c r="F40" s="118" t="s">
        <v>206</v>
      </c>
      <c r="G40" s="118"/>
      <c r="H40" s="119">
        <f>PL!H41/'PL USD'!$H$2</f>
        <v>836.71401384083026</v>
      </c>
      <c r="I40" s="119">
        <f>PL!I41/'PL USD'!$I$2</f>
        <v>636.41874180864988</v>
      </c>
      <c r="J40" s="119">
        <f>PL!J41/'PL USD'!$J$2</f>
        <v>1201.0192843154709</v>
      </c>
      <c r="K40" s="119"/>
      <c r="L40" s="119"/>
      <c r="M40" s="119"/>
      <c r="N40" s="119"/>
      <c r="O40" s="119"/>
      <c r="P40" s="119"/>
      <c r="Q40" s="119"/>
      <c r="R40" s="119"/>
      <c r="S40" s="119"/>
      <c r="T40" s="123">
        <f t="shared" si="3"/>
        <v>2674.1520399649512</v>
      </c>
    </row>
    <row r="41" spans="1:20" ht="18" customHeight="1">
      <c r="A41" s="118"/>
      <c r="B41" s="118"/>
      <c r="C41" s="118"/>
      <c r="D41" s="133">
        <v>15</v>
      </c>
      <c r="E41" s="128">
        <v>1311.07</v>
      </c>
      <c r="F41" s="118" t="s">
        <v>135</v>
      </c>
      <c r="G41" s="118"/>
      <c r="H41" s="119">
        <f>PL!H42/'PL USD'!$H$2</f>
        <v>0</v>
      </c>
      <c r="I41" s="119">
        <f>PL!I42/'PL USD'!$I$2</f>
        <v>0</v>
      </c>
      <c r="J41" s="119">
        <f>PL!J42/'PL USD'!$J$2</f>
        <v>7564.4184914841853</v>
      </c>
      <c r="K41" s="119"/>
      <c r="L41" s="119"/>
      <c r="M41" s="119"/>
      <c r="N41" s="119"/>
      <c r="O41" s="119"/>
      <c r="P41" s="119"/>
      <c r="Q41" s="119"/>
      <c r="R41" s="119"/>
      <c r="S41" s="119"/>
      <c r="T41" s="123">
        <f t="shared" si="3"/>
        <v>7564.4184914841853</v>
      </c>
    </row>
    <row r="42" spans="1:20" ht="18" customHeight="1">
      <c r="A42" s="118"/>
      <c r="B42" s="118"/>
      <c r="C42" s="118"/>
      <c r="D42" s="133">
        <v>16</v>
      </c>
      <c r="E42" s="128">
        <v>1311.08</v>
      </c>
      <c r="F42" s="118" t="s">
        <v>21</v>
      </c>
      <c r="G42" s="118"/>
      <c r="H42" s="119">
        <f>PL!H43/'PL USD'!$H$2</f>
        <v>10610.600479059778</v>
      </c>
      <c r="I42" s="119">
        <f>PL!I43/'PL USD'!$I$2</f>
        <v>9622.0240676754402</v>
      </c>
      <c r="J42" s="119">
        <f>PL!J43/'PL USD'!$J$2</f>
        <v>0</v>
      </c>
      <c r="K42" s="119"/>
      <c r="L42" s="119"/>
      <c r="M42" s="119"/>
      <c r="N42" s="119"/>
      <c r="O42" s="119"/>
      <c r="P42" s="119"/>
      <c r="Q42" s="119"/>
      <c r="R42" s="119"/>
      <c r="S42" s="119"/>
      <c r="T42" s="123">
        <f t="shared" si="3"/>
        <v>20232.62454673522</v>
      </c>
    </row>
    <row r="43" spans="1:20" ht="18" customHeight="1">
      <c r="A43" s="118"/>
      <c r="B43" s="118"/>
      <c r="C43" s="118"/>
      <c r="D43" s="118"/>
      <c r="E43" s="128"/>
      <c r="F43" s="129" t="s">
        <v>207</v>
      </c>
      <c r="G43" s="130"/>
      <c r="H43" s="132">
        <f>SUM(H35:H42)</f>
        <v>33579.949059778068</v>
      </c>
      <c r="I43" s="132">
        <f>SUM(I35:I42)</f>
        <v>21510.999619325616</v>
      </c>
      <c r="J43" s="132">
        <f>SUM(J35:J42)</f>
        <v>24912.925744466203</v>
      </c>
      <c r="K43" s="132"/>
      <c r="L43" s="132"/>
      <c r="M43" s="132"/>
      <c r="N43" s="132"/>
      <c r="O43" s="132"/>
      <c r="P43" s="132"/>
      <c r="Q43" s="132"/>
      <c r="R43" s="132"/>
      <c r="S43" s="132"/>
      <c r="T43" s="132">
        <f>SUM(T35:T42)</f>
        <v>80003.874423569883</v>
      </c>
    </row>
    <row r="44" spans="1:20" ht="18" customHeight="1">
      <c r="A44" s="118"/>
      <c r="B44" s="118"/>
      <c r="C44" s="118"/>
      <c r="D44" s="118"/>
      <c r="E44" s="128"/>
      <c r="F44" s="117" t="s">
        <v>208</v>
      </c>
      <c r="G44" s="130"/>
      <c r="H44" s="27">
        <f>H25+H34-H43</f>
        <v>126755.70893807424</v>
      </c>
      <c r="I44" s="27">
        <f>I25+I34-I43</f>
        <v>117929.65531454782</v>
      </c>
      <c r="J44" s="27">
        <f>J25+J34-J43</f>
        <v>192152.59322770164</v>
      </c>
      <c r="K44" s="134"/>
      <c r="L44" s="134"/>
      <c r="M44" s="134"/>
      <c r="N44" s="134"/>
      <c r="O44" s="134"/>
      <c r="P44" s="134"/>
      <c r="Q44" s="134"/>
      <c r="R44" s="134"/>
      <c r="S44" s="134"/>
      <c r="T44" s="27">
        <f>T25+T34-T43</f>
        <v>436837.95748032373</v>
      </c>
    </row>
    <row r="45" spans="1:20" ht="18" customHeight="1">
      <c r="A45" s="118"/>
      <c r="B45" s="118"/>
      <c r="C45" s="118"/>
      <c r="D45" s="118"/>
      <c r="E45" s="128">
        <v>663.00009999999997</v>
      </c>
      <c r="F45" s="135" t="s">
        <v>249</v>
      </c>
      <c r="G45" s="130"/>
      <c r="H45" s="119">
        <f>PL!H46/'PL USD'!$H$2</f>
        <v>-70.653352821866122</v>
      </c>
      <c r="I45" s="136">
        <v>0</v>
      </c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23">
        <f t="shared" ref="T45" si="4">SUM(H45:S45)</f>
        <v>-70.653352821866122</v>
      </c>
    </row>
    <row r="46" spans="1:20" ht="18" customHeight="1">
      <c r="A46" s="118"/>
      <c r="B46" s="118"/>
      <c r="C46" s="118"/>
      <c r="D46" s="118"/>
      <c r="E46" s="128"/>
      <c r="F46" s="117" t="s">
        <v>209</v>
      </c>
      <c r="G46" s="118"/>
      <c r="H46" s="26">
        <f>SUM(H44:H45)</f>
        <v>126685.05558525237</v>
      </c>
      <c r="I46" s="26">
        <f>SUM(I44:I45)</f>
        <v>117929.65531454782</v>
      </c>
      <c r="J46" s="26">
        <f>SUM(J44:J45)</f>
        <v>192152.59322770164</v>
      </c>
      <c r="K46" s="132"/>
      <c r="L46" s="132"/>
      <c r="M46" s="132"/>
      <c r="N46" s="132"/>
      <c r="O46" s="132"/>
      <c r="P46" s="132"/>
      <c r="Q46" s="132"/>
      <c r="R46" s="132"/>
      <c r="S46" s="132"/>
      <c r="T46" s="26">
        <f>SUM(T44:T45)</f>
        <v>436767.30412750185</v>
      </c>
    </row>
    <row r="47" spans="1:20" ht="18" customHeight="1">
      <c r="A47" s="118"/>
      <c r="B47" s="118"/>
      <c r="C47" s="118"/>
      <c r="D47" s="118">
        <v>17</v>
      </c>
      <c r="E47" s="128">
        <v>1331.01</v>
      </c>
      <c r="F47" s="137" t="s">
        <v>210</v>
      </c>
      <c r="G47" s="138"/>
      <c r="H47" s="119">
        <f>PL!H48/'PL USD'!$H$2</f>
        <v>751.7002744302589</v>
      </c>
      <c r="I47" s="119">
        <f>PL!I48/'PL USD'!$I$2</f>
        <v>796.79494817109492</v>
      </c>
      <c r="J47" s="119">
        <f>PL!J48/'PL USD'!$J$2</f>
        <v>1104.0887781140584</v>
      </c>
      <c r="K47" s="119"/>
      <c r="L47" s="138"/>
      <c r="M47" s="138"/>
      <c r="N47" s="138"/>
      <c r="O47" s="138"/>
      <c r="P47" s="138"/>
      <c r="Q47" s="138"/>
      <c r="R47" s="138"/>
      <c r="S47" s="139"/>
      <c r="T47" s="123">
        <f t="shared" ref="T47:T69" si="5">SUM(H47:S47)</f>
        <v>2652.584000715412</v>
      </c>
    </row>
    <row r="48" spans="1:20" ht="18" customHeight="1">
      <c r="A48" s="118"/>
      <c r="B48" s="118"/>
      <c r="C48" s="118"/>
      <c r="D48" s="118">
        <v>18</v>
      </c>
      <c r="E48" s="128">
        <v>1331.02</v>
      </c>
      <c r="F48" s="140" t="s">
        <v>211</v>
      </c>
      <c r="G48" s="138"/>
      <c r="H48" s="119">
        <f>PL!H49/'PL USD'!$H$2</f>
        <v>4142.6768881994985</v>
      </c>
      <c r="I48" s="119">
        <f>PL!I49/'PL USD'!$I$2</f>
        <v>1457.464553794829</v>
      </c>
      <c r="J48" s="119">
        <f>PL!J49/'PL USD'!$J$2</f>
        <v>2507.7443475164678</v>
      </c>
      <c r="K48" s="119"/>
      <c r="L48" s="138"/>
      <c r="M48" s="138"/>
      <c r="N48" s="138"/>
      <c r="O48" s="138"/>
      <c r="P48" s="138"/>
      <c r="Q48" s="138"/>
      <c r="R48" s="138"/>
      <c r="S48" s="156"/>
      <c r="T48" s="123">
        <f t="shared" si="5"/>
        <v>8107.8857895107958</v>
      </c>
    </row>
    <row r="49" spans="1:20" ht="18" customHeight="1">
      <c r="A49" s="118"/>
      <c r="B49" s="118"/>
      <c r="C49" s="118"/>
      <c r="D49" s="118">
        <v>19</v>
      </c>
      <c r="E49" s="128">
        <v>1331.03</v>
      </c>
      <c r="F49" s="141" t="s">
        <v>122</v>
      </c>
      <c r="G49" s="138"/>
      <c r="H49" s="119">
        <f>PL!H50/'PL USD'!$H$2</f>
        <v>134.34209760171819</v>
      </c>
      <c r="I49" s="119">
        <f>PL!I50/'PL USD'!$I$2</f>
        <v>194.4852138687001</v>
      </c>
      <c r="J49" s="119">
        <f>PL!J50/'PL USD'!$J$2</f>
        <v>375.71395525488106</v>
      </c>
      <c r="K49" s="119"/>
      <c r="L49" s="138"/>
      <c r="M49" s="138"/>
      <c r="N49" s="138"/>
      <c r="O49" s="138"/>
      <c r="P49" s="138"/>
      <c r="Q49" s="138"/>
      <c r="R49" s="138"/>
      <c r="S49" s="156"/>
      <c r="T49" s="123">
        <f t="shared" si="5"/>
        <v>704.54126672529935</v>
      </c>
    </row>
    <row r="50" spans="1:20" ht="18" customHeight="1">
      <c r="A50" s="118"/>
      <c r="B50" s="118"/>
      <c r="C50" s="118"/>
      <c r="D50" s="118">
        <v>20</v>
      </c>
      <c r="E50" s="128">
        <v>1331.04</v>
      </c>
      <c r="F50" s="141" t="s">
        <v>212</v>
      </c>
      <c r="G50" s="138"/>
      <c r="H50" s="119">
        <f>PL!H51/'PL USD'!$H$2</f>
        <v>166.6355327526548</v>
      </c>
      <c r="I50" s="119">
        <f>PL!I51/'PL USD'!$I$2</f>
        <v>124.57662337662337</v>
      </c>
      <c r="J50" s="119">
        <f>PL!J51/'PL USD'!$J$2</f>
        <v>525.54253160049848</v>
      </c>
      <c r="K50" s="119"/>
      <c r="L50" s="138"/>
      <c r="M50" s="138"/>
      <c r="N50" s="138"/>
      <c r="O50" s="138"/>
      <c r="P50" s="138"/>
      <c r="Q50" s="138"/>
      <c r="R50" s="138"/>
      <c r="S50" s="156"/>
      <c r="T50" s="123">
        <f t="shared" si="5"/>
        <v>816.75468772977661</v>
      </c>
    </row>
    <row r="51" spans="1:20" ht="18" customHeight="1">
      <c r="A51" s="118"/>
      <c r="B51" s="118"/>
      <c r="C51" s="118"/>
      <c r="D51" s="118">
        <v>21</v>
      </c>
      <c r="E51" s="128" t="s">
        <v>271</v>
      </c>
      <c r="F51" s="137" t="s">
        <v>213</v>
      </c>
      <c r="G51" s="138"/>
      <c r="H51" s="119">
        <f>PL!H52/'PL USD'!$H$2</f>
        <v>7981.1857081493854</v>
      </c>
      <c r="I51" s="119">
        <f>PL!I52/'PL USD'!$I$2</f>
        <v>4651.7040492076731</v>
      </c>
      <c r="J51" s="119">
        <f>PL!J52/'PL USD'!$J$2</f>
        <v>6091.3546970506204</v>
      </c>
      <c r="K51" s="119"/>
      <c r="L51" s="138"/>
      <c r="M51" s="138"/>
      <c r="N51" s="138"/>
      <c r="O51" s="138"/>
      <c r="P51" s="138"/>
      <c r="Q51" s="138"/>
      <c r="R51" s="138"/>
      <c r="S51" s="156"/>
      <c r="T51" s="123">
        <f t="shared" si="5"/>
        <v>18724.244454407679</v>
      </c>
    </row>
    <row r="52" spans="1:20" ht="18" customHeight="1">
      <c r="A52" s="118"/>
      <c r="B52" s="118"/>
      <c r="C52" s="118"/>
      <c r="D52" s="118">
        <v>22</v>
      </c>
      <c r="E52" s="128" t="s">
        <v>273</v>
      </c>
      <c r="F52" s="137" t="s">
        <v>214</v>
      </c>
      <c r="G52" s="138"/>
      <c r="H52" s="119">
        <f>PL!H53/'PL USD'!$H$2</f>
        <v>2347.5105751103688</v>
      </c>
      <c r="I52" s="119">
        <f>PL!I53/'PL USD'!$I$2</f>
        <v>2323.1773853211012</v>
      </c>
      <c r="J52" s="119">
        <f>PL!J53/'PL USD'!$J$2</f>
        <v>2235.7819868257075</v>
      </c>
      <c r="K52" s="119"/>
      <c r="L52" s="138"/>
      <c r="M52" s="138"/>
      <c r="N52" s="138"/>
      <c r="O52" s="138"/>
      <c r="P52" s="138"/>
      <c r="Q52" s="138"/>
      <c r="R52" s="138"/>
      <c r="S52" s="156"/>
      <c r="T52" s="123">
        <f t="shared" si="5"/>
        <v>6906.4699472571774</v>
      </c>
    </row>
    <row r="53" spans="1:20" ht="18" customHeight="1">
      <c r="A53" s="118"/>
      <c r="B53" s="118"/>
      <c r="C53" s="118"/>
      <c r="D53" s="118">
        <v>23</v>
      </c>
      <c r="E53" s="128" t="s">
        <v>275</v>
      </c>
      <c r="F53" s="137" t="s">
        <v>276</v>
      </c>
      <c r="G53" s="138"/>
      <c r="H53" s="119">
        <f>PL!H54/'PL USD'!$H$2</f>
        <v>355.39315117527741</v>
      </c>
      <c r="I53" s="119">
        <f>PL!I54/'PL USD'!$I$2</f>
        <v>341.73120457524129</v>
      </c>
      <c r="J53" s="119">
        <f>PL!J54/'PL USD'!$J$2</f>
        <v>336.72779063557061</v>
      </c>
      <c r="K53" s="119"/>
      <c r="L53" s="138"/>
      <c r="M53" s="138"/>
      <c r="N53" s="138"/>
      <c r="O53" s="138"/>
      <c r="P53" s="138"/>
      <c r="Q53" s="138"/>
      <c r="R53" s="138"/>
      <c r="S53" s="156"/>
      <c r="T53" s="123">
        <f t="shared" si="5"/>
        <v>1033.8521463860893</v>
      </c>
    </row>
    <row r="54" spans="1:20" ht="18" customHeight="1">
      <c r="A54" s="118"/>
      <c r="B54" s="118"/>
      <c r="C54" s="118"/>
      <c r="D54" s="118">
        <v>24</v>
      </c>
      <c r="E54" s="128" t="s">
        <v>315</v>
      </c>
      <c r="F54" s="137" t="s">
        <v>316</v>
      </c>
      <c r="G54" s="138"/>
      <c r="H54" s="119"/>
      <c r="I54" s="119">
        <f>PL!I55/'PL USD'!$I$2</f>
        <v>32.765399737876805</v>
      </c>
      <c r="J54" s="119">
        <f>PL!J55/'PL USD'!$J$2</f>
        <v>0</v>
      </c>
      <c r="K54" s="119"/>
      <c r="L54" s="138"/>
      <c r="M54" s="138"/>
      <c r="N54" s="138"/>
      <c r="O54" s="138"/>
      <c r="P54" s="138"/>
      <c r="Q54" s="138"/>
      <c r="R54" s="138"/>
      <c r="S54" s="156"/>
      <c r="T54" s="123"/>
    </row>
    <row r="55" spans="1:20" ht="18" customHeight="1">
      <c r="A55" s="118"/>
      <c r="B55" s="118"/>
      <c r="C55" s="118"/>
      <c r="D55" s="118">
        <v>25</v>
      </c>
      <c r="E55" s="128" t="s">
        <v>277</v>
      </c>
      <c r="F55" s="137" t="s">
        <v>278</v>
      </c>
      <c r="G55" s="138"/>
      <c r="H55" s="119">
        <f>PL!H56/'PL USD'!$H$2</f>
        <v>3990.9318697052859</v>
      </c>
      <c r="I55" s="119">
        <f>PL!I56/'PL USD'!$I$2</f>
        <v>1224.234481115215</v>
      </c>
      <c r="J55" s="119">
        <f>PL!J56/'PL USD'!$J$2</f>
        <v>368.40543587917631</v>
      </c>
      <c r="K55" s="119"/>
      <c r="L55" s="138"/>
      <c r="M55" s="138"/>
      <c r="N55" s="138"/>
      <c r="O55" s="138"/>
      <c r="P55" s="138"/>
      <c r="Q55" s="138"/>
      <c r="R55" s="138"/>
      <c r="S55" s="156"/>
      <c r="T55" s="123">
        <f t="shared" si="5"/>
        <v>5583.5717866996774</v>
      </c>
    </row>
    <row r="56" spans="1:20" ht="18" customHeight="1">
      <c r="A56" s="118"/>
      <c r="B56" s="118"/>
      <c r="C56" s="118"/>
      <c r="D56" s="118">
        <v>26</v>
      </c>
      <c r="E56" s="128" t="s">
        <v>279</v>
      </c>
      <c r="F56" s="137" t="s">
        <v>280</v>
      </c>
      <c r="G56" s="138"/>
      <c r="H56" s="119">
        <f>PL!H57/'PL USD'!$H$2</f>
        <v>35.795251163345661</v>
      </c>
      <c r="I56" s="119">
        <f>PL!I57/'PL USD'!$I$2</f>
        <v>0</v>
      </c>
      <c r="J56" s="119">
        <f>PL!J57/'PL USD'!$J$2</f>
        <v>34.894071568452908</v>
      </c>
      <c r="K56" s="119"/>
      <c r="L56" s="138"/>
      <c r="M56" s="138"/>
      <c r="N56" s="138"/>
      <c r="O56" s="138"/>
      <c r="P56" s="138"/>
      <c r="Q56" s="138"/>
      <c r="R56" s="138"/>
      <c r="S56" s="156"/>
      <c r="T56" s="123">
        <f t="shared" si="5"/>
        <v>70.689322731798569</v>
      </c>
    </row>
    <row r="57" spans="1:20" ht="18" customHeight="1">
      <c r="A57" s="118"/>
      <c r="B57" s="118"/>
      <c r="C57" s="118"/>
      <c r="D57" s="118">
        <v>27</v>
      </c>
      <c r="E57" s="128" t="s">
        <v>281</v>
      </c>
      <c r="F57" s="137" t="s">
        <v>282</v>
      </c>
      <c r="G57" s="138"/>
      <c r="H57" s="119">
        <f>PL!H58/'PL USD'!$H$2</f>
        <v>346.14741081016587</v>
      </c>
      <c r="I57" s="119">
        <f>PL!I58/'PL USD'!$I$2</f>
        <v>388.27481234361966</v>
      </c>
      <c r="J57" s="119">
        <f>PL!J58/'PL USD'!$J$2</f>
        <v>1405.0452198682572</v>
      </c>
      <c r="K57" s="119"/>
      <c r="L57" s="138"/>
      <c r="M57" s="138"/>
      <c r="N57" s="138"/>
      <c r="O57" s="138"/>
      <c r="P57" s="138"/>
      <c r="Q57" s="138"/>
      <c r="R57" s="138"/>
      <c r="S57" s="156"/>
      <c r="T57" s="123">
        <f t="shared" si="5"/>
        <v>2139.467443022043</v>
      </c>
    </row>
    <row r="58" spans="1:20" ht="18" customHeight="1">
      <c r="A58" s="118"/>
      <c r="B58" s="118"/>
      <c r="C58" s="118"/>
      <c r="D58" s="118">
        <v>28</v>
      </c>
      <c r="E58" s="128" t="s">
        <v>283</v>
      </c>
      <c r="F58" s="137" t="s">
        <v>284</v>
      </c>
      <c r="G58" s="138"/>
      <c r="H58" s="119">
        <f>PL!H59/'PL USD'!$H$2</f>
        <v>1.1931750387781888</v>
      </c>
      <c r="I58" s="119">
        <f>PL!I59/'PL USD'!$I$2</f>
        <v>0</v>
      </c>
      <c r="J58" s="119">
        <f>PL!J59/'PL USD'!$J$2</f>
        <v>0</v>
      </c>
      <c r="K58" s="119"/>
      <c r="L58" s="138"/>
      <c r="M58" s="138"/>
      <c r="N58" s="138"/>
      <c r="O58" s="138"/>
      <c r="P58" s="138"/>
      <c r="Q58" s="138"/>
      <c r="R58" s="138"/>
      <c r="S58" s="156"/>
      <c r="T58" s="123">
        <f t="shared" si="5"/>
        <v>1.1931750387781888</v>
      </c>
    </row>
    <row r="59" spans="1:20" ht="18" customHeight="1">
      <c r="A59" s="118"/>
      <c r="B59" s="118"/>
      <c r="C59" s="118"/>
      <c r="D59" s="118">
        <v>29</v>
      </c>
      <c r="E59" s="128" t="s">
        <v>285</v>
      </c>
      <c r="F59" s="137" t="s">
        <v>246</v>
      </c>
      <c r="G59" s="138"/>
      <c r="H59" s="119">
        <f>PL!H60/'PL USD'!$H$2</f>
        <v>212.98174442190668</v>
      </c>
      <c r="I59" s="119">
        <f>PL!I60/'PL USD'!$I$2</f>
        <v>17.872036220660075</v>
      </c>
      <c r="J59" s="119">
        <f>PL!J60/'PL USD'!$J$2</f>
        <v>0</v>
      </c>
      <c r="K59" s="119"/>
      <c r="L59" s="138"/>
      <c r="M59" s="138"/>
      <c r="N59" s="138"/>
      <c r="O59" s="138"/>
      <c r="P59" s="138"/>
      <c r="Q59" s="138"/>
      <c r="R59" s="138"/>
      <c r="S59" s="156"/>
      <c r="T59" s="123">
        <f t="shared" si="5"/>
        <v>230.85378064256676</v>
      </c>
    </row>
    <row r="60" spans="1:20" ht="18" customHeight="1">
      <c r="A60" s="118"/>
      <c r="B60" s="118"/>
      <c r="C60" s="118"/>
      <c r="D60" s="118">
        <v>30</v>
      </c>
      <c r="E60" s="128" t="s">
        <v>286</v>
      </c>
      <c r="F60" s="137" t="s">
        <v>242</v>
      </c>
      <c r="G60" s="138"/>
      <c r="H60" s="119">
        <f>PL!H61/'PL USD'!$H$2</f>
        <v>1156.1866125760648</v>
      </c>
      <c r="I60" s="119">
        <f>PL!I61/'PL USD'!$I$2</f>
        <v>1057.8458239008698</v>
      </c>
      <c r="J60" s="119">
        <f>PL!J61/'PL USD'!$J$2</f>
        <v>4297.4050240341821</v>
      </c>
      <c r="K60" s="119"/>
      <c r="L60" s="138"/>
      <c r="M60" s="138"/>
      <c r="N60" s="138"/>
      <c r="O60" s="138"/>
      <c r="P60" s="138"/>
      <c r="Q60" s="138"/>
      <c r="R60" s="138"/>
      <c r="S60" s="156"/>
      <c r="T60" s="123">
        <f t="shared" si="5"/>
        <v>6511.437460511117</v>
      </c>
    </row>
    <row r="61" spans="1:20" ht="18" customHeight="1">
      <c r="A61" s="118"/>
      <c r="B61" s="118"/>
      <c r="C61" s="118"/>
      <c r="D61" s="118">
        <v>31</v>
      </c>
      <c r="E61" s="128" t="s">
        <v>310</v>
      </c>
      <c r="F61" s="137" t="s">
        <v>317</v>
      </c>
      <c r="G61" s="138"/>
      <c r="H61" s="119"/>
      <c r="I61" s="119">
        <f>PL!I62/'PL USD'!$I$2</f>
        <v>19.808173477898247</v>
      </c>
      <c r="J61" s="119">
        <f>PL!J62/'PL USD'!$J$2</f>
        <v>152.05329060589875</v>
      </c>
      <c r="K61" s="119"/>
      <c r="L61" s="138"/>
      <c r="M61" s="138"/>
      <c r="N61" s="138"/>
      <c r="O61" s="138"/>
      <c r="P61" s="138"/>
      <c r="Q61" s="138"/>
      <c r="R61" s="138"/>
      <c r="S61" s="205"/>
      <c r="T61" s="123"/>
    </row>
    <row r="62" spans="1:20" ht="18" customHeight="1">
      <c r="A62" s="118"/>
      <c r="B62" s="118"/>
      <c r="C62" s="118"/>
      <c r="D62" s="118">
        <v>32</v>
      </c>
      <c r="E62" s="128" t="s">
        <v>318</v>
      </c>
      <c r="F62" s="137" t="s">
        <v>312</v>
      </c>
      <c r="G62" s="138"/>
      <c r="H62" s="119"/>
      <c r="I62" s="119">
        <f>PL!I63/'PL USD'!$I$2</f>
        <v>267.48480876921246</v>
      </c>
      <c r="J62" s="119">
        <f>PL!J63/'PL USD'!$J$2</f>
        <v>0</v>
      </c>
      <c r="K62" s="119"/>
      <c r="L62" s="138"/>
      <c r="M62" s="138"/>
      <c r="N62" s="138"/>
      <c r="O62" s="138"/>
      <c r="P62" s="138"/>
      <c r="Q62" s="138"/>
      <c r="R62" s="138"/>
      <c r="S62" s="205"/>
      <c r="T62" s="123"/>
    </row>
    <row r="63" spans="1:20" ht="18" customHeight="1">
      <c r="A63" s="118"/>
      <c r="B63" s="118"/>
      <c r="C63" s="118"/>
      <c r="D63" s="118">
        <v>33</v>
      </c>
      <c r="E63" s="128" t="s">
        <v>311</v>
      </c>
      <c r="F63" s="137" t="s">
        <v>319</v>
      </c>
      <c r="G63" s="138"/>
      <c r="H63" s="119"/>
      <c r="I63" s="119">
        <f>PL!I64/'PL USD'!$I$2</f>
        <v>751.54176099130223</v>
      </c>
      <c r="J63" s="119">
        <f>PL!J64/'PL USD'!$J$2</f>
        <v>0</v>
      </c>
      <c r="K63" s="119"/>
      <c r="L63" s="138"/>
      <c r="M63" s="138"/>
      <c r="N63" s="138"/>
      <c r="O63" s="138"/>
      <c r="P63" s="138"/>
      <c r="Q63" s="138"/>
      <c r="R63" s="138"/>
      <c r="S63" s="205"/>
      <c r="T63" s="123"/>
    </row>
    <row r="64" spans="1:20" ht="18" customHeight="1">
      <c r="A64" s="118"/>
      <c r="B64" s="118"/>
      <c r="C64" s="118"/>
      <c r="D64" s="118">
        <v>34</v>
      </c>
      <c r="E64" s="128" t="s">
        <v>334</v>
      </c>
      <c r="F64" s="137" t="s">
        <v>341</v>
      </c>
      <c r="G64" s="138"/>
      <c r="H64" s="119"/>
      <c r="I64" s="119"/>
      <c r="J64" s="119">
        <f>PL!J65/'PL USD'!$J$2</f>
        <v>779.77568096848847</v>
      </c>
      <c r="K64" s="119"/>
      <c r="L64" s="138"/>
      <c r="M64" s="138"/>
      <c r="N64" s="138"/>
      <c r="O64" s="138"/>
      <c r="P64" s="138"/>
      <c r="Q64" s="138"/>
      <c r="R64" s="138"/>
      <c r="S64" s="205"/>
      <c r="T64" s="123"/>
    </row>
    <row r="65" spans="1:20" ht="18" customHeight="1">
      <c r="A65" s="118"/>
      <c r="B65" s="118"/>
      <c r="C65" s="118"/>
      <c r="D65" s="118">
        <v>35</v>
      </c>
      <c r="E65" s="128" t="s">
        <v>335</v>
      </c>
      <c r="F65" s="137" t="s">
        <v>342</v>
      </c>
      <c r="G65" s="138"/>
      <c r="H65" s="119"/>
      <c r="I65" s="119"/>
      <c r="J65" s="119">
        <f>PL!J66/'PL USD'!$J$2</f>
        <v>178.03097739006589</v>
      </c>
      <c r="K65" s="119"/>
      <c r="L65" s="138"/>
      <c r="M65" s="138"/>
      <c r="N65" s="138"/>
      <c r="O65" s="138"/>
      <c r="P65" s="138"/>
      <c r="Q65" s="138"/>
      <c r="R65" s="138"/>
      <c r="S65" s="205"/>
      <c r="T65" s="123"/>
    </row>
    <row r="66" spans="1:20" ht="18" customHeight="1">
      <c r="A66" s="118"/>
      <c r="B66" s="118"/>
      <c r="C66" s="118"/>
      <c r="D66" s="118">
        <v>36</v>
      </c>
      <c r="E66" s="128" t="s">
        <v>3</v>
      </c>
      <c r="F66" s="137" t="s">
        <v>241</v>
      </c>
      <c r="G66" s="119"/>
      <c r="H66" s="119">
        <f>PL!H67/'PL USD'!$H$2</f>
        <v>0</v>
      </c>
      <c r="I66" s="119">
        <f>PL!I67/'PL USD'!$I$2</f>
        <v>0</v>
      </c>
      <c r="J66" s="119">
        <f>PL!J67/'PL USD'!$J$2</f>
        <v>0</v>
      </c>
      <c r="K66" s="119"/>
      <c r="L66" s="138"/>
      <c r="M66" s="138"/>
      <c r="N66" s="138"/>
      <c r="O66" s="138"/>
      <c r="P66" s="138"/>
      <c r="Q66" s="138"/>
      <c r="R66" s="138"/>
      <c r="S66" s="139"/>
      <c r="T66" s="123">
        <f t="shared" si="5"/>
        <v>0</v>
      </c>
    </row>
    <row r="67" spans="1:20" ht="18" customHeight="1">
      <c r="A67" s="118"/>
      <c r="B67" s="118"/>
      <c r="C67" s="118"/>
      <c r="D67" s="118"/>
      <c r="E67" s="128"/>
      <c r="F67" s="117" t="s">
        <v>215</v>
      </c>
      <c r="G67" s="118"/>
      <c r="H67" s="124">
        <f>SUM(H47:H66)</f>
        <v>21622.680291134708</v>
      </c>
      <c r="I67" s="124">
        <f>SUM(I47:I66)</f>
        <v>13649.761274871917</v>
      </c>
      <c r="J67" s="124">
        <f>SUM(J47:J66)</f>
        <v>20392.563787312323</v>
      </c>
      <c r="K67" s="124"/>
      <c r="L67" s="124"/>
      <c r="M67" s="124"/>
      <c r="N67" s="124"/>
      <c r="O67" s="124"/>
      <c r="P67" s="124"/>
      <c r="Q67" s="124"/>
      <c r="R67" s="124"/>
      <c r="S67" s="124"/>
      <c r="T67" s="124">
        <f>SUM(T47:T66)</f>
        <v>53483.545261378211</v>
      </c>
    </row>
    <row r="68" spans="1:20" ht="18" customHeight="1">
      <c r="A68" s="118"/>
      <c r="B68" s="118"/>
      <c r="C68" s="118"/>
      <c r="D68" s="118"/>
      <c r="E68" s="128">
        <v>1111</v>
      </c>
      <c r="F68" s="118" t="s">
        <v>216</v>
      </c>
      <c r="G68" s="118"/>
      <c r="H68" s="119">
        <f>PL!H69/'PL USD'!$H$2</f>
        <v>0</v>
      </c>
      <c r="I68" s="157">
        <v>0</v>
      </c>
      <c r="J68" s="157">
        <v>0</v>
      </c>
      <c r="K68" s="143"/>
      <c r="L68" s="143"/>
      <c r="M68" s="143"/>
      <c r="N68" s="143"/>
      <c r="O68" s="143"/>
      <c r="P68" s="143"/>
      <c r="Q68" s="143"/>
      <c r="R68" s="143"/>
      <c r="S68" s="119"/>
      <c r="T68" s="139">
        <f t="shared" si="5"/>
        <v>0</v>
      </c>
    </row>
    <row r="69" spans="1:20" ht="18" customHeight="1">
      <c r="A69" s="118"/>
      <c r="B69" s="118"/>
      <c r="C69" s="118"/>
      <c r="D69" s="118"/>
      <c r="E69" s="128"/>
      <c r="F69" s="118"/>
      <c r="G69" s="118"/>
      <c r="H69" s="119">
        <f>PL!H70/'PL USD'!$H$2</f>
        <v>0</v>
      </c>
      <c r="I69" s="119">
        <v>0</v>
      </c>
      <c r="J69" s="119">
        <v>0</v>
      </c>
      <c r="K69" s="119"/>
      <c r="L69" s="119"/>
      <c r="M69" s="119"/>
      <c r="N69" s="119"/>
      <c r="O69" s="119"/>
      <c r="P69" s="119"/>
      <c r="Q69" s="119"/>
      <c r="R69" s="119"/>
      <c r="S69" s="119"/>
      <c r="T69" s="139">
        <f t="shared" si="5"/>
        <v>0</v>
      </c>
    </row>
    <row r="70" spans="1:20" ht="18" customHeight="1">
      <c r="A70" s="118"/>
      <c r="B70" s="118"/>
      <c r="C70" s="118"/>
      <c r="D70" s="118"/>
      <c r="E70" s="128"/>
      <c r="F70" s="117" t="s">
        <v>217</v>
      </c>
      <c r="G70" s="118"/>
      <c r="H70" s="25">
        <f>H68+H69</f>
        <v>0</v>
      </c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25">
        <f>T68+T69</f>
        <v>0</v>
      </c>
    </row>
    <row r="71" spans="1:20" s="17" customFormat="1" ht="18" customHeight="1">
      <c r="A71" s="117"/>
      <c r="B71" s="117"/>
      <c r="C71" s="117" t="s">
        <v>218</v>
      </c>
      <c r="D71" s="117"/>
      <c r="E71" s="122"/>
      <c r="F71" s="117"/>
      <c r="G71" s="117"/>
      <c r="H71" s="28">
        <f>H46+H67</f>
        <v>148307.73587638707</v>
      </c>
      <c r="I71" s="28">
        <f>I46+I67</f>
        <v>131579.41658941974</v>
      </c>
      <c r="J71" s="28">
        <f>J46+J67</f>
        <v>212545.15701501397</v>
      </c>
      <c r="K71" s="145"/>
      <c r="L71" s="145"/>
      <c r="M71" s="145"/>
      <c r="N71" s="145"/>
      <c r="O71" s="145"/>
      <c r="P71" s="145"/>
      <c r="Q71" s="145"/>
      <c r="R71" s="145"/>
      <c r="S71" s="145"/>
      <c r="T71" s="28">
        <f>T46+T67</f>
        <v>490250.84938888007</v>
      </c>
    </row>
    <row r="72" spans="1:20" s="17" customFormat="1" ht="18" customHeight="1">
      <c r="A72" s="117"/>
      <c r="B72" s="117" t="s">
        <v>102</v>
      </c>
      <c r="C72" s="117"/>
      <c r="D72" s="117"/>
      <c r="E72" s="122">
        <v>100</v>
      </c>
      <c r="F72" s="117"/>
      <c r="G72" s="117"/>
      <c r="H72" s="158">
        <f>H13-H71</f>
        <v>48975.956629280496</v>
      </c>
      <c r="I72" s="158">
        <f>I13-I71</f>
        <v>45737.380670201383</v>
      </c>
      <c r="J72" s="158">
        <f>J13-J71</f>
        <v>57548.380957213172</v>
      </c>
      <c r="K72" s="147"/>
      <c r="L72" s="147"/>
      <c r="M72" s="147"/>
      <c r="N72" s="147"/>
      <c r="O72" s="147"/>
      <c r="P72" s="147"/>
      <c r="Q72" s="147"/>
      <c r="R72" s="147"/>
      <c r="S72" s="147"/>
      <c r="T72" s="158">
        <f>T13-T71</f>
        <v>154443.17834863567</v>
      </c>
    </row>
    <row r="73" spans="1:20" ht="18" customHeight="1">
      <c r="A73" s="118"/>
      <c r="B73" s="118"/>
      <c r="C73" s="118"/>
      <c r="D73" s="118"/>
      <c r="E73" s="128"/>
      <c r="F73" s="118"/>
      <c r="G73" s="118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25"/>
    </row>
    <row r="74" spans="1:20" s="19" customFormat="1" ht="18" customHeight="1">
      <c r="A74" s="118"/>
      <c r="B74" s="118"/>
      <c r="C74" s="117" t="s">
        <v>219</v>
      </c>
      <c r="D74" s="117"/>
      <c r="E74" s="128"/>
      <c r="F74" s="118"/>
      <c r="G74" s="118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25"/>
    </row>
    <row r="75" spans="1:20" s="19" customFormat="1" ht="18" customHeight="1">
      <c r="A75" s="118"/>
      <c r="B75" s="118"/>
      <c r="C75" s="117"/>
      <c r="D75" s="117" t="s">
        <v>103</v>
      </c>
      <c r="E75" s="128"/>
      <c r="F75" s="118"/>
      <c r="G75" s="118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25">
        <f>SUM(H75:S75)</f>
        <v>0</v>
      </c>
    </row>
    <row r="76" spans="1:20" s="19" customFormat="1" ht="18" customHeight="1">
      <c r="A76" s="118"/>
      <c r="B76" s="118"/>
      <c r="C76" s="118"/>
      <c r="D76" s="118"/>
      <c r="E76" s="128">
        <v>606.01</v>
      </c>
      <c r="F76" s="118" t="s">
        <v>67</v>
      </c>
      <c r="G76" s="148"/>
      <c r="H76" s="119">
        <f>PL!H77/'PL USD'!$H$2</f>
        <v>204.09535854909916</v>
      </c>
      <c r="I76" s="119">
        <f>PL!I77/'PL USD'!$I$2</f>
        <v>296.56178243774576</v>
      </c>
      <c r="J76" s="119">
        <f>PL!J77/'PL USD'!$J$2</f>
        <v>215.35606314165332</v>
      </c>
      <c r="K76" s="119"/>
      <c r="L76" s="119"/>
      <c r="M76" s="119"/>
      <c r="N76" s="119"/>
      <c r="O76" s="119"/>
      <c r="P76" s="119"/>
      <c r="Q76" s="119"/>
      <c r="R76" s="119"/>
      <c r="S76" s="119"/>
      <c r="T76" s="123">
        <f t="shared" ref="T76:T119" si="6">SUM(H76:S76)</f>
        <v>716.01320412849827</v>
      </c>
    </row>
    <row r="77" spans="1:20" s="19" customFormat="1" ht="18" customHeight="1">
      <c r="A77" s="118"/>
      <c r="B77" s="118"/>
      <c r="C77" s="118"/>
      <c r="D77" s="118"/>
      <c r="E77" s="128">
        <v>606.02</v>
      </c>
      <c r="F77" s="118" t="s">
        <v>68</v>
      </c>
      <c r="G77" s="148"/>
      <c r="H77" s="119">
        <f>PL!H78/'PL USD'!$H$2</f>
        <v>30.783916000477269</v>
      </c>
      <c r="I77" s="119">
        <f>PL!I78/'PL USD'!$I$2</f>
        <v>59.811747885142381</v>
      </c>
      <c r="J77" s="119">
        <f>PL!J78/'PL USD'!$J$2</f>
        <v>35.517179989318144</v>
      </c>
      <c r="K77" s="119"/>
      <c r="L77" s="119"/>
      <c r="M77" s="119"/>
      <c r="N77" s="119"/>
      <c r="O77" s="119"/>
      <c r="P77" s="119"/>
      <c r="Q77" s="119"/>
      <c r="R77" s="119"/>
      <c r="S77" s="119"/>
      <c r="T77" s="123">
        <f t="shared" si="6"/>
        <v>126.11284387493779</v>
      </c>
    </row>
    <row r="78" spans="1:20" s="19" customFormat="1" ht="18" customHeight="1">
      <c r="A78" s="118"/>
      <c r="B78" s="118"/>
      <c r="C78" s="118"/>
      <c r="D78" s="118"/>
      <c r="E78" s="128">
        <v>606.03</v>
      </c>
      <c r="F78" s="118" t="s">
        <v>69</v>
      </c>
      <c r="G78" s="148"/>
      <c r="H78" s="119">
        <f>PL!H79/'PL USD'!$H$2</f>
        <v>982.22492482997257</v>
      </c>
      <c r="I78" s="119">
        <f>PL!I79/'PL USD'!$I$2</f>
        <v>649.35064935064941</v>
      </c>
      <c r="J78" s="119">
        <f>PL!J79/'PL USD'!$J$2</f>
        <v>729.92700729927003</v>
      </c>
      <c r="K78" s="119"/>
      <c r="L78" s="119"/>
      <c r="M78" s="119"/>
      <c r="N78" s="119"/>
      <c r="O78" s="119"/>
      <c r="P78" s="119"/>
      <c r="Q78" s="119"/>
      <c r="R78" s="119"/>
      <c r="S78" s="119"/>
      <c r="T78" s="123">
        <f t="shared" si="6"/>
        <v>2361.5025814798919</v>
      </c>
    </row>
    <row r="79" spans="1:20" s="19" customFormat="1" ht="18" customHeight="1">
      <c r="A79" s="118"/>
      <c r="B79" s="118"/>
      <c r="C79" s="118"/>
      <c r="D79" s="118"/>
      <c r="E79" s="128">
        <v>606.04</v>
      </c>
      <c r="F79" s="118" t="s">
        <v>70</v>
      </c>
      <c r="G79" s="148"/>
      <c r="H79" s="119">
        <f>PL!H80/'PL USD'!$H$2</f>
        <v>237.417969216084</v>
      </c>
      <c r="I79" s="119">
        <f>PL!I80/'PL USD'!$I$2</f>
        <v>254.40843560109616</v>
      </c>
      <c r="J79" s="119">
        <f>PL!J80/'PL USD'!$J$2</f>
        <v>149.01192807548514</v>
      </c>
      <c r="K79" s="119"/>
      <c r="L79" s="119"/>
      <c r="M79" s="119"/>
      <c r="N79" s="119"/>
      <c r="O79" s="119"/>
      <c r="P79" s="119"/>
      <c r="Q79" s="119"/>
      <c r="R79" s="119"/>
      <c r="S79" s="119"/>
      <c r="T79" s="123">
        <f t="shared" si="6"/>
        <v>640.83833289266533</v>
      </c>
    </row>
    <row r="80" spans="1:20" s="19" customFormat="1" ht="18" customHeight="1">
      <c r="A80" s="118"/>
      <c r="B80" s="118"/>
      <c r="C80" s="118"/>
      <c r="D80" s="118"/>
      <c r="E80" s="128">
        <v>606.04999999999995</v>
      </c>
      <c r="F80" s="118" t="s">
        <v>71</v>
      </c>
      <c r="G80" s="148"/>
      <c r="H80" s="119">
        <f>PL!H81/'PL USD'!$H$2</f>
        <v>0</v>
      </c>
      <c r="I80" s="119">
        <f>PL!I81/'PL USD'!$I$2</f>
        <v>0</v>
      </c>
      <c r="J80" s="119">
        <f>PL!J81/'PL USD'!$J$2</f>
        <v>8.9015488695032943</v>
      </c>
      <c r="K80" s="119"/>
      <c r="L80" s="119"/>
      <c r="M80" s="119"/>
      <c r="N80" s="119"/>
      <c r="O80" s="119"/>
      <c r="P80" s="119"/>
      <c r="Q80" s="119"/>
      <c r="R80" s="119"/>
      <c r="S80" s="119"/>
      <c r="T80" s="123">
        <f t="shared" si="6"/>
        <v>8.9015488695032943</v>
      </c>
    </row>
    <row r="81" spans="1:20" s="19" customFormat="1" ht="18" customHeight="1">
      <c r="A81" s="118"/>
      <c r="B81" s="118"/>
      <c r="C81" s="118"/>
      <c r="D81" s="118"/>
      <c r="E81" s="128">
        <v>611.01</v>
      </c>
      <c r="F81" s="118" t="s">
        <v>220</v>
      </c>
      <c r="G81" s="148"/>
      <c r="H81" s="119">
        <f>PL!H83/'PL USD'!$H$2</f>
        <v>1161.320248180408</v>
      </c>
      <c r="I81" s="119">
        <f>PL!I82/'PL USD'!$I$2</f>
        <v>40.509948766829503</v>
      </c>
      <c r="J81" s="119">
        <f>PL!J82/'PL USD'!$J$2</f>
        <v>502.9375111269361</v>
      </c>
      <c r="K81" s="119"/>
      <c r="L81" s="119"/>
      <c r="M81" s="119"/>
      <c r="N81" s="119"/>
      <c r="O81" s="119"/>
      <c r="P81" s="119"/>
      <c r="Q81" s="119"/>
      <c r="R81" s="119"/>
      <c r="S81" s="119"/>
      <c r="T81" s="123">
        <f t="shared" si="6"/>
        <v>1704.7677080741737</v>
      </c>
    </row>
    <row r="82" spans="1:20" s="19" customFormat="1" ht="18" customHeight="1">
      <c r="A82" s="118"/>
      <c r="B82" s="118"/>
      <c r="C82" s="118"/>
      <c r="D82" s="118"/>
      <c r="E82" s="128">
        <v>611.02</v>
      </c>
      <c r="F82" s="118" t="s">
        <v>73</v>
      </c>
      <c r="G82" s="148"/>
      <c r="H82" s="119">
        <f>PL!H84/'PL USD'!$H$2</f>
        <v>0</v>
      </c>
      <c r="I82" s="119">
        <f>PL!I83/'PL USD'!$I$2</f>
        <v>504.67651614440604</v>
      </c>
      <c r="J82" s="119">
        <f>PL!J83/'PL USD'!$J$2</f>
        <v>0</v>
      </c>
      <c r="K82" s="119"/>
      <c r="L82" s="119"/>
      <c r="M82" s="119"/>
      <c r="N82" s="119"/>
      <c r="O82" s="119"/>
      <c r="P82" s="119"/>
      <c r="Q82" s="119"/>
      <c r="R82" s="119"/>
      <c r="S82" s="119"/>
      <c r="T82" s="123">
        <f t="shared" si="6"/>
        <v>504.67651614440604</v>
      </c>
    </row>
    <row r="83" spans="1:20" s="19" customFormat="1" ht="18" customHeight="1">
      <c r="A83" s="118"/>
      <c r="B83" s="118"/>
      <c r="C83" s="118"/>
      <c r="D83" s="118"/>
      <c r="E83" s="128">
        <v>611.03</v>
      </c>
      <c r="F83" s="118" t="s">
        <v>104</v>
      </c>
      <c r="G83" s="148"/>
      <c r="H83" s="119">
        <f>PL!H85/'PL USD'!$H$2</f>
        <v>0</v>
      </c>
      <c r="I83" s="119">
        <f>PL!I84/'PL USD'!$I$2</f>
        <v>0</v>
      </c>
      <c r="J83" s="119">
        <f>PL!J84/'PL USD'!$J$2</f>
        <v>266.21452732775504</v>
      </c>
      <c r="K83" s="119"/>
      <c r="L83" s="119"/>
      <c r="M83" s="119"/>
      <c r="N83" s="119"/>
      <c r="O83" s="119"/>
      <c r="P83" s="119"/>
      <c r="Q83" s="119"/>
      <c r="R83" s="119"/>
      <c r="S83" s="119"/>
      <c r="T83" s="123">
        <f t="shared" si="6"/>
        <v>266.21452732775504</v>
      </c>
    </row>
    <row r="84" spans="1:20" s="19" customFormat="1" ht="18" customHeight="1">
      <c r="A84" s="118"/>
      <c r="B84" s="118"/>
      <c r="C84" s="118"/>
      <c r="D84" s="118"/>
      <c r="E84" s="128">
        <v>611.04</v>
      </c>
      <c r="F84" s="118" t="s">
        <v>221</v>
      </c>
      <c r="G84" s="148"/>
      <c r="H84" s="119">
        <f>PL!H86/'PL USD'!$H$2</f>
        <v>1066.3949409378356</v>
      </c>
      <c r="I84" s="119">
        <f>PL!I86/'PL USD'!$I$2</f>
        <v>807.48242583104968</v>
      </c>
      <c r="J84" s="119">
        <f>PL!J85/'PL USD'!$J$2</f>
        <v>0</v>
      </c>
      <c r="K84" s="119"/>
      <c r="L84" s="119"/>
      <c r="M84" s="119"/>
      <c r="N84" s="119"/>
      <c r="O84" s="119"/>
      <c r="P84" s="119"/>
      <c r="Q84" s="119"/>
      <c r="R84" s="119"/>
      <c r="S84" s="119"/>
      <c r="T84" s="123">
        <f t="shared" si="6"/>
        <v>1873.8773667688852</v>
      </c>
    </row>
    <row r="85" spans="1:20" s="19" customFormat="1" ht="18" customHeight="1">
      <c r="A85" s="118"/>
      <c r="B85" s="118"/>
      <c r="C85" s="118"/>
      <c r="D85" s="118"/>
      <c r="E85" s="128">
        <v>611.04999999999995</v>
      </c>
      <c r="F85" s="118" t="s">
        <v>105</v>
      </c>
      <c r="G85" s="148"/>
      <c r="H85" s="119">
        <f>PL!H87/'PL USD'!$H$2</f>
        <v>0</v>
      </c>
      <c r="I85" s="119">
        <f>PL!I87/'PL USD'!$I$2</f>
        <v>0</v>
      </c>
      <c r="J85" s="119">
        <f>PL!J86/'PL USD'!$J$2</f>
        <v>804.70001780309769</v>
      </c>
      <c r="K85" s="119"/>
      <c r="L85" s="119"/>
      <c r="M85" s="119"/>
      <c r="N85" s="119"/>
      <c r="O85" s="119"/>
      <c r="P85" s="119"/>
      <c r="Q85" s="119"/>
      <c r="R85" s="119"/>
      <c r="S85" s="119"/>
      <c r="T85" s="123">
        <f t="shared" si="6"/>
        <v>804.70001780309769</v>
      </c>
    </row>
    <row r="86" spans="1:20" s="19" customFormat="1" ht="18" customHeight="1">
      <c r="A86" s="118"/>
      <c r="B86" s="118"/>
      <c r="C86" s="118"/>
      <c r="D86" s="118"/>
      <c r="E86" s="128">
        <v>611.05999999999995</v>
      </c>
      <c r="F86" s="118" t="s">
        <v>74</v>
      </c>
      <c r="G86" s="148"/>
      <c r="H86" s="119">
        <f>PL!H88/'PL USD'!$H$2</f>
        <v>403.93747762796801</v>
      </c>
      <c r="I86" s="119">
        <f>PL!I87/'PL USD'!$I$2</f>
        <v>0</v>
      </c>
      <c r="J86" s="119">
        <f>PL!J87/'PL USD'!$J$2</f>
        <v>0</v>
      </c>
      <c r="K86" s="119"/>
      <c r="L86" s="119"/>
      <c r="M86" s="119"/>
      <c r="N86" s="119"/>
      <c r="O86" s="119"/>
      <c r="P86" s="119"/>
      <c r="Q86" s="119"/>
      <c r="R86" s="119"/>
      <c r="S86" s="142"/>
      <c r="T86" s="123">
        <f t="shared" si="6"/>
        <v>403.93747762796801</v>
      </c>
    </row>
    <row r="87" spans="1:20" s="19" customFormat="1" ht="18" customHeight="1">
      <c r="A87" s="118"/>
      <c r="B87" s="118"/>
      <c r="C87" s="118"/>
      <c r="D87" s="118"/>
      <c r="E87" s="128">
        <v>611.07000000000005</v>
      </c>
      <c r="F87" s="118" t="s">
        <v>222</v>
      </c>
      <c r="G87" s="148"/>
      <c r="H87" s="119">
        <f>PL!H89/'PL USD'!$H$2</f>
        <v>4452.3503549695743</v>
      </c>
      <c r="I87" s="119">
        <f>PL!I88/'PL USD'!$I$2</f>
        <v>0</v>
      </c>
      <c r="J87" s="119">
        <f>PL!J88/'PL USD'!$J$2</f>
        <v>0</v>
      </c>
      <c r="K87" s="119"/>
      <c r="L87" s="119"/>
      <c r="M87" s="119"/>
      <c r="N87" s="119"/>
      <c r="O87" s="119"/>
      <c r="P87" s="119"/>
      <c r="Q87" s="119"/>
      <c r="R87" s="119"/>
      <c r="S87" s="142"/>
      <c r="T87" s="123">
        <f t="shared" si="6"/>
        <v>4452.3503549695743</v>
      </c>
    </row>
    <row r="88" spans="1:20" s="19" customFormat="1" ht="18" customHeight="1">
      <c r="A88" s="118"/>
      <c r="B88" s="118"/>
      <c r="C88" s="118"/>
      <c r="D88" s="118"/>
      <c r="E88" s="128">
        <v>612</v>
      </c>
      <c r="F88" s="118" t="s">
        <v>106</v>
      </c>
      <c r="G88" s="148"/>
      <c r="H88" s="119">
        <f>PL!H90/'PL USD'!$H$2</f>
        <v>0</v>
      </c>
      <c r="I88" s="119">
        <f>PL!I89/'PL USD'!$I$2</f>
        <v>0</v>
      </c>
      <c r="J88" s="119">
        <f>PL!J89/'PL USD'!$J$2</f>
        <v>0</v>
      </c>
      <c r="K88" s="119"/>
      <c r="L88" s="119"/>
      <c r="M88" s="119"/>
      <c r="N88" s="119"/>
      <c r="O88" s="119"/>
      <c r="P88" s="119"/>
      <c r="Q88" s="119"/>
      <c r="R88" s="119"/>
      <c r="S88" s="119"/>
      <c r="T88" s="123">
        <f t="shared" si="6"/>
        <v>0</v>
      </c>
    </row>
    <row r="89" spans="1:20" s="24" customFormat="1" ht="18" customHeight="1">
      <c r="A89" s="118"/>
      <c r="B89" s="118"/>
      <c r="C89" s="118"/>
      <c r="D89" s="118"/>
      <c r="E89" s="128">
        <v>612.01</v>
      </c>
      <c r="F89" s="118" t="s">
        <v>75</v>
      </c>
      <c r="G89" s="148"/>
      <c r="H89" s="119">
        <f>PL!H91/'PL USD'!$H$2</f>
        <v>719.05920236248653</v>
      </c>
      <c r="I89" s="119">
        <f>PL!I91/'PL USD'!$I$2</f>
        <v>718.7098266412487</v>
      </c>
      <c r="J89" s="119">
        <f>PL!J90/'PL USD'!$J$2</f>
        <v>0</v>
      </c>
      <c r="K89" s="119"/>
      <c r="L89" s="119"/>
      <c r="M89" s="119"/>
      <c r="N89" s="119"/>
      <c r="O89" s="119"/>
      <c r="P89" s="119"/>
      <c r="Q89" s="119"/>
      <c r="R89" s="119"/>
      <c r="S89" s="119"/>
      <c r="T89" s="123">
        <f t="shared" si="6"/>
        <v>1437.7690290037353</v>
      </c>
    </row>
    <row r="90" spans="1:20" s="19" customFormat="1" ht="18" customHeight="1">
      <c r="A90" s="118"/>
      <c r="B90" s="118"/>
      <c r="C90" s="118"/>
      <c r="D90" s="118"/>
      <c r="E90" s="128">
        <v>612.02</v>
      </c>
      <c r="F90" s="118" t="s">
        <v>76</v>
      </c>
      <c r="G90" s="138"/>
      <c r="H90" s="119">
        <f>PL!H92/'PL USD'!$H$2</f>
        <v>0</v>
      </c>
      <c r="I90" s="119">
        <f>PL!I92/'PL USD'!$I$2</f>
        <v>0</v>
      </c>
      <c r="J90" s="119">
        <f>PL!J91/'PL USD'!$J$2</f>
        <v>716.23330959586963</v>
      </c>
      <c r="K90" s="119"/>
      <c r="L90" s="119"/>
      <c r="M90" s="119"/>
      <c r="N90" s="119"/>
      <c r="O90" s="119"/>
      <c r="P90" s="119"/>
      <c r="Q90" s="119"/>
      <c r="R90" s="119"/>
      <c r="S90" s="119"/>
      <c r="T90" s="123">
        <f t="shared" si="6"/>
        <v>716.23330959586963</v>
      </c>
    </row>
    <row r="91" spans="1:20" s="24" customFormat="1" ht="18" customHeight="1">
      <c r="A91" s="118"/>
      <c r="B91" s="118"/>
      <c r="C91" s="118"/>
      <c r="D91" s="118"/>
      <c r="E91" s="128">
        <v>612.04</v>
      </c>
      <c r="F91" s="118" t="s">
        <v>77</v>
      </c>
      <c r="G91" s="138"/>
      <c r="H91" s="119">
        <f>PL!H93/'PL USD'!$H$2</f>
        <v>1723.8031857773535</v>
      </c>
      <c r="I91" s="119">
        <f>PL!I93/'PL USD'!$I$2</f>
        <v>1722.9656261170023</v>
      </c>
      <c r="J91" s="119">
        <f>PL!J92/'PL USD'!$J$2</f>
        <v>0</v>
      </c>
      <c r="K91" s="119"/>
      <c r="L91" s="119"/>
      <c r="M91" s="119"/>
      <c r="N91" s="119"/>
      <c r="O91" s="119"/>
      <c r="P91" s="119"/>
      <c r="Q91" s="119"/>
      <c r="R91" s="119"/>
      <c r="S91" s="119"/>
      <c r="T91" s="123">
        <f t="shared" si="6"/>
        <v>3446.7688118943561</v>
      </c>
    </row>
    <row r="92" spans="1:20" s="24" customFormat="1" ht="18" customHeight="1">
      <c r="A92" s="118"/>
      <c r="B92" s="118"/>
      <c r="C92" s="118"/>
      <c r="D92" s="118"/>
      <c r="E92" s="128" t="s">
        <v>291</v>
      </c>
      <c r="F92" s="118" t="s">
        <v>292</v>
      </c>
      <c r="G92" s="138"/>
      <c r="H92" s="119">
        <f>PL!H94/'PL USD'!$H$2</f>
        <v>50.709939148073019</v>
      </c>
      <c r="I92" s="119">
        <f>PL!I94/'PL USD'!$I$2</f>
        <v>0</v>
      </c>
      <c r="J92" s="119">
        <f>PL!J93/'PL USD'!$J$2</f>
        <v>1717.0286629873599</v>
      </c>
      <c r="K92" s="119"/>
      <c r="L92" s="119"/>
      <c r="M92" s="119"/>
      <c r="N92" s="119"/>
      <c r="O92" s="119"/>
      <c r="P92" s="119"/>
      <c r="Q92" s="119"/>
      <c r="R92" s="119"/>
      <c r="S92" s="119"/>
      <c r="T92" s="123">
        <f t="shared" si="6"/>
        <v>1767.738602135433</v>
      </c>
    </row>
    <row r="93" spans="1:20" s="19" customFormat="1" ht="18" customHeight="1">
      <c r="A93" s="118"/>
      <c r="B93" s="118"/>
      <c r="C93" s="118"/>
      <c r="D93" s="118"/>
      <c r="E93" s="128">
        <v>614.01</v>
      </c>
      <c r="F93" s="118" t="s">
        <v>78</v>
      </c>
      <c r="G93" s="148"/>
      <c r="H93" s="119">
        <f>PL!H95/'PL USD'!$H$2</f>
        <v>0</v>
      </c>
      <c r="I93" s="119">
        <f>PL!I95/'PL USD'!$I$2</f>
        <v>17.872036220660075</v>
      </c>
      <c r="J93" s="119">
        <f>PL!J94/'PL USD'!$J$2</f>
        <v>0</v>
      </c>
      <c r="K93" s="119"/>
      <c r="L93" s="119"/>
      <c r="M93" s="119"/>
      <c r="N93" s="119"/>
      <c r="O93" s="119"/>
      <c r="P93" s="119"/>
      <c r="Q93" s="119"/>
      <c r="R93" s="119"/>
      <c r="S93" s="119"/>
      <c r="T93" s="123">
        <f t="shared" si="6"/>
        <v>17.872036220660075</v>
      </c>
    </row>
    <row r="94" spans="1:20" s="19" customFormat="1" ht="18" customHeight="1">
      <c r="A94" s="118"/>
      <c r="B94" s="118"/>
      <c r="C94" s="118"/>
      <c r="D94" s="118"/>
      <c r="E94" s="128">
        <v>614.02</v>
      </c>
      <c r="F94" s="118" t="s">
        <v>79</v>
      </c>
      <c r="G94" s="148"/>
      <c r="H94" s="119">
        <f>PL!H96/'PL USD'!$H$2</f>
        <v>183.21202720439089</v>
      </c>
      <c r="I94" s="119">
        <f>PL!I96/'PL USD'!$I$2</f>
        <v>19.063505302037413</v>
      </c>
      <c r="J94" s="119">
        <f>PL!J95/'PL USD'!$J$2</f>
        <v>45.10118093881669</v>
      </c>
      <c r="K94" s="119"/>
      <c r="L94" s="119"/>
      <c r="M94" s="119"/>
      <c r="N94" s="119"/>
      <c r="O94" s="119"/>
      <c r="P94" s="119"/>
      <c r="Q94" s="119"/>
      <c r="R94" s="119"/>
      <c r="S94" s="119"/>
      <c r="T94" s="123">
        <f t="shared" si="6"/>
        <v>247.376713445245</v>
      </c>
    </row>
    <row r="95" spans="1:20" s="19" customFormat="1" ht="18" customHeight="1">
      <c r="A95" s="118"/>
      <c r="B95" s="118"/>
      <c r="C95" s="118"/>
      <c r="D95" s="118"/>
      <c r="E95" s="128">
        <v>614.03</v>
      </c>
      <c r="F95" s="118" t="s">
        <v>107</v>
      </c>
      <c r="G95" s="148"/>
      <c r="H95" s="119">
        <f>PL!H97/'PL USD'!$H$2</f>
        <v>0</v>
      </c>
      <c r="I95" s="119">
        <f>PL!I97/'PL USD'!$I$2</f>
        <v>0</v>
      </c>
      <c r="J95" s="119">
        <f>PL!J96/'PL USD'!$J$2</f>
        <v>0</v>
      </c>
      <c r="K95" s="119"/>
      <c r="L95" s="119"/>
      <c r="M95" s="119"/>
      <c r="N95" s="119"/>
      <c r="O95" s="119"/>
      <c r="P95" s="119"/>
      <c r="Q95" s="119"/>
      <c r="R95" s="119"/>
      <c r="S95" s="119"/>
      <c r="T95" s="123">
        <f t="shared" si="6"/>
        <v>0</v>
      </c>
    </row>
    <row r="96" spans="1:20" s="19" customFormat="1" ht="18" customHeight="1">
      <c r="A96" s="118"/>
      <c r="B96" s="118"/>
      <c r="C96" s="118"/>
      <c r="D96" s="118"/>
      <c r="E96" s="128">
        <v>615</v>
      </c>
      <c r="F96" s="118" t="s">
        <v>108</v>
      </c>
      <c r="G96" s="148"/>
      <c r="H96" s="119">
        <f>PL!H98/'PL USD'!$H$2</f>
        <v>0</v>
      </c>
      <c r="I96" s="119">
        <f>PL!I98/'PL USD'!$I$2</f>
        <v>0</v>
      </c>
      <c r="J96" s="119">
        <f>PL!J97/'PL USD'!$J$2</f>
        <v>0</v>
      </c>
      <c r="K96" s="119"/>
      <c r="L96" s="119"/>
      <c r="M96" s="119"/>
      <c r="N96" s="119"/>
      <c r="O96" s="119"/>
      <c r="P96" s="119"/>
      <c r="Q96" s="119"/>
      <c r="R96" s="119"/>
      <c r="S96" s="119"/>
      <c r="T96" s="123">
        <f t="shared" si="6"/>
        <v>0</v>
      </c>
    </row>
    <row r="97" spans="1:20" s="19" customFormat="1" ht="18" customHeight="1">
      <c r="A97" s="118"/>
      <c r="B97" s="118"/>
      <c r="C97" s="118"/>
      <c r="D97" s="118"/>
      <c r="E97" s="128">
        <v>618</v>
      </c>
      <c r="F97" s="118" t="s">
        <v>109</v>
      </c>
      <c r="G97" s="148"/>
      <c r="H97" s="119">
        <f>PL!H99/'PL USD'!$H$2</f>
        <v>0</v>
      </c>
      <c r="I97" s="119">
        <f>PL!I99/'PL USD'!$I$2</f>
        <v>0</v>
      </c>
      <c r="J97" s="119">
        <f>PL!J98/'PL USD'!$J$2</f>
        <v>0</v>
      </c>
      <c r="K97" s="119"/>
      <c r="L97" s="119"/>
      <c r="M97" s="119"/>
      <c r="N97" s="119"/>
      <c r="O97" s="119"/>
      <c r="P97" s="119"/>
      <c r="Q97" s="119"/>
      <c r="R97" s="119"/>
      <c r="S97" s="119"/>
      <c r="T97" s="123">
        <f t="shared" si="6"/>
        <v>0</v>
      </c>
    </row>
    <row r="98" spans="1:20" s="19" customFormat="1" ht="18" customHeight="1">
      <c r="A98" s="118"/>
      <c r="B98" s="118"/>
      <c r="C98" s="118"/>
      <c r="D98" s="118"/>
      <c r="E98" s="128">
        <v>621</v>
      </c>
      <c r="F98" s="118" t="s">
        <v>245</v>
      </c>
      <c r="G98" s="148"/>
      <c r="H98" s="119">
        <f>PL!H100/'PL USD'!$H$2</f>
        <v>83.100037585013723</v>
      </c>
      <c r="I98" s="119">
        <f>PL!I100/'PL USD'!$I$2</f>
        <v>59.148087692124392</v>
      </c>
      <c r="J98" s="119">
        <f>PL!J99/'PL USD'!$J$2</f>
        <v>0</v>
      </c>
      <c r="K98" s="119"/>
      <c r="L98" s="119"/>
      <c r="M98" s="119"/>
      <c r="N98" s="119"/>
      <c r="O98" s="119"/>
      <c r="P98" s="119"/>
      <c r="Q98" s="119"/>
      <c r="R98" s="119"/>
      <c r="S98" s="119"/>
      <c r="T98" s="123">
        <f t="shared" si="6"/>
        <v>142.24812527713812</v>
      </c>
    </row>
    <row r="99" spans="1:20" s="19" customFormat="1" ht="18" customHeight="1">
      <c r="A99" s="118"/>
      <c r="B99" s="118"/>
      <c r="C99" s="118"/>
      <c r="D99" s="118"/>
      <c r="E99" s="128">
        <v>622</v>
      </c>
      <c r="F99" s="118" t="s">
        <v>80</v>
      </c>
      <c r="G99" s="148"/>
      <c r="H99" s="119">
        <f>PL!H102/'PL USD'!$H$2</f>
        <v>0</v>
      </c>
      <c r="I99" s="119">
        <f>PL!I102/'PL USD'!$I$2</f>
        <v>73.513642320981774</v>
      </c>
      <c r="J99" s="119">
        <f>PL!J100/'PL USD'!$J$2</f>
        <v>4.1540561391015371</v>
      </c>
      <c r="K99" s="119"/>
      <c r="L99" s="119"/>
      <c r="M99" s="119"/>
      <c r="N99" s="119"/>
      <c r="O99" s="119"/>
      <c r="P99" s="119"/>
      <c r="Q99" s="119"/>
      <c r="R99" s="119"/>
      <c r="S99" s="119"/>
      <c r="T99" s="123">
        <f t="shared" si="6"/>
        <v>77.667698460083315</v>
      </c>
    </row>
    <row r="100" spans="1:20" s="19" customFormat="1" ht="18" customHeight="1">
      <c r="A100" s="118"/>
      <c r="B100" s="118"/>
      <c r="C100" s="118"/>
      <c r="D100" s="118"/>
      <c r="E100" s="128">
        <v>622.01</v>
      </c>
      <c r="F100" s="118" t="s">
        <v>80</v>
      </c>
      <c r="G100" s="148"/>
      <c r="H100" s="119"/>
      <c r="I100" s="119"/>
      <c r="J100" s="119">
        <f>PL!J101/'PL USD'!$J$2</f>
        <v>35.606195478013177</v>
      </c>
      <c r="K100" s="119"/>
      <c r="L100" s="119"/>
      <c r="M100" s="119"/>
      <c r="N100" s="119"/>
      <c r="O100" s="119"/>
      <c r="P100" s="119"/>
      <c r="Q100" s="119"/>
      <c r="R100" s="119"/>
      <c r="S100" s="119"/>
      <c r="T100" s="123"/>
    </row>
    <row r="101" spans="1:20" s="19" customFormat="1" ht="18" customHeight="1">
      <c r="A101" s="118"/>
      <c r="B101" s="118"/>
      <c r="C101" s="118"/>
      <c r="D101" s="118"/>
      <c r="E101" s="128">
        <v>623.01</v>
      </c>
      <c r="F101" s="118" t="s">
        <v>81</v>
      </c>
      <c r="G101" s="148"/>
      <c r="H101" s="119">
        <f>PL!H103/'PL USD'!$H$2</f>
        <v>67.440786302350546</v>
      </c>
      <c r="I101" s="119">
        <f>PL!I103/'PL USD'!$I$2</f>
        <v>63.693487430001184</v>
      </c>
      <c r="J101" s="119">
        <f>PL!J102/'PL USD'!$J$2</f>
        <v>41.540561391015373</v>
      </c>
      <c r="K101" s="119"/>
      <c r="L101" s="119"/>
      <c r="M101" s="119"/>
      <c r="N101" s="119"/>
      <c r="O101" s="119"/>
      <c r="P101" s="119"/>
      <c r="Q101" s="119"/>
      <c r="R101" s="119"/>
      <c r="S101" s="139"/>
      <c r="T101" s="123">
        <f t="shared" si="6"/>
        <v>172.67483512336713</v>
      </c>
    </row>
    <row r="102" spans="1:20" s="24" customFormat="1" ht="18" customHeight="1">
      <c r="A102" s="118"/>
      <c r="B102" s="118"/>
      <c r="C102" s="118"/>
      <c r="D102" s="118"/>
      <c r="E102" s="128">
        <v>623.02</v>
      </c>
      <c r="F102" s="118" t="s">
        <v>82</v>
      </c>
      <c r="G102" s="148"/>
      <c r="H102" s="119">
        <f>PL!H104/'PL USD'!$H$2</f>
        <v>157.23147595752297</v>
      </c>
      <c r="I102" s="119">
        <f>PL!I104/'PL USD'!$I$2</f>
        <v>0</v>
      </c>
      <c r="J102" s="119">
        <f>PL!J103/'PL USD'!$J$2</f>
        <v>68.245207999525249</v>
      </c>
      <c r="K102" s="119"/>
      <c r="L102" s="119"/>
      <c r="M102" s="119"/>
      <c r="N102" s="119"/>
      <c r="O102" s="119"/>
      <c r="P102" s="119"/>
      <c r="Q102" s="119"/>
      <c r="R102" s="119"/>
      <c r="S102" s="119"/>
      <c r="T102" s="123">
        <f t="shared" si="6"/>
        <v>225.47668395704824</v>
      </c>
    </row>
    <row r="103" spans="1:20" s="19" customFormat="1" ht="18" customHeight="1">
      <c r="A103" s="118"/>
      <c r="B103" s="118"/>
      <c r="C103" s="118"/>
      <c r="D103" s="118"/>
      <c r="E103" s="128">
        <v>624</v>
      </c>
      <c r="F103" s="118" t="s">
        <v>83</v>
      </c>
      <c r="G103" s="148"/>
      <c r="H103" s="119">
        <f>PL!H105/'PL USD'!$H$2</f>
        <v>439.44040090681301</v>
      </c>
      <c r="I103" s="119">
        <f>PL!I105/'PL USD'!$I$2</f>
        <v>0</v>
      </c>
      <c r="J103" s="119">
        <f>PL!J104/'PL USD'!$J$2</f>
        <v>0</v>
      </c>
      <c r="K103" s="119"/>
      <c r="L103" s="119"/>
      <c r="M103" s="119"/>
      <c r="N103" s="119"/>
      <c r="O103" s="119"/>
      <c r="P103" s="119"/>
      <c r="Q103" s="119"/>
      <c r="R103" s="119"/>
      <c r="S103" s="119"/>
      <c r="T103" s="123">
        <f t="shared" si="6"/>
        <v>439.44040090681301</v>
      </c>
    </row>
    <row r="104" spans="1:20" s="19" customFormat="1" ht="18" customHeight="1">
      <c r="A104" s="118"/>
      <c r="B104" s="118"/>
      <c r="C104" s="118"/>
      <c r="D104" s="118"/>
      <c r="E104" s="128" t="s">
        <v>338</v>
      </c>
      <c r="F104" s="118" t="s">
        <v>344</v>
      </c>
      <c r="G104" s="148"/>
      <c r="H104" s="119"/>
      <c r="I104" s="119"/>
      <c r="J104" s="119">
        <f>PL!J105/'PL USD'!$J$2</f>
        <v>0</v>
      </c>
      <c r="K104" s="119"/>
      <c r="L104" s="119"/>
      <c r="M104" s="119"/>
      <c r="N104" s="119"/>
      <c r="O104" s="119"/>
      <c r="P104" s="119"/>
      <c r="Q104" s="119"/>
      <c r="R104" s="119"/>
      <c r="S104" s="119"/>
      <c r="T104" s="123"/>
    </row>
    <row r="105" spans="1:20" s="19" customFormat="1" ht="18" customHeight="1">
      <c r="A105" s="118"/>
      <c r="B105" s="118"/>
      <c r="C105" s="118"/>
      <c r="D105" s="118"/>
      <c r="E105" s="128">
        <v>625.01</v>
      </c>
      <c r="F105" s="118" t="s">
        <v>84</v>
      </c>
      <c r="G105" s="148"/>
      <c r="H105" s="119">
        <f>PL!H107/'PL USD'!$H$2</f>
        <v>0</v>
      </c>
      <c r="I105" s="119">
        <f>PL!I107/'PL USD'!$I$2</f>
        <v>0</v>
      </c>
      <c r="J105" s="119">
        <f>PL!J106/'PL USD'!$J$2</f>
        <v>58.719067117678478</v>
      </c>
      <c r="K105" s="119"/>
      <c r="L105" s="119"/>
      <c r="M105" s="119"/>
      <c r="N105" s="119"/>
      <c r="O105" s="119"/>
      <c r="P105" s="119"/>
      <c r="Q105" s="119"/>
      <c r="R105" s="119"/>
      <c r="S105" s="119"/>
      <c r="T105" s="123">
        <f t="shared" si="6"/>
        <v>58.719067117678478</v>
      </c>
    </row>
    <row r="106" spans="1:20" s="19" customFormat="1" ht="18" customHeight="1">
      <c r="A106" s="118"/>
      <c r="B106" s="118"/>
      <c r="C106" s="118"/>
      <c r="D106" s="118"/>
      <c r="E106" s="128">
        <v>625.02</v>
      </c>
      <c r="F106" s="118" t="s">
        <v>85</v>
      </c>
      <c r="G106" s="148"/>
      <c r="H106" s="119">
        <f>PL!H108/'PL USD'!$H$2</f>
        <v>303.66304736904902</v>
      </c>
      <c r="I106" s="119">
        <f>PL!I108/'PL USD'!$I$2</f>
        <v>0</v>
      </c>
      <c r="J106" s="119">
        <f>PL!J107/'PL USD'!$J$2</f>
        <v>0</v>
      </c>
      <c r="K106" s="119"/>
      <c r="L106" s="119"/>
      <c r="M106" s="119"/>
      <c r="N106" s="119"/>
      <c r="O106" s="119"/>
      <c r="P106" s="119"/>
      <c r="Q106" s="119"/>
      <c r="R106" s="119"/>
      <c r="S106" s="119"/>
      <c r="T106" s="123">
        <f t="shared" si="6"/>
        <v>303.66304736904902</v>
      </c>
    </row>
    <row r="107" spans="1:20" s="19" customFormat="1" ht="18" customHeight="1">
      <c r="A107" s="118"/>
      <c r="B107" s="118"/>
      <c r="C107" s="118"/>
      <c r="D107" s="118"/>
      <c r="E107" s="128">
        <v>625.03</v>
      </c>
      <c r="F107" s="118" t="s">
        <v>86</v>
      </c>
      <c r="G107" s="148"/>
      <c r="H107" s="119">
        <f>PL!H109/'PL USD'!$H$2</f>
        <v>0</v>
      </c>
      <c r="I107" s="119">
        <f>PL!I108/'PL USD'!$I$2</f>
        <v>0</v>
      </c>
      <c r="J107" s="119">
        <f>PL!J108/'PL USD'!$J$2</f>
        <v>430.18218503352915</v>
      </c>
      <c r="K107" s="119"/>
      <c r="L107" s="119"/>
      <c r="M107" s="119"/>
      <c r="N107" s="119"/>
      <c r="O107" s="119"/>
      <c r="P107" s="119"/>
      <c r="Q107" s="119"/>
      <c r="R107" s="119"/>
      <c r="S107" s="119"/>
      <c r="T107" s="123">
        <f t="shared" si="6"/>
        <v>430.18218503352915</v>
      </c>
    </row>
    <row r="108" spans="1:20" s="19" customFormat="1" ht="18" customHeight="1">
      <c r="A108" s="118"/>
      <c r="B108" s="118"/>
      <c r="C108" s="118"/>
      <c r="D108" s="118"/>
      <c r="E108" s="128">
        <v>627</v>
      </c>
      <c r="F108" s="118" t="s">
        <v>87</v>
      </c>
      <c r="G108" s="148"/>
      <c r="H108" s="119">
        <f>PL!H110/'PL USD'!$H$2</f>
        <v>31.043923756115021</v>
      </c>
      <c r="I108" s="119">
        <f>PL!I110/'PL USD'!$I$2</f>
        <v>19.715863219349458</v>
      </c>
      <c r="J108" s="119">
        <f>PL!J109/'PL USD'!$J$2</f>
        <v>0</v>
      </c>
      <c r="K108" s="119"/>
      <c r="L108" s="119"/>
      <c r="M108" s="119"/>
      <c r="N108" s="119"/>
      <c r="O108" s="119"/>
      <c r="P108" s="119"/>
      <c r="Q108" s="119"/>
      <c r="R108" s="119"/>
      <c r="S108" s="119"/>
      <c r="T108" s="123">
        <f t="shared" si="6"/>
        <v>50.759786975464479</v>
      </c>
    </row>
    <row r="109" spans="1:20" s="19" customFormat="1" ht="18" customHeight="1">
      <c r="A109" s="118"/>
      <c r="B109" s="118"/>
      <c r="C109" s="118"/>
      <c r="D109" s="118"/>
      <c r="E109" s="128">
        <v>631</v>
      </c>
      <c r="F109" s="118" t="s">
        <v>88</v>
      </c>
      <c r="G109" s="148"/>
      <c r="H109" s="119">
        <f>PL!H111/'PL USD'!$H$2</f>
        <v>10454.473808614723</v>
      </c>
      <c r="I109" s="119">
        <f>PL!I111/'PL USD'!$I$2</f>
        <v>7904.3366656737771</v>
      </c>
      <c r="J109" s="119">
        <f>PL!J110/'PL USD'!$J$2</f>
        <v>16.250933475758114</v>
      </c>
      <c r="K109" s="119"/>
      <c r="L109" s="119"/>
      <c r="M109" s="119"/>
      <c r="N109" s="119"/>
      <c r="O109" s="119"/>
      <c r="P109" s="119"/>
      <c r="Q109" s="119"/>
      <c r="R109" s="119"/>
      <c r="S109" s="119"/>
      <c r="T109" s="123">
        <f t="shared" si="6"/>
        <v>18375.06140776426</v>
      </c>
    </row>
    <row r="110" spans="1:20" s="19" customFormat="1" ht="18" customHeight="1">
      <c r="A110" s="118"/>
      <c r="B110" s="118"/>
      <c r="C110" s="118"/>
      <c r="D110" s="118"/>
      <c r="E110" s="128">
        <v>633</v>
      </c>
      <c r="F110" s="118" t="s">
        <v>223</v>
      </c>
      <c r="G110" s="148"/>
      <c r="H110" s="119">
        <f>PL!H112/'PL USD'!$H$2</f>
        <v>0</v>
      </c>
      <c r="I110" s="119">
        <f>PL!I112/'PL USD'!$I$2</f>
        <v>0</v>
      </c>
      <c r="J110" s="119">
        <f>PL!J111/'PL USD'!$J$2</f>
        <v>8124.2533380808263</v>
      </c>
      <c r="K110" s="119"/>
      <c r="L110" s="119"/>
      <c r="M110" s="119"/>
      <c r="N110" s="119"/>
      <c r="O110" s="119"/>
      <c r="P110" s="119"/>
      <c r="Q110" s="119"/>
      <c r="R110" s="119"/>
      <c r="S110" s="119"/>
      <c r="T110" s="123">
        <f t="shared" si="6"/>
        <v>8124.2533380808263</v>
      </c>
    </row>
    <row r="111" spans="1:20" s="19" customFormat="1" ht="18" customHeight="1">
      <c r="A111" s="118"/>
      <c r="B111" s="118"/>
      <c r="C111" s="118"/>
      <c r="D111" s="118"/>
      <c r="E111" s="128" t="s">
        <v>252</v>
      </c>
      <c r="F111" s="118" t="s">
        <v>295</v>
      </c>
      <c r="G111" s="148"/>
      <c r="H111" s="119">
        <f>PL!H113/'PL USD'!$H$2</f>
        <v>170.0274430258919</v>
      </c>
      <c r="I111" s="119">
        <f>PL!I113/'PL USD'!$I$2</f>
        <v>0</v>
      </c>
      <c r="J111" s="119">
        <f>PL!J112/'PL USD'!$J$2</f>
        <v>0</v>
      </c>
      <c r="K111" s="119"/>
      <c r="L111" s="119"/>
      <c r="M111" s="119"/>
      <c r="N111" s="119"/>
      <c r="O111" s="119"/>
      <c r="P111" s="119"/>
      <c r="Q111" s="119"/>
      <c r="R111" s="119"/>
      <c r="S111" s="119"/>
      <c r="T111" s="123">
        <f t="shared" si="6"/>
        <v>170.0274430258919</v>
      </c>
    </row>
    <row r="112" spans="1:20" s="19" customFormat="1" ht="18" customHeight="1">
      <c r="A112" s="118"/>
      <c r="B112" s="118"/>
      <c r="C112" s="118"/>
      <c r="D112" s="118"/>
      <c r="E112" s="128">
        <v>635</v>
      </c>
      <c r="F112" s="118" t="s">
        <v>89</v>
      </c>
      <c r="G112" s="148"/>
      <c r="H112" s="119">
        <f>PL!H114/'PL USD'!$H$2</f>
        <v>600.5770373463788</v>
      </c>
      <c r="I112" s="119">
        <f>PL!I114/'PL USD'!$I$2</f>
        <v>643.25404682473493</v>
      </c>
      <c r="J112" s="119">
        <f>PL!J113/'PL USD'!$J$2</f>
        <v>0</v>
      </c>
      <c r="K112" s="119"/>
      <c r="L112" s="119"/>
      <c r="M112" s="119"/>
      <c r="N112" s="119"/>
      <c r="O112" s="119"/>
      <c r="P112" s="119"/>
      <c r="Q112" s="119"/>
      <c r="R112" s="119"/>
      <c r="S112" s="119"/>
      <c r="T112" s="123">
        <f t="shared" si="6"/>
        <v>1243.8310841711136</v>
      </c>
    </row>
    <row r="113" spans="1:20" s="19" customFormat="1" ht="18" customHeight="1">
      <c r="A113" s="118"/>
      <c r="B113" s="118"/>
      <c r="C113" s="118"/>
      <c r="D113" s="118"/>
      <c r="E113" s="128" t="s">
        <v>296</v>
      </c>
      <c r="F113" s="118" t="s">
        <v>86</v>
      </c>
      <c r="G113" s="148"/>
      <c r="H113" s="119">
        <f>PL!H115/'PL USD'!$H$2</f>
        <v>290.53812194248894</v>
      </c>
      <c r="I113" s="119">
        <f>PL!I115/'PL USD'!$I$2</f>
        <v>302.03741212915526</v>
      </c>
      <c r="J113" s="119">
        <f>PL!J114/'PL USD'!$J$2</f>
        <v>286.5691056910569</v>
      </c>
      <c r="K113" s="119"/>
      <c r="L113" s="119"/>
      <c r="M113" s="119"/>
      <c r="N113" s="119"/>
      <c r="O113" s="119"/>
      <c r="P113" s="119"/>
      <c r="Q113" s="119"/>
      <c r="R113" s="119"/>
      <c r="S113" s="119"/>
      <c r="T113" s="123">
        <f t="shared" si="6"/>
        <v>879.14463976270099</v>
      </c>
    </row>
    <row r="114" spans="1:20" s="19" customFormat="1" ht="18" customHeight="1">
      <c r="A114" s="118"/>
      <c r="B114" s="118"/>
      <c r="C114" s="118"/>
      <c r="D114" s="118"/>
      <c r="E114" s="128">
        <v>638</v>
      </c>
      <c r="F114" s="118" t="s">
        <v>90</v>
      </c>
      <c r="G114" s="148"/>
      <c r="H114" s="119">
        <f>PL!H116/'PL USD'!$H$2</f>
        <v>0</v>
      </c>
      <c r="I114" s="119">
        <f>PL!I116/'PL USD'!$I$2</f>
        <v>0</v>
      </c>
      <c r="J114" s="119">
        <f>PL!J115/'PL USD'!$J$2</f>
        <v>271.79395881550056</v>
      </c>
      <c r="K114" s="119"/>
      <c r="L114" s="119"/>
      <c r="M114" s="119"/>
      <c r="N114" s="119"/>
      <c r="O114" s="119"/>
      <c r="P114" s="119"/>
      <c r="Q114" s="119"/>
      <c r="R114" s="119"/>
      <c r="S114" s="119"/>
      <c r="T114" s="123">
        <f t="shared" si="6"/>
        <v>271.79395881550056</v>
      </c>
    </row>
    <row r="115" spans="1:20" s="19" customFormat="1" ht="18" customHeight="1">
      <c r="A115" s="118"/>
      <c r="B115" s="118"/>
      <c r="C115" s="118"/>
      <c r="D115" s="118"/>
      <c r="E115" s="128">
        <v>638.01</v>
      </c>
      <c r="F115" s="118" t="s">
        <v>341</v>
      </c>
      <c r="G115" s="148"/>
      <c r="H115" s="119"/>
      <c r="I115" s="119"/>
      <c r="J115" s="119">
        <f>PL!J116/'PL USD'!$J$2</f>
        <v>567.91881787431009</v>
      </c>
      <c r="K115" s="119"/>
      <c r="L115" s="119"/>
      <c r="M115" s="119"/>
      <c r="N115" s="119"/>
      <c r="O115" s="119"/>
      <c r="P115" s="119"/>
      <c r="Q115" s="119"/>
      <c r="R115" s="119"/>
      <c r="S115" s="119"/>
      <c r="T115" s="123"/>
    </row>
    <row r="116" spans="1:20" s="19" customFormat="1" ht="18" customHeight="1">
      <c r="A116" s="118"/>
      <c r="B116" s="118"/>
      <c r="C116" s="118"/>
      <c r="D116" s="118"/>
      <c r="E116" s="128">
        <v>643</v>
      </c>
      <c r="F116" s="118" t="s">
        <v>110</v>
      </c>
      <c r="G116" s="148"/>
      <c r="H116" s="119">
        <f>PL!H117/'PL USD'!$H$2</f>
        <v>0</v>
      </c>
      <c r="I116" s="119">
        <f>PL!I117/'PL USD'!$I$2</f>
        <v>0</v>
      </c>
      <c r="J116" s="119">
        <f>PL!J117/'PL USD'!$J$2</f>
        <v>0</v>
      </c>
      <c r="K116" s="119"/>
      <c r="L116" s="119"/>
      <c r="M116" s="119"/>
      <c r="N116" s="119"/>
      <c r="O116" s="119"/>
      <c r="P116" s="119"/>
      <c r="Q116" s="119"/>
      <c r="R116" s="119"/>
      <c r="S116" s="119"/>
      <c r="T116" s="123">
        <f t="shared" si="6"/>
        <v>0</v>
      </c>
    </row>
    <row r="117" spans="1:20" s="19" customFormat="1" ht="18" customHeight="1">
      <c r="A117" s="118"/>
      <c r="B117" s="118"/>
      <c r="C117" s="118"/>
      <c r="D117" s="118"/>
      <c r="E117" s="128">
        <v>647</v>
      </c>
      <c r="F117" s="118" t="s">
        <v>111</v>
      </c>
      <c r="G117" s="148"/>
      <c r="H117" s="119">
        <f>PL!H118/'PL USD'!$H$2</f>
        <v>0</v>
      </c>
      <c r="I117" s="119">
        <f>PL!I118/'PL USD'!$I$2</f>
        <v>0</v>
      </c>
      <c r="J117" s="119">
        <f>PL!J118/'PL USD'!$J$2</f>
        <v>0</v>
      </c>
      <c r="K117" s="119"/>
      <c r="L117" s="119"/>
      <c r="M117" s="119"/>
      <c r="N117" s="119"/>
      <c r="O117" s="119"/>
      <c r="P117" s="119"/>
      <c r="Q117" s="119"/>
      <c r="R117" s="119"/>
      <c r="S117" s="119"/>
      <c r="T117" s="123">
        <f t="shared" si="6"/>
        <v>0</v>
      </c>
    </row>
    <row r="118" spans="1:20" s="19" customFormat="1" ht="18" customHeight="1">
      <c r="A118" s="118"/>
      <c r="B118" s="118"/>
      <c r="C118" s="118"/>
      <c r="D118" s="138"/>
      <c r="E118" s="128">
        <v>682</v>
      </c>
      <c r="F118" s="118" t="s">
        <v>95</v>
      </c>
      <c r="G118" s="148"/>
      <c r="H118" s="119">
        <f>PL!H119/'PL USD'!$H$2</f>
        <v>932.03848645746325</v>
      </c>
      <c r="I118" s="119">
        <f>PL!I119/'PL USD'!$I$2</f>
        <v>866.23232634338137</v>
      </c>
      <c r="J118" s="119">
        <f>PL!J119/'PL USD'!$J$2</f>
        <v>857.23700848614328</v>
      </c>
      <c r="K118" s="119"/>
      <c r="L118" s="119"/>
      <c r="M118" s="119"/>
      <c r="N118" s="119"/>
      <c r="O118" s="119"/>
      <c r="P118" s="119"/>
      <c r="Q118" s="119"/>
      <c r="R118" s="119"/>
      <c r="S118" s="119"/>
      <c r="T118" s="123">
        <f t="shared" si="6"/>
        <v>2655.507821286988</v>
      </c>
    </row>
    <row r="119" spans="1:20" s="19" customFormat="1" ht="18" customHeight="1">
      <c r="A119" s="118"/>
      <c r="B119" s="118"/>
      <c r="C119" s="118"/>
      <c r="D119" s="138"/>
      <c r="E119" s="128"/>
      <c r="F119" s="118"/>
      <c r="G119" s="148"/>
      <c r="H119" s="119">
        <v>0</v>
      </c>
      <c r="I119" s="119">
        <f>PL!I120/'PL USD'!$I$2</f>
        <v>0</v>
      </c>
      <c r="J119" s="119">
        <f>PL!J120/'PL USD'!$I$2</f>
        <v>0</v>
      </c>
      <c r="K119" s="119"/>
      <c r="L119" s="119"/>
      <c r="M119" s="119"/>
      <c r="N119" s="119"/>
      <c r="O119" s="119"/>
      <c r="P119" s="119"/>
      <c r="Q119" s="119"/>
      <c r="R119" s="119"/>
      <c r="S119" s="119"/>
      <c r="T119" s="123">
        <f t="shared" si="6"/>
        <v>0</v>
      </c>
    </row>
    <row r="120" spans="1:20" s="19" customFormat="1" ht="18" customHeight="1">
      <c r="A120" s="118"/>
      <c r="B120" s="118"/>
      <c r="C120" s="118"/>
      <c r="D120" s="118"/>
      <c r="E120" s="122" t="s">
        <v>224</v>
      </c>
      <c r="F120" s="118"/>
      <c r="G120" s="148"/>
      <c r="H120" s="147">
        <f>SUM(H76:H119)</f>
        <v>24744.884114067532</v>
      </c>
      <c r="I120" s="159">
        <f>SUM(I76:I119)</f>
        <v>15023.344031931374</v>
      </c>
      <c r="J120" s="159">
        <f>SUM(J76:J119)</f>
        <v>15953.399372737522</v>
      </c>
      <c r="K120" s="147"/>
      <c r="L120" s="159"/>
      <c r="M120" s="159"/>
      <c r="N120" s="159"/>
      <c r="O120" s="159"/>
      <c r="P120" s="159"/>
      <c r="Q120" s="159"/>
      <c r="R120" s="159"/>
      <c r="S120" s="159"/>
      <c r="T120" s="147">
        <f>SUM(T76:T119)</f>
        <v>55118.1025053841</v>
      </c>
    </row>
    <row r="121" spans="1:20" s="19" customFormat="1" ht="18" customHeight="1">
      <c r="A121" s="118"/>
      <c r="B121" s="118"/>
      <c r="C121" s="118"/>
      <c r="D121" s="117" t="s">
        <v>112</v>
      </c>
      <c r="E121" s="128"/>
      <c r="F121" s="118"/>
      <c r="G121" s="148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25"/>
    </row>
    <row r="122" spans="1:20" s="19" customFormat="1" ht="18" customHeight="1">
      <c r="A122" s="118"/>
      <c r="B122" s="118"/>
      <c r="C122" s="118"/>
      <c r="D122" s="117"/>
      <c r="E122" s="128">
        <v>652</v>
      </c>
      <c r="F122" s="118" t="s">
        <v>225</v>
      </c>
      <c r="G122" s="148"/>
      <c r="H122" s="119">
        <f>PL!H123/'PL USD'!$H$2</f>
        <v>0</v>
      </c>
      <c r="I122" s="119">
        <f>PL!I123/'PL USD'!$I$2</f>
        <v>0</v>
      </c>
      <c r="J122" s="119">
        <f>PL!J120/'PL USD'!$J$2</f>
        <v>0</v>
      </c>
      <c r="K122" s="119"/>
      <c r="L122" s="119"/>
      <c r="M122" s="119"/>
      <c r="N122" s="119"/>
      <c r="O122" s="119"/>
      <c r="P122" s="119"/>
      <c r="Q122" s="119"/>
      <c r="R122" s="119"/>
      <c r="S122" s="119"/>
      <c r="T122" s="123">
        <f t="shared" ref="T122:T126" si="7">SUM(H122:S122)</f>
        <v>0</v>
      </c>
    </row>
    <row r="123" spans="1:20" s="19" customFormat="1" ht="18" customHeight="1">
      <c r="A123" s="118"/>
      <c r="B123" s="118"/>
      <c r="C123" s="118"/>
      <c r="D123" s="118"/>
      <c r="E123" s="128">
        <v>656</v>
      </c>
      <c r="F123" s="118" t="s">
        <v>92</v>
      </c>
      <c r="G123" s="118"/>
      <c r="H123" s="119">
        <f>PL!H124/'PL USD'!$H$2</f>
        <v>11.931750387781888</v>
      </c>
      <c r="I123" s="119">
        <f>PL!I124/'PL USD'!$I$2</f>
        <v>0</v>
      </c>
      <c r="J123" s="119">
        <f>PL!J124/'PL USD'!$J$2</f>
        <v>0</v>
      </c>
      <c r="K123" s="119"/>
      <c r="L123" s="119"/>
      <c r="M123" s="119"/>
      <c r="N123" s="119"/>
      <c r="O123" s="119"/>
      <c r="P123" s="119"/>
      <c r="Q123" s="119"/>
      <c r="R123" s="119"/>
      <c r="S123" s="119"/>
      <c r="T123" s="123">
        <f t="shared" si="7"/>
        <v>11.931750387781888</v>
      </c>
    </row>
    <row r="124" spans="1:20" s="19" customFormat="1" ht="18" customHeight="1">
      <c r="A124" s="118"/>
      <c r="B124" s="118"/>
      <c r="C124" s="118"/>
      <c r="D124" s="118"/>
      <c r="E124" s="128">
        <v>658</v>
      </c>
      <c r="F124" s="118" t="s">
        <v>93</v>
      </c>
      <c r="G124" s="118"/>
      <c r="H124" s="119"/>
      <c r="I124" s="119">
        <f>PL!I125/'PL USD'!$I$2</f>
        <v>0</v>
      </c>
      <c r="J124" s="119">
        <f>PL!J125/'PL USD'!$J$2</f>
        <v>0</v>
      </c>
      <c r="K124" s="119"/>
      <c r="L124" s="119"/>
      <c r="M124" s="119"/>
      <c r="N124" s="119"/>
      <c r="O124" s="119"/>
      <c r="P124" s="119"/>
      <c r="Q124" s="119"/>
      <c r="R124" s="119"/>
      <c r="S124" s="119"/>
      <c r="T124" s="123"/>
    </row>
    <row r="125" spans="1:20" s="19" customFormat="1" ht="18" customHeight="1">
      <c r="A125" s="118"/>
      <c r="B125" s="118"/>
      <c r="C125" s="118"/>
      <c r="D125" s="118"/>
      <c r="E125" s="128" t="s">
        <v>324</v>
      </c>
      <c r="F125" s="118" t="s">
        <v>91</v>
      </c>
      <c r="G125" s="118"/>
      <c r="H125" s="119"/>
      <c r="I125" s="119">
        <f>PL!I126/'PL USD'!$I$2</f>
        <v>44.680090551650181</v>
      </c>
      <c r="J125" s="119">
        <f>PL!J126/'PL USD'!$J$2</f>
        <v>14.835914782505489</v>
      </c>
      <c r="K125" s="119"/>
      <c r="L125" s="119"/>
      <c r="M125" s="119"/>
      <c r="N125" s="119"/>
      <c r="O125" s="119"/>
      <c r="P125" s="119"/>
      <c r="Q125" s="119"/>
      <c r="R125" s="119"/>
      <c r="S125" s="119"/>
      <c r="T125" s="123"/>
    </row>
    <row r="126" spans="1:20" s="19" customFormat="1" ht="18" customHeight="1">
      <c r="A126" s="118"/>
      <c r="B126" s="118"/>
      <c r="C126" s="118"/>
      <c r="D126" s="138"/>
      <c r="E126" s="128">
        <v>658.01</v>
      </c>
      <c r="F126" s="118" t="s">
        <v>93</v>
      </c>
      <c r="G126" s="118"/>
      <c r="H126" s="119">
        <f>PL!H125/'PL USD'!$H$2</f>
        <v>3751.307809330629</v>
      </c>
      <c r="I126" s="119">
        <f>PL!I127/'PL USD'!$I$2</f>
        <v>3.5744370308590492</v>
      </c>
      <c r="J126" s="119">
        <f>PL!J127/'PL USD'!$J$2</f>
        <v>35.012758886712952</v>
      </c>
      <c r="K126" s="119"/>
      <c r="L126" s="139"/>
      <c r="M126" s="139"/>
      <c r="N126" s="139"/>
      <c r="O126" s="139"/>
      <c r="P126" s="139"/>
      <c r="Q126" s="139"/>
      <c r="R126" s="139"/>
      <c r="S126" s="139"/>
      <c r="T126" s="123">
        <f t="shared" si="7"/>
        <v>3789.895005248201</v>
      </c>
    </row>
    <row r="127" spans="1:20" s="19" customFormat="1" ht="18" customHeight="1">
      <c r="A127" s="118"/>
      <c r="B127" s="118"/>
      <c r="C127" s="118"/>
      <c r="D127" s="118"/>
      <c r="E127" s="128" t="s">
        <v>226</v>
      </c>
      <c r="F127" s="118"/>
      <c r="G127" s="148"/>
      <c r="H127" s="147">
        <f>SUM(H122:H126)</f>
        <v>3763.2395597184109</v>
      </c>
      <c r="I127" s="159">
        <f>SUM(I122:I126)</f>
        <v>48.254527582509233</v>
      </c>
      <c r="J127" s="159">
        <f>SUM(J122:J126)</f>
        <v>49.848673669218442</v>
      </c>
      <c r="K127" s="147"/>
      <c r="L127" s="147"/>
      <c r="M127" s="147"/>
      <c r="N127" s="147"/>
      <c r="O127" s="147"/>
      <c r="P127" s="147"/>
      <c r="Q127" s="147"/>
      <c r="R127" s="147"/>
      <c r="S127" s="147"/>
      <c r="T127" s="147">
        <f>SUM(T122:T126)</f>
        <v>3801.8267556359829</v>
      </c>
    </row>
    <row r="128" spans="1:20" s="19" customFormat="1" ht="18" customHeight="1">
      <c r="A128" s="118"/>
      <c r="B128" s="118"/>
      <c r="C128" s="118"/>
      <c r="D128" s="118"/>
      <c r="E128" s="122" t="s">
        <v>227</v>
      </c>
      <c r="F128" s="118"/>
      <c r="G128" s="148"/>
      <c r="H128" s="147">
        <f>H120+H127</f>
        <v>28508.123673785944</v>
      </c>
      <c r="I128" s="147">
        <f>I120+I127</f>
        <v>15071.598559513883</v>
      </c>
      <c r="J128" s="147">
        <f>J120+J127</f>
        <v>16003.248046406741</v>
      </c>
      <c r="K128" s="147"/>
      <c r="L128" s="147"/>
      <c r="M128" s="147"/>
      <c r="N128" s="147"/>
      <c r="O128" s="147"/>
      <c r="P128" s="147"/>
      <c r="Q128" s="147"/>
      <c r="R128" s="147"/>
      <c r="S128" s="147"/>
      <c r="T128" s="147">
        <f>T120+T127</f>
        <v>58919.929261020086</v>
      </c>
    </row>
    <row r="129" spans="1:20" s="19" customFormat="1" ht="18" customHeight="1">
      <c r="A129" s="118"/>
      <c r="B129" s="118"/>
      <c r="C129" s="118"/>
      <c r="D129" s="118"/>
      <c r="E129" s="122" t="s">
        <v>113</v>
      </c>
      <c r="F129" s="118"/>
      <c r="G129" s="148"/>
      <c r="H129" s="145">
        <f>H72-H128</f>
        <v>20467.832955494552</v>
      </c>
      <c r="I129" s="209">
        <f>I72-I128</f>
        <v>30665.782110687498</v>
      </c>
      <c r="J129" s="209">
        <f>J72-J128</f>
        <v>41545.132910806431</v>
      </c>
      <c r="K129" s="145"/>
      <c r="L129" s="145"/>
      <c r="M129" s="145"/>
      <c r="N129" s="145"/>
      <c r="O129" s="145"/>
      <c r="P129" s="145"/>
      <c r="Q129" s="145"/>
      <c r="R129" s="145"/>
      <c r="S129" s="145"/>
      <c r="T129" s="145">
        <f>T72-T128</f>
        <v>95523.249087615579</v>
      </c>
    </row>
    <row r="130" spans="1:20" s="19" customFormat="1" ht="18" customHeight="1">
      <c r="A130" s="118"/>
      <c r="B130" s="118"/>
      <c r="C130" s="118"/>
      <c r="D130" s="117" t="s">
        <v>114</v>
      </c>
      <c r="E130" s="128"/>
      <c r="F130" s="118"/>
      <c r="G130" s="148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25"/>
    </row>
    <row r="131" spans="1:20" s="19" customFormat="1" ht="18" customHeight="1">
      <c r="A131" s="118"/>
      <c r="B131" s="118"/>
      <c r="C131" s="118"/>
      <c r="D131" s="117"/>
      <c r="E131" s="128">
        <v>762</v>
      </c>
      <c r="F131" s="128" t="s">
        <v>115</v>
      </c>
      <c r="G131" s="148"/>
      <c r="H131" s="119">
        <f>PL!H132/'PL USD'!$H$2</f>
        <v>0</v>
      </c>
      <c r="I131" s="119">
        <f>PL!I132/'PL USD'!$I$2</f>
        <v>0</v>
      </c>
      <c r="J131" s="119">
        <f>PL!J132/'PL USD'!$J$2</f>
        <v>0</v>
      </c>
      <c r="K131" s="119"/>
      <c r="L131" s="119"/>
      <c r="M131" s="119"/>
      <c r="N131" s="119"/>
      <c r="O131" s="119"/>
      <c r="P131" s="119"/>
      <c r="Q131" s="119"/>
      <c r="R131" s="119"/>
      <c r="S131" s="119"/>
      <c r="T131" s="123">
        <f t="shared" ref="T131:T138" si="8">SUM(H131:S131)</f>
        <v>0</v>
      </c>
    </row>
    <row r="132" spans="1:20" s="19" customFormat="1" ht="18" customHeight="1">
      <c r="A132" s="118"/>
      <c r="B132" s="118"/>
      <c r="C132" s="118"/>
      <c r="D132" s="138"/>
      <c r="E132" s="128">
        <v>763</v>
      </c>
      <c r="F132" s="128" t="s">
        <v>98</v>
      </c>
      <c r="G132" s="118"/>
      <c r="H132" s="119">
        <f>PL!H133/'PL USD'!$H$2</f>
        <v>5355.2907695979002</v>
      </c>
      <c r="I132" s="119">
        <f>PL!I133/'PL USD'!$I$2</f>
        <v>2950.5162951268917</v>
      </c>
      <c r="J132" s="119">
        <f>PL!J133/'PL USD'!$J$2</f>
        <v>236.49350483650821</v>
      </c>
      <c r="K132" s="119"/>
      <c r="L132" s="119"/>
      <c r="M132" s="119"/>
      <c r="N132" s="119"/>
      <c r="O132" s="119"/>
      <c r="P132" s="119"/>
      <c r="Q132" s="119"/>
      <c r="R132" s="119"/>
      <c r="S132" s="119"/>
      <c r="T132" s="123">
        <f t="shared" si="8"/>
        <v>8542.3005695612992</v>
      </c>
    </row>
    <row r="133" spans="1:20" s="19" customFormat="1" ht="18" customHeight="1">
      <c r="A133" s="118"/>
      <c r="B133" s="118"/>
      <c r="C133" s="118"/>
      <c r="D133" s="138"/>
      <c r="E133" s="128">
        <v>764</v>
      </c>
      <c r="F133" s="128" t="s">
        <v>116</v>
      </c>
      <c r="G133" s="118"/>
      <c r="H133" s="119">
        <f>PL!H134/'PL USD'!$H$2</f>
        <v>0</v>
      </c>
      <c r="I133" s="119">
        <f>PL!I134/'PL USD'!$I$2</f>
        <v>0</v>
      </c>
      <c r="J133" s="119">
        <f>PL!J134/'PL USD'!$J$2</f>
        <v>0</v>
      </c>
      <c r="K133" s="119"/>
      <c r="L133" s="119"/>
      <c r="M133" s="119"/>
      <c r="N133" s="119"/>
      <c r="O133" s="119"/>
      <c r="P133" s="119"/>
      <c r="Q133" s="119"/>
      <c r="R133" s="119"/>
      <c r="S133" s="119"/>
      <c r="T133" s="123"/>
    </row>
    <row r="134" spans="1:20" s="19" customFormat="1" ht="18" customHeight="1">
      <c r="A134" s="118"/>
      <c r="B134" s="118"/>
      <c r="C134" s="118"/>
      <c r="D134" s="138"/>
      <c r="E134" s="220" t="s">
        <v>329</v>
      </c>
      <c r="F134" s="128" t="s">
        <v>298</v>
      </c>
      <c r="G134" s="118"/>
      <c r="H134" s="119">
        <f>PL!H135/'PL USD'!$H$2</f>
        <v>0</v>
      </c>
      <c r="I134" s="142">
        <f>PL!I135/'PL USD'!$I$2</f>
        <v>358.33432622423447</v>
      </c>
      <c r="J134" s="119">
        <f>PL!J135/'PL USD'!$J$2</f>
        <v>512.60997329535337</v>
      </c>
      <c r="K134" s="119"/>
      <c r="L134" s="119"/>
      <c r="M134" s="119"/>
      <c r="N134" s="119"/>
      <c r="O134" s="119"/>
      <c r="P134" s="119"/>
      <c r="Q134" s="119"/>
      <c r="R134" s="119"/>
      <c r="S134" s="119"/>
      <c r="T134" s="123"/>
    </row>
    <row r="135" spans="1:20" s="19" customFormat="1" ht="18" customHeight="1">
      <c r="A135" s="118"/>
      <c r="B135" s="118"/>
      <c r="C135" s="118"/>
      <c r="D135" s="138"/>
      <c r="E135" s="220" t="s">
        <v>330</v>
      </c>
      <c r="F135" s="128" t="s">
        <v>331</v>
      </c>
      <c r="G135" s="118"/>
      <c r="H135" s="119">
        <f>PL!H136/'PL USD'!$H$2</f>
        <v>0</v>
      </c>
      <c r="I135" s="142">
        <f>PL!I136/'PL USD'!$I$2</f>
        <v>47782.362308471347</v>
      </c>
      <c r="J135" s="119">
        <f>PL!J136/'PL USD'!$J$2</f>
        <v>3917.8461634324376</v>
      </c>
      <c r="K135" s="119"/>
      <c r="L135" s="119"/>
      <c r="M135" s="119"/>
      <c r="N135" s="119"/>
      <c r="O135" s="119"/>
      <c r="P135" s="119"/>
      <c r="Q135" s="119"/>
      <c r="R135" s="119"/>
      <c r="S135" s="119"/>
      <c r="T135" s="123"/>
    </row>
    <row r="136" spans="1:20" s="19" customFormat="1" ht="18" customHeight="1">
      <c r="A136" s="118"/>
      <c r="B136" s="118"/>
      <c r="C136" s="118"/>
      <c r="D136" s="138"/>
      <c r="E136" s="128">
        <v>768</v>
      </c>
      <c r="F136" s="128" t="s">
        <v>99</v>
      </c>
      <c r="G136" s="118"/>
      <c r="H136" s="119">
        <f>PL!H137/'PL USD'!$H$2</f>
        <v>353.44529292447203</v>
      </c>
      <c r="I136" s="119">
        <f>PL!I137/'PL USD'!$I$2</f>
        <v>252.33825807220302</v>
      </c>
      <c r="J136" s="119">
        <f>PL!J137/'PL USD'!$J$2</f>
        <v>502.9375111269361</v>
      </c>
      <c r="K136" s="119"/>
      <c r="L136" s="119"/>
      <c r="M136" s="119"/>
      <c r="N136" s="119"/>
      <c r="O136" s="119"/>
      <c r="P136" s="119"/>
      <c r="Q136" s="119"/>
      <c r="R136" s="119"/>
      <c r="S136" s="119"/>
      <c r="T136" s="123"/>
    </row>
    <row r="137" spans="1:20" s="19" customFormat="1" ht="18" customHeight="1">
      <c r="A137" s="118"/>
      <c r="B137" s="118"/>
      <c r="C137" s="118"/>
      <c r="D137" s="138"/>
      <c r="E137" s="128" t="s">
        <v>299</v>
      </c>
      <c r="F137" s="128" t="s">
        <v>300</v>
      </c>
      <c r="G137" s="118"/>
      <c r="H137" s="119">
        <f>PL!H138/'PL USD'!$H$2</f>
        <v>731.18959551366186</v>
      </c>
      <c r="I137" s="119">
        <f>PL!I138/'PL USD'!$I$2</f>
        <v>992.83927082092225</v>
      </c>
      <c r="J137" s="119">
        <f>PL!J138/'PL USD'!$J$2</f>
        <v>1141.1785650703223</v>
      </c>
      <c r="K137" s="119"/>
      <c r="L137" s="119"/>
      <c r="M137" s="119"/>
      <c r="N137" s="119"/>
      <c r="O137" s="119"/>
      <c r="P137" s="119"/>
      <c r="Q137" s="119"/>
      <c r="R137" s="119"/>
      <c r="S137" s="119"/>
      <c r="T137" s="123">
        <f t="shared" si="8"/>
        <v>2865.2074314049064</v>
      </c>
    </row>
    <row r="138" spans="1:20" s="19" customFormat="1" ht="18" customHeight="1">
      <c r="A138" s="118"/>
      <c r="B138" s="118"/>
      <c r="C138" s="118"/>
      <c r="D138" s="118"/>
      <c r="E138" s="128" t="s">
        <v>327</v>
      </c>
      <c r="F138" s="118" t="s">
        <v>328</v>
      </c>
      <c r="G138" s="118"/>
      <c r="H138" s="119">
        <f>PL!H139/'PL USD'!$H$2</f>
        <v>0</v>
      </c>
      <c r="I138" s="119">
        <f>PL!I139/'PL USD'!$I$2</f>
        <v>30.233527939949958</v>
      </c>
      <c r="J138" s="119">
        <f>PL!J139/'PL USD'!$J$2</f>
        <v>0</v>
      </c>
      <c r="K138" s="119"/>
      <c r="L138" s="119"/>
      <c r="M138" s="119"/>
      <c r="N138" s="119"/>
      <c r="O138" s="119"/>
      <c r="P138" s="119"/>
      <c r="Q138" s="119"/>
      <c r="R138" s="119"/>
      <c r="S138" s="119"/>
      <c r="T138" s="123">
        <f t="shared" si="8"/>
        <v>30.233527939949958</v>
      </c>
    </row>
    <row r="139" spans="1:20" s="19" customFormat="1" ht="18" customHeight="1">
      <c r="A139" s="118"/>
      <c r="B139" s="118"/>
      <c r="C139" s="118"/>
      <c r="D139" s="118"/>
      <c r="E139" s="122" t="s">
        <v>228</v>
      </c>
      <c r="F139" s="118"/>
      <c r="G139" s="118"/>
      <c r="H139" s="147">
        <f>SUM(H131:H138)</f>
        <v>6439.9256580360334</v>
      </c>
      <c r="I139" s="159">
        <f>SUM(I131:I138)</f>
        <v>52366.623986655548</v>
      </c>
      <c r="J139" s="159">
        <f>SUM(J131:J138)</f>
        <v>6311.0657177615576</v>
      </c>
      <c r="K139" s="147"/>
      <c r="L139" s="147"/>
      <c r="M139" s="147"/>
      <c r="N139" s="147"/>
      <c r="O139" s="147"/>
      <c r="P139" s="147"/>
      <c r="Q139" s="147"/>
      <c r="R139" s="147"/>
      <c r="S139" s="147"/>
      <c r="T139" s="147">
        <f>SUM(T131:T138)</f>
        <v>11437.741528906156</v>
      </c>
    </row>
    <row r="140" spans="1:20" s="19" customFormat="1" ht="18" customHeight="1">
      <c r="A140" s="118"/>
      <c r="B140" s="118"/>
      <c r="C140" s="118"/>
      <c r="D140" s="117" t="s">
        <v>117</v>
      </c>
      <c r="E140" s="122"/>
      <c r="F140" s="118"/>
      <c r="G140" s="118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25"/>
    </row>
    <row r="141" spans="1:20" s="19" customFormat="1" ht="18" customHeight="1">
      <c r="A141" s="118"/>
      <c r="B141" s="118"/>
      <c r="C141" s="118"/>
      <c r="D141" s="118"/>
      <c r="E141" s="128">
        <v>661</v>
      </c>
      <c r="F141" s="118" t="s">
        <v>229</v>
      </c>
      <c r="G141" s="148"/>
      <c r="H141" s="119">
        <f>PL!H142/'PL USD'!$H$2</f>
        <v>0</v>
      </c>
      <c r="I141" s="119">
        <v>0</v>
      </c>
      <c r="J141" s="119">
        <f>PL!J142/'PL USD'!$J$2</f>
        <v>0</v>
      </c>
      <c r="K141" s="119"/>
      <c r="L141" s="119"/>
      <c r="M141" s="119"/>
      <c r="N141" s="119"/>
      <c r="O141" s="119"/>
      <c r="P141" s="119"/>
      <c r="Q141" s="119"/>
      <c r="R141" s="119"/>
      <c r="S141" s="119"/>
      <c r="T141" s="123">
        <f t="shared" ref="T141:T144" si="9">SUM(H141:S141)</f>
        <v>0</v>
      </c>
    </row>
    <row r="142" spans="1:20" s="19" customFormat="1" ht="18" customHeight="1">
      <c r="A142" s="118"/>
      <c r="B142" s="118"/>
      <c r="C142" s="118"/>
      <c r="D142" s="118"/>
      <c r="E142" s="128">
        <v>663</v>
      </c>
      <c r="F142" s="118" t="s">
        <v>94</v>
      </c>
      <c r="G142" s="118"/>
      <c r="H142" s="119">
        <f>PL!H143/'PL USD'!$H$2</f>
        <v>11104.852669132562</v>
      </c>
      <c r="I142" s="119">
        <f>PL!I143/'PL USD'!$I$2</f>
        <v>22734.090242463957</v>
      </c>
      <c r="J142" s="119">
        <f>PL!J143/'PL USD'!$J$2</f>
        <v>3848.9247617352084</v>
      </c>
      <c r="K142" s="119"/>
      <c r="L142" s="119"/>
      <c r="M142" s="119"/>
      <c r="N142" s="119"/>
      <c r="O142" s="119"/>
      <c r="P142" s="119"/>
      <c r="Q142" s="119"/>
      <c r="R142" s="119"/>
      <c r="S142" s="119"/>
      <c r="T142" s="123">
        <f t="shared" si="9"/>
        <v>37687.867673331726</v>
      </c>
    </row>
    <row r="143" spans="1:20" s="19" customFormat="1" ht="18" customHeight="1">
      <c r="A143" s="118"/>
      <c r="B143" s="118"/>
      <c r="C143" s="118"/>
      <c r="D143" s="118"/>
      <c r="E143" s="128">
        <v>663</v>
      </c>
      <c r="F143" s="118" t="s">
        <v>332</v>
      </c>
      <c r="G143" s="118"/>
      <c r="H143" s="119"/>
      <c r="I143" s="119">
        <f>PL!I144/'PL USD'!$I$2</f>
        <v>-289.20174848087692</v>
      </c>
      <c r="J143" s="119">
        <f>PL!J144/'PL USD'!$J$2</f>
        <v>-448.83305619844521</v>
      </c>
      <c r="K143" s="119"/>
      <c r="L143" s="119"/>
      <c r="M143" s="119"/>
      <c r="N143" s="119"/>
      <c r="O143" s="119"/>
      <c r="P143" s="119"/>
      <c r="Q143" s="119"/>
      <c r="R143" s="119"/>
      <c r="S143" s="119"/>
      <c r="T143" s="123"/>
    </row>
    <row r="144" spans="1:20" s="19" customFormat="1" ht="18" customHeight="1">
      <c r="A144" s="118"/>
      <c r="B144" s="118"/>
      <c r="C144" s="118"/>
      <c r="D144" s="118"/>
      <c r="E144" s="128">
        <v>678</v>
      </c>
      <c r="F144" s="118" t="s">
        <v>119</v>
      </c>
      <c r="G144" s="118"/>
      <c r="H144" s="119">
        <f>PL!H145/'PL USD'!$H$2</f>
        <v>0</v>
      </c>
      <c r="I144" s="119">
        <f>PL!I141/'PL USD'!$I$2</f>
        <v>0</v>
      </c>
      <c r="J144" s="119">
        <f>PL!J145/'PL USD'!$J$2</f>
        <v>0</v>
      </c>
      <c r="K144" s="119"/>
      <c r="L144" s="119"/>
      <c r="M144" s="119"/>
      <c r="N144" s="119"/>
      <c r="O144" s="119"/>
      <c r="P144" s="119"/>
      <c r="Q144" s="119"/>
      <c r="R144" s="119"/>
      <c r="S144" s="119"/>
      <c r="T144" s="123">
        <f t="shared" si="9"/>
        <v>0</v>
      </c>
    </row>
    <row r="145" spans="1:20" s="19" customFormat="1" ht="18" customHeight="1">
      <c r="A145" s="118"/>
      <c r="B145" s="118"/>
      <c r="C145" s="118"/>
      <c r="D145" s="118"/>
      <c r="E145" s="122" t="s">
        <v>230</v>
      </c>
      <c r="F145" s="118"/>
      <c r="G145" s="118"/>
      <c r="H145" s="147">
        <f>SUM(H141:H144)</f>
        <v>11104.852669132562</v>
      </c>
      <c r="I145" s="147">
        <f>SUM(I141:I144)</f>
        <v>22444.888493983079</v>
      </c>
      <c r="J145" s="147">
        <f>SUM(J141:J144)</f>
        <v>3400.0917055367631</v>
      </c>
      <c r="K145" s="147"/>
      <c r="L145" s="147"/>
      <c r="M145" s="147"/>
      <c r="N145" s="147"/>
      <c r="O145" s="147"/>
      <c r="P145" s="147"/>
      <c r="Q145" s="147"/>
      <c r="R145" s="147"/>
      <c r="S145" s="147"/>
      <c r="T145" s="147">
        <f>SUM(T141:T144)</f>
        <v>37687.867673331726</v>
      </c>
    </row>
    <row r="146" spans="1:20" s="19" customFormat="1" ht="18" customHeight="1" thickBot="1">
      <c r="A146" s="118"/>
      <c r="B146" s="118"/>
      <c r="C146" s="118"/>
      <c r="D146" s="118"/>
      <c r="E146" s="117" t="s">
        <v>118</v>
      </c>
      <c r="F146" s="118"/>
      <c r="G146" s="148"/>
      <c r="H146" s="126">
        <f>+H129+H139-H145</f>
        <v>15802.905944398024</v>
      </c>
      <c r="I146" s="126">
        <f>+I129+I139-I145</f>
        <v>60587.517603359971</v>
      </c>
      <c r="J146" s="126">
        <f>+J129+J139-J145</f>
        <v>44456.106923031228</v>
      </c>
      <c r="K146" s="126"/>
      <c r="L146" s="126"/>
      <c r="M146" s="126"/>
      <c r="N146" s="126"/>
      <c r="O146" s="126"/>
      <c r="P146" s="126"/>
      <c r="Q146" s="126"/>
      <c r="R146" s="126"/>
      <c r="S146" s="126"/>
      <c r="T146" s="163">
        <f>+T129+T139-T145</f>
        <v>69273.122943190014</v>
      </c>
    </row>
    <row r="147" spans="1:20" s="19" customFormat="1" ht="18" customHeight="1" thickTop="1">
      <c r="A147" s="118"/>
      <c r="B147" s="118"/>
      <c r="C147" s="118"/>
      <c r="D147" s="118"/>
      <c r="E147" s="118"/>
      <c r="F147" s="171" t="s">
        <v>304</v>
      </c>
      <c r="G147" s="148"/>
      <c r="H147" s="164">
        <v>0</v>
      </c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39"/>
      <c r="T147" s="151"/>
    </row>
    <row r="148" spans="1:20" s="19" customFormat="1" ht="18" customHeight="1">
      <c r="A148" s="18"/>
      <c r="B148" s="18"/>
      <c r="C148" s="18"/>
      <c r="D148" s="18"/>
      <c r="E148" s="18"/>
      <c r="F148" s="171" t="s">
        <v>305</v>
      </c>
      <c r="G148" s="29"/>
      <c r="H148" s="176">
        <v>0</v>
      </c>
      <c r="I148" s="207">
        <f>-22.59</f>
        <v>-22.59</v>
      </c>
      <c r="J148" s="172">
        <v>-294.58</v>
      </c>
      <c r="K148" s="172"/>
      <c r="L148" s="172"/>
      <c r="M148" s="172"/>
      <c r="N148" s="172"/>
      <c r="O148" s="172"/>
      <c r="P148" s="172"/>
      <c r="Q148" s="172"/>
      <c r="R148" s="172"/>
      <c r="S148" s="173"/>
      <c r="T148" s="173"/>
    </row>
    <row r="149" spans="1:20" s="19" customFormat="1" ht="18" customHeight="1">
      <c r="A149" s="18"/>
      <c r="B149" s="18"/>
      <c r="C149" s="18"/>
      <c r="D149" s="18"/>
      <c r="E149" s="117" t="s">
        <v>306</v>
      </c>
      <c r="F149" s="18"/>
      <c r="G149" s="29"/>
      <c r="H149" s="170">
        <f>H146-H147+H148</f>
        <v>15802.905944398024</v>
      </c>
      <c r="I149" s="170">
        <f>I146-I147+I148</f>
        <v>60564.927603359974</v>
      </c>
      <c r="J149" s="170">
        <f>J146-J147+J148</f>
        <v>44161.526923031226</v>
      </c>
      <c r="S149" s="30"/>
      <c r="T149" s="45"/>
    </row>
    <row r="150" spans="1:20" s="19" customFormat="1" ht="18" customHeight="1">
      <c r="A150" s="18"/>
      <c r="B150" s="18"/>
      <c r="C150" s="18"/>
      <c r="D150" s="18"/>
      <c r="E150" s="117" t="s">
        <v>307</v>
      </c>
      <c r="F150" s="18"/>
      <c r="G150" s="29"/>
      <c r="H150" s="210">
        <f>H149</f>
        <v>15802.905944398024</v>
      </c>
      <c r="I150" s="210">
        <f>H150+I149</f>
        <v>76367.833547757997</v>
      </c>
      <c r="J150" s="210">
        <f>I150+J149</f>
        <v>120529.36047078922</v>
      </c>
      <c r="K150" s="174"/>
      <c r="L150" s="174"/>
      <c r="M150" s="174"/>
      <c r="N150" s="174"/>
      <c r="O150" s="174"/>
      <c r="P150" s="174"/>
      <c r="Q150" s="174"/>
      <c r="R150" s="174"/>
      <c r="S150" s="175"/>
      <c r="T150" s="175"/>
    </row>
    <row r="151" spans="1:20" s="19" customFormat="1" ht="18" customHeight="1">
      <c r="A151" s="18"/>
      <c r="B151" s="18"/>
      <c r="C151" s="18"/>
      <c r="D151" s="18"/>
      <c r="E151" s="18"/>
      <c r="F151" s="18"/>
      <c r="G151" s="29"/>
      <c r="H151" s="166"/>
      <c r="T151" s="24"/>
    </row>
    <row r="152" spans="1:20" s="19" customFormat="1" ht="18" customHeight="1">
      <c r="A152" s="18"/>
      <c r="B152" s="18"/>
      <c r="C152" s="18"/>
      <c r="D152" s="18"/>
      <c r="E152" s="18"/>
      <c r="F152" s="18"/>
      <c r="G152" s="29"/>
      <c r="H152" s="166"/>
      <c r="T152" s="24"/>
    </row>
    <row r="153" spans="1:20" s="19" customFormat="1" ht="18" customHeight="1">
      <c r="A153" s="18"/>
      <c r="B153" s="18"/>
      <c r="C153" s="18"/>
      <c r="D153" s="18"/>
      <c r="E153" s="18"/>
      <c r="F153" s="18"/>
      <c r="G153" s="29"/>
      <c r="H153" s="167"/>
      <c r="T153" s="24"/>
    </row>
    <row r="154" spans="1:20" s="19" customFormat="1" ht="18" customHeight="1">
      <c r="A154" s="18"/>
      <c r="B154" s="18"/>
      <c r="C154" s="18"/>
      <c r="D154" s="18"/>
      <c r="E154" s="18"/>
      <c r="F154" s="18"/>
      <c r="G154" s="29"/>
      <c r="T154" s="24"/>
    </row>
    <row r="155" spans="1:20" ht="18" customHeight="1">
      <c r="G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</row>
    <row r="156" spans="1:20" ht="18" customHeight="1">
      <c r="G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</row>
    <row r="157" spans="1:20" ht="18" customHeight="1">
      <c r="G157" s="29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</row>
    <row r="158" spans="1:20" ht="18" customHeight="1">
      <c r="G158" s="29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</row>
  </sheetData>
  <conditionalFormatting sqref="F147:F148">
    <cfRule type="cellIs" dxfId="0" priority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TBJan23</vt:lpstr>
      <vt:lpstr>TBFeb23 </vt:lpstr>
      <vt:lpstr>TBMar23</vt:lpstr>
      <vt:lpstr>BS</vt:lpstr>
      <vt:lpstr>BS USD</vt:lpstr>
      <vt:lpstr>PL</vt:lpstr>
      <vt:lpstr>PL USD</vt:lpstr>
      <vt:lpstr>BS!Print_Titles</vt:lpstr>
      <vt:lpstr>'BS USD'!Print_Titles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ASUS</cp:lastModifiedBy>
  <cp:lastPrinted>2022-05-19T11:42:00Z</cp:lastPrinted>
  <dcterms:created xsi:type="dcterms:W3CDTF">2022-03-17T02:52:06Z</dcterms:created>
  <dcterms:modified xsi:type="dcterms:W3CDTF">2023-04-21T11:50:20Z</dcterms:modified>
</cp:coreProperties>
</file>