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66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T3" i="5"/>
  <c r="T4"/>
  <c r="T5"/>
  <c r="T2"/>
  <c r="N14"/>
  <c r="M10"/>
  <c r="N10" s="1"/>
  <c r="M11"/>
  <c r="N11" s="1"/>
  <c r="M13"/>
  <c r="N13" s="1"/>
  <c r="N12"/>
  <c r="M12"/>
  <c r="F13"/>
  <c r="A13"/>
  <c r="D13" s="1"/>
  <c r="N7"/>
  <c r="A5"/>
  <c r="D5"/>
  <c r="G12"/>
  <c r="F12"/>
  <c r="K12" s="1"/>
  <c r="D12"/>
  <c r="J11"/>
  <c r="G11"/>
  <c r="F11"/>
  <c r="K11" s="1"/>
  <c r="D11"/>
  <c r="J10"/>
  <c r="G10"/>
  <c r="F10"/>
  <c r="K10" s="1"/>
  <c r="D10"/>
  <c r="D4"/>
  <c r="D3"/>
  <c r="G5"/>
  <c r="F5"/>
  <c r="G4"/>
  <c r="F4"/>
  <c r="G3"/>
  <c r="I3" s="1"/>
  <c r="P3" s="1"/>
  <c r="Q3" s="1"/>
  <c r="F3"/>
  <c r="G2"/>
  <c r="J2" s="1"/>
  <c r="F2"/>
  <c r="D2"/>
  <c r="Q13" i="4"/>
  <c r="Q12"/>
  <c r="Q11"/>
  <c r="Q10"/>
  <c r="Q3"/>
  <c r="S3" s="1"/>
  <c r="Q4"/>
  <c r="S4" s="1"/>
  <c r="Q5"/>
  <c r="S5" s="1"/>
  <c r="Q2"/>
  <c r="S2" s="1"/>
  <c r="P13"/>
  <c r="P12"/>
  <c r="P11"/>
  <c r="P10"/>
  <c r="P3"/>
  <c r="P4"/>
  <c r="P5"/>
  <c r="P2"/>
  <c r="N13"/>
  <c r="N12"/>
  <c r="M13"/>
  <c r="M12"/>
  <c r="L13"/>
  <c r="L12"/>
  <c r="L11"/>
  <c r="L10"/>
  <c r="K13"/>
  <c r="J13"/>
  <c r="K12"/>
  <c r="J12"/>
  <c r="K11"/>
  <c r="J11"/>
  <c r="K10"/>
  <c r="J10"/>
  <c r="I13"/>
  <c r="H13"/>
  <c r="I12"/>
  <c r="H12"/>
  <c r="I11"/>
  <c r="H11"/>
  <c r="I10"/>
  <c r="H10"/>
  <c r="G13"/>
  <c r="G12"/>
  <c r="G11"/>
  <c r="G10"/>
  <c r="F13"/>
  <c r="D13"/>
  <c r="F12"/>
  <c r="D12"/>
  <c r="F11"/>
  <c r="D11"/>
  <c r="F10"/>
  <c r="D10"/>
  <c r="N5"/>
  <c r="N4"/>
  <c r="K3"/>
  <c r="L3"/>
  <c r="K4"/>
  <c r="L4"/>
  <c r="K5"/>
  <c r="L5"/>
  <c r="L2"/>
  <c r="K2"/>
  <c r="J3"/>
  <c r="J4"/>
  <c r="J5"/>
  <c r="J2"/>
  <c r="I3"/>
  <c r="I4"/>
  <c r="H4" s="1"/>
  <c r="I5"/>
  <c r="H3"/>
  <c r="H5"/>
  <c r="H2"/>
  <c r="I2"/>
  <c r="G3"/>
  <c r="G4"/>
  <c r="G5"/>
  <c r="G2"/>
  <c r="F3"/>
  <c r="F4"/>
  <c r="F5"/>
  <c r="F2"/>
  <c r="D5"/>
  <c r="D4"/>
  <c r="D3"/>
  <c r="D2"/>
  <c r="AD25" i="2"/>
  <c r="AD18"/>
  <c r="AD10"/>
  <c r="AC25"/>
  <c r="AC18"/>
  <c r="AC10"/>
  <c r="F15"/>
  <c r="R31"/>
  <c r="Q31"/>
  <c r="Q16"/>
  <c r="R16" s="1"/>
  <c r="R24"/>
  <c r="K13" i="5" l="1"/>
  <c r="G13"/>
  <c r="I10"/>
  <c r="I11"/>
  <c r="H11" s="1"/>
  <c r="L11" s="1"/>
  <c r="I12"/>
  <c r="H10"/>
  <c r="L10" s="1"/>
  <c r="H12"/>
  <c r="J12"/>
  <c r="K3"/>
  <c r="J3"/>
  <c r="I5"/>
  <c r="P5" s="1"/>
  <c r="Q5" s="1"/>
  <c r="I4"/>
  <c r="P4" s="1"/>
  <c r="Q4" s="1"/>
  <c r="I2"/>
  <c r="P2" s="1"/>
  <c r="Q2" s="1"/>
  <c r="P11"/>
  <c r="Q11" s="1"/>
  <c r="H5"/>
  <c r="K4"/>
  <c r="K5"/>
  <c r="J4"/>
  <c r="J5"/>
  <c r="K2"/>
  <c r="H3"/>
  <c r="P10"/>
  <c r="Q10" s="1"/>
  <c r="P12"/>
  <c r="Q12" s="1"/>
  <c r="I31" i="2"/>
  <c r="I33"/>
  <c r="I34"/>
  <c r="I35"/>
  <c r="I32"/>
  <c r="A31"/>
  <c r="D31" s="1"/>
  <c r="C23"/>
  <c r="D23"/>
  <c r="F23"/>
  <c r="K13" i="3"/>
  <c r="I13"/>
  <c r="J13" s="1"/>
  <c r="C13"/>
  <c r="K12"/>
  <c r="I12"/>
  <c r="J12" s="1"/>
  <c r="D12"/>
  <c r="C12"/>
  <c r="K11"/>
  <c r="I11"/>
  <c r="J11" s="1"/>
  <c r="D11"/>
  <c r="C11"/>
  <c r="K10"/>
  <c r="I10"/>
  <c r="J10" s="1"/>
  <c r="D10"/>
  <c r="C10"/>
  <c r="K9"/>
  <c r="I9"/>
  <c r="J9" s="1"/>
  <c r="D9"/>
  <c r="C9"/>
  <c r="K3"/>
  <c r="K4"/>
  <c r="K5"/>
  <c r="K6"/>
  <c r="K2"/>
  <c r="I2"/>
  <c r="J2"/>
  <c r="J4"/>
  <c r="J5"/>
  <c r="I4"/>
  <c r="I5"/>
  <c r="I6"/>
  <c r="J6" s="1"/>
  <c r="I3"/>
  <c r="J3" s="1"/>
  <c r="C2"/>
  <c r="D2"/>
  <c r="I13" i="5" l="1"/>
  <c r="J13"/>
  <c r="L12"/>
  <c r="L3"/>
  <c r="N3" s="1"/>
  <c r="H4"/>
  <c r="L5"/>
  <c r="H2"/>
  <c r="L2" s="1"/>
  <c r="N2" s="1"/>
  <c r="S3" s="1"/>
  <c r="L4"/>
  <c r="N4" s="1"/>
  <c r="C31" i="2"/>
  <c r="I16"/>
  <c r="A16"/>
  <c r="D16" s="1"/>
  <c r="I25"/>
  <c r="I26"/>
  <c r="I27"/>
  <c r="I24"/>
  <c r="I18"/>
  <c r="I19"/>
  <c r="I20"/>
  <c r="I17"/>
  <c r="I10"/>
  <c r="I11"/>
  <c r="I12"/>
  <c r="I9"/>
  <c r="I39"/>
  <c r="I40"/>
  <c r="I41"/>
  <c r="I45"/>
  <c r="I46"/>
  <c r="I47"/>
  <c r="I48"/>
  <c r="I38"/>
  <c r="C6" i="3"/>
  <c r="D5"/>
  <c r="C5"/>
  <c r="D4"/>
  <c r="C4"/>
  <c r="D3"/>
  <c r="C3"/>
  <c r="P13" i="5" l="1"/>
  <c r="Q13" s="1"/>
  <c r="H13"/>
  <c r="L13" s="1"/>
  <c r="S2"/>
  <c r="S4"/>
  <c r="S5"/>
  <c r="C16" i="2"/>
  <c r="E2"/>
  <c r="R3"/>
  <c r="R4"/>
  <c r="R5"/>
  <c r="R2"/>
  <c r="Q26" l="1"/>
  <c r="R26" s="1"/>
  <c r="Q38"/>
  <c r="R38" s="1"/>
  <c r="Q39"/>
  <c r="R39" s="1"/>
  <c r="Q40"/>
  <c r="R40" s="1"/>
  <c r="Q41"/>
  <c r="R41" s="1"/>
  <c r="Q45"/>
  <c r="R45" s="1"/>
  <c r="Q46"/>
  <c r="R46" s="1"/>
  <c r="Q47"/>
  <c r="R47" s="1"/>
  <c r="Q48"/>
  <c r="R48" s="1"/>
  <c r="Q33"/>
  <c r="R33" s="1"/>
  <c r="Q34"/>
  <c r="R34" s="1"/>
  <c r="Q35"/>
  <c r="R35" s="1"/>
  <c r="Q32"/>
  <c r="R32" s="1"/>
  <c r="Q25"/>
  <c r="R25" s="1"/>
  <c r="Q27"/>
  <c r="R27" s="1"/>
  <c r="Q18"/>
  <c r="R18" s="1"/>
  <c r="Q19"/>
  <c r="R19" s="1"/>
  <c r="Q20"/>
  <c r="R20" s="1"/>
  <c r="Q17"/>
  <c r="R17" s="1"/>
  <c r="Q10"/>
  <c r="R10" s="1"/>
  <c r="Q11"/>
  <c r="R11" s="1"/>
  <c r="Q12"/>
  <c r="R12" s="1"/>
  <c r="Q9"/>
  <c r="R9" s="1"/>
  <c r="F48"/>
  <c r="Y48" s="1"/>
  <c r="D48"/>
  <c r="C48"/>
  <c r="F47"/>
  <c r="D47"/>
  <c r="C47"/>
  <c r="F46"/>
  <c r="Y46" s="1"/>
  <c r="D46"/>
  <c r="C46"/>
  <c r="F45"/>
  <c r="Y45" s="1"/>
  <c r="D45"/>
  <c r="C45"/>
  <c r="F41"/>
  <c r="Y41" s="1"/>
  <c r="D41"/>
  <c r="C41"/>
  <c r="F40"/>
  <c r="Y40" s="1"/>
  <c r="D40"/>
  <c r="C40"/>
  <c r="F39"/>
  <c r="Y39" s="1"/>
  <c r="D39"/>
  <c r="C39"/>
  <c r="F38"/>
  <c r="Y38" s="1"/>
  <c r="D38"/>
  <c r="C38"/>
  <c r="F35"/>
  <c r="Y35" s="1"/>
  <c r="D35"/>
  <c r="C35"/>
  <c r="F34"/>
  <c r="Y34" s="1"/>
  <c r="D34"/>
  <c r="C34"/>
  <c r="F33"/>
  <c r="Y33" s="1"/>
  <c r="D33"/>
  <c r="C33"/>
  <c r="F32"/>
  <c r="Y32" s="1"/>
  <c r="D32"/>
  <c r="C32"/>
  <c r="F27"/>
  <c r="D27"/>
  <c r="C27"/>
  <c r="F26"/>
  <c r="D26"/>
  <c r="C26"/>
  <c r="F25"/>
  <c r="D25"/>
  <c r="C25"/>
  <c r="F24"/>
  <c r="D24"/>
  <c r="C24"/>
  <c r="F20"/>
  <c r="D20"/>
  <c r="C20"/>
  <c r="F19"/>
  <c r="D19"/>
  <c r="C19"/>
  <c r="F18"/>
  <c r="D18"/>
  <c r="C18"/>
  <c r="F17"/>
  <c r="D17"/>
  <c r="C17"/>
  <c r="F12"/>
  <c r="D12"/>
  <c r="Q5" s="1"/>
  <c r="C12"/>
  <c r="F11"/>
  <c r="P11" s="1"/>
  <c r="S11" s="1"/>
  <c r="D11"/>
  <c r="Q4" s="1"/>
  <c r="C11"/>
  <c r="F10"/>
  <c r="D10"/>
  <c r="Q3" s="1"/>
  <c r="C10"/>
  <c r="F9"/>
  <c r="D9"/>
  <c r="Q2" s="1"/>
  <c r="C9"/>
  <c r="B5"/>
  <c r="P9" i="1"/>
  <c r="Q9"/>
  <c r="P10"/>
  <c r="Q10" s="1"/>
  <c r="P11"/>
  <c r="Q11"/>
  <c r="P12"/>
  <c r="Q12"/>
  <c r="P15"/>
  <c r="Q15"/>
  <c r="P16"/>
  <c r="Q16"/>
  <c r="P17"/>
  <c r="Q17"/>
  <c r="P18"/>
  <c r="Q18"/>
  <c r="P21"/>
  <c r="Q21"/>
  <c r="P22"/>
  <c r="Q22"/>
  <c r="P23"/>
  <c r="Q23"/>
  <c r="P24"/>
  <c r="Q24"/>
  <c r="Y19" i="2" l="1"/>
  <c r="P19"/>
  <c r="S19" s="1"/>
  <c r="Y17"/>
  <c r="P17"/>
  <c r="S17" s="1"/>
  <c r="M16"/>
  <c r="K16"/>
  <c r="Y12"/>
  <c r="P12"/>
  <c r="S12" s="1"/>
  <c r="Y10"/>
  <c r="P10"/>
  <c r="S10" s="1"/>
  <c r="Y25"/>
  <c r="P25"/>
  <c r="S25" s="1"/>
  <c r="Y20"/>
  <c r="P20"/>
  <c r="S20" s="1"/>
  <c r="Y26"/>
  <c r="P26"/>
  <c r="S26" s="1"/>
  <c r="Y27"/>
  <c r="P27"/>
  <c r="S27" s="1"/>
  <c r="Y18"/>
  <c r="P18"/>
  <c r="S18" s="1"/>
  <c r="Y9"/>
  <c r="P9"/>
  <c r="S9" s="1"/>
  <c r="Y24"/>
  <c r="P24"/>
  <c r="S24" s="1"/>
  <c r="K47"/>
  <c r="M25"/>
  <c r="K10"/>
  <c r="M10"/>
  <c r="M27"/>
  <c r="M40"/>
  <c r="K12"/>
  <c r="K20"/>
  <c r="M12"/>
  <c r="K9"/>
  <c r="M26"/>
  <c r="M32"/>
  <c r="K41"/>
  <c r="M9"/>
  <c r="K19"/>
  <c r="M17"/>
  <c r="M35"/>
  <c r="M20"/>
  <c r="K26"/>
  <c r="K24"/>
  <c r="M34"/>
  <c r="M41"/>
  <c r="M11"/>
  <c r="M24"/>
  <c r="K27"/>
  <c r="K11"/>
  <c r="K25"/>
  <c r="K35"/>
  <c r="M38"/>
  <c r="K33"/>
  <c r="K39"/>
  <c r="K46"/>
  <c r="M47"/>
  <c r="K18"/>
  <c r="M19"/>
  <c r="M33"/>
  <c r="M39"/>
  <c r="M46"/>
  <c r="K17"/>
  <c r="M18"/>
  <c r="K32"/>
  <c r="K38"/>
  <c r="K45"/>
  <c r="M45"/>
  <c r="K48"/>
  <c r="K34"/>
  <c r="K40"/>
  <c r="M48"/>
  <c r="Q62" i="1"/>
  <c r="P61"/>
  <c r="P62"/>
  <c r="P64"/>
  <c r="P63"/>
  <c r="C55"/>
  <c r="D55"/>
  <c r="F55"/>
  <c r="P55"/>
  <c r="C56"/>
  <c r="D56"/>
  <c r="F56"/>
  <c r="P56"/>
  <c r="C57"/>
  <c r="D57"/>
  <c r="F57"/>
  <c r="P57"/>
  <c r="C58"/>
  <c r="D58"/>
  <c r="F58"/>
  <c r="P58"/>
  <c r="P50"/>
  <c r="P51"/>
  <c r="P52"/>
  <c r="P49"/>
  <c r="P35" l="1"/>
  <c r="Q35" s="1"/>
  <c r="P37"/>
  <c r="Q37" s="1"/>
  <c r="F64" l="1"/>
  <c r="D64"/>
  <c r="C64"/>
  <c r="F63"/>
  <c r="D63"/>
  <c r="C63"/>
  <c r="F62"/>
  <c r="D62"/>
  <c r="C62"/>
  <c r="F61"/>
  <c r="D61"/>
  <c r="C61"/>
  <c r="F52"/>
  <c r="D52"/>
  <c r="C52"/>
  <c r="F51"/>
  <c r="D51"/>
  <c r="C51"/>
  <c r="F50"/>
  <c r="D50"/>
  <c r="C50"/>
  <c r="F49"/>
  <c r="D49"/>
  <c r="C49"/>
  <c r="F44"/>
  <c r="D44"/>
  <c r="C44"/>
  <c r="F43"/>
  <c r="D43"/>
  <c r="C43"/>
  <c r="F42"/>
  <c r="D42"/>
  <c r="C42"/>
  <c r="F41"/>
  <c r="D41"/>
  <c r="C41"/>
  <c r="F38"/>
  <c r="D38"/>
  <c r="C38"/>
  <c r="F37"/>
  <c r="D37"/>
  <c r="C37"/>
  <c r="F36"/>
  <c r="D36"/>
  <c r="C36"/>
  <c r="F35"/>
  <c r="D35"/>
  <c r="C35"/>
  <c r="F31"/>
  <c r="D31"/>
  <c r="C31"/>
  <c r="F30"/>
  <c r="D30"/>
  <c r="C30"/>
  <c r="F29"/>
  <c r="D29"/>
  <c r="C29"/>
  <c r="F28"/>
  <c r="D28"/>
  <c r="C28"/>
  <c r="F12"/>
  <c r="D12"/>
  <c r="C12"/>
  <c r="F11"/>
  <c r="D11"/>
  <c r="C11"/>
  <c r="F10"/>
  <c r="D10"/>
  <c r="C10"/>
  <c r="F9"/>
  <c r="D9"/>
  <c r="C9"/>
  <c r="F24"/>
  <c r="D24"/>
  <c r="C24"/>
  <c r="F23"/>
  <c r="D23"/>
  <c r="C23"/>
  <c r="F22"/>
  <c r="D22"/>
  <c r="C22"/>
  <c r="F21"/>
  <c r="D21"/>
  <c r="C21"/>
  <c r="F18" l="1"/>
  <c r="C18"/>
  <c r="D18"/>
  <c r="D15"/>
  <c r="F15"/>
  <c r="D16"/>
  <c r="F16"/>
  <c r="C15"/>
  <c r="C16"/>
  <c r="B5"/>
  <c r="D17"/>
  <c r="F17"/>
  <c r="C17"/>
  <c r="L57" l="1"/>
  <c r="J56"/>
  <c r="L56"/>
  <c r="J55"/>
  <c r="L55"/>
  <c r="J58"/>
  <c r="L58"/>
  <c r="J57"/>
  <c r="L64"/>
  <c r="J61"/>
  <c r="L52"/>
  <c r="J49"/>
  <c r="L44"/>
  <c r="J41"/>
  <c r="L38"/>
  <c r="J35"/>
  <c r="L31"/>
  <c r="J28"/>
  <c r="J63"/>
  <c r="J51"/>
  <c r="J30"/>
  <c r="J64"/>
  <c r="L63"/>
  <c r="J52"/>
  <c r="L51"/>
  <c r="J44"/>
  <c r="L43"/>
  <c r="J38"/>
  <c r="L37"/>
  <c r="J31"/>
  <c r="L30"/>
  <c r="L62"/>
  <c r="L50"/>
  <c r="J43"/>
  <c r="J37"/>
  <c r="L29"/>
  <c r="J62"/>
  <c r="L61"/>
  <c r="J50"/>
  <c r="L49"/>
  <c r="J42"/>
  <c r="L41"/>
  <c r="J36"/>
  <c r="L35"/>
  <c r="J29"/>
  <c r="L28"/>
  <c r="L42"/>
  <c r="L36"/>
  <c r="J17"/>
  <c r="L16"/>
  <c r="L21"/>
  <c r="J11"/>
  <c r="L10"/>
  <c r="J23"/>
  <c r="L22"/>
  <c r="J12"/>
  <c r="L11"/>
  <c r="J24"/>
  <c r="L23"/>
  <c r="L12"/>
  <c r="J9"/>
  <c r="L24"/>
  <c r="J21"/>
  <c r="J10"/>
  <c r="L9"/>
  <c r="J22"/>
  <c r="J15"/>
  <c r="J18"/>
  <c r="L18"/>
  <c r="J16"/>
  <c r="L15"/>
  <c r="L17"/>
</calcChain>
</file>

<file path=xl/sharedStrings.xml><?xml version="1.0" encoding="utf-8"?>
<sst xmlns="http://schemas.openxmlformats.org/spreadsheetml/2006/main" count="448" uniqueCount="59">
  <si>
    <t>d</t>
  </si>
  <si>
    <t>Lp</t>
  </si>
  <si>
    <t>Lc</t>
  </si>
  <si>
    <t>rho</t>
  </si>
  <si>
    <t>mu</t>
  </si>
  <si>
    <t>cp</t>
  </si>
  <si>
    <t>k</t>
  </si>
  <si>
    <t>Dp</t>
  </si>
  <si>
    <t>alpha</t>
  </si>
  <si>
    <t>d/sqrt(Lp)</t>
  </si>
  <si>
    <t>dopt=</t>
  </si>
  <si>
    <t>SI</t>
  </si>
  <si>
    <t>n</t>
  </si>
  <si>
    <t>d/Lp</t>
  </si>
  <si>
    <t>w</t>
  </si>
  <si>
    <t>kg/m/s^2</t>
  </si>
  <si>
    <t>kg/m/s</t>
  </si>
  <si>
    <t>Q"(w/m^2)</t>
  </si>
  <si>
    <t>R</t>
  </si>
  <si>
    <t>(d/sqrtL)opt=</t>
  </si>
  <si>
    <t>m^2/s</t>
  </si>
  <si>
    <t>Q (W)</t>
  </si>
  <si>
    <t>Lc variation</t>
  </si>
  <si>
    <t>to check if Lp also affects the location of the optima or is it just the ratio d/sqrtLp</t>
  </si>
  <si>
    <t>w variation</t>
  </si>
  <si>
    <t>Q'"(w/m^3)</t>
  </si>
  <si>
    <t>V(m^3)</t>
  </si>
  <si>
    <t>%unevenness</t>
  </si>
  <si>
    <t>Avg-vel</t>
  </si>
  <si>
    <t>Skewness</t>
  </si>
  <si>
    <t>max</t>
  </si>
  <si>
    <t>min</t>
  </si>
  <si>
    <t>max min are bad measures</t>
  </si>
  <si>
    <t>*</t>
  </si>
  <si>
    <t>w/Lc</t>
  </si>
  <si>
    <t>Lc/w</t>
  </si>
  <si>
    <t>V-analytical</t>
  </si>
  <si>
    <t>R-analytic</t>
  </si>
  <si>
    <t xml:space="preserve"> </t>
  </si>
  <si>
    <t>beta-i</t>
  </si>
  <si>
    <t>beta-o</t>
  </si>
  <si>
    <t>m2</t>
  </si>
  <si>
    <t>epsilon</t>
  </si>
  <si>
    <t>zeta</t>
  </si>
  <si>
    <t>Fb</t>
  </si>
  <si>
    <t>Fs=Fc</t>
  </si>
  <si>
    <t>Qb</t>
  </si>
  <si>
    <t>wb</t>
  </si>
  <si>
    <t>Qc (based on inlet)</t>
  </si>
  <si>
    <t>Fb/Fc</t>
  </si>
  <si>
    <t>Qb/Qc</t>
  </si>
  <si>
    <t>zeta-c,b</t>
  </si>
  <si>
    <t>zeta-b</t>
  </si>
  <si>
    <t>INLET</t>
  </si>
  <si>
    <t>OUTLET</t>
  </si>
  <si>
    <t>SIDE</t>
  </si>
  <si>
    <t>Re-b</t>
  </si>
  <si>
    <t>fLp/d</t>
  </si>
  <si>
    <t>Total zeta/2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</si>
</sst>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11" fontId="1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1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R vs. d/Lp^0.5</c:v>
          </c:tx>
          <c:marker>
            <c:symbol val="none"/>
          </c:marker>
          <c:xVal>
            <c:numRef>
              <c:f>Sheet1!$C$15:$C$18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2.4999999999999998E-2</c:v>
                </c:pt>
                <c:pt idx="3">
                  <c:v>4.9999999999999996E-2</c:v>
                </c:pt>
              </c:numCache>
            </c:numRef>
          </c:xVal>
          <c:yVal>
            <c:numRef>
              <c:f>Sheet1!$Q$15:$Q$18</c:f>
              <c:numCache>
                <c:formatCode>0.00E+00</c:formatCode>
                <c:ptCount val="4"/>
                <c:pt idx="0">
                  <c:v>5.2465019984472505</c:v>
                </c:pt>
                <c:pt idx="1">
                  <c:v>7.0482758457583616E-2</c:v>
                </c:pt>
                <c:pt idx="2">
                  <c:v>1.2678313287736311E-2</c:v>
                </c:pt>
                <c:pt idx="3">
                  <c:v>2.1708169395030584E-2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8D1-4E69-8653-468950EA74B6}"/>
            </c:ext>
          </c:extLst>
        </c:ser>
        <c:axId val="135124480"/>
        <c:axId val="135126016"/>
      </c:scatterChart>
      <c:valAx>
        <c:axId val="135124480"/>
        <c:scaling>
          <c:orientation val="minMax"/>
        </c:scaling>
        <c:axPos val="b"/>
        <c:numFmt formatCode="General" sourceLinked="1"/>
        <c:tickLblPos val="nextTo"/>
        <c:crossAx val="135126016"/>
        <c:crosses val="autoZero"/>
        <c:crossBetween val="midCat"/>
      </c:valAx>
      <c:valAx>
        <c:axId val="135126016"/>
        <c:scaling>
          <c:orientation val="minMax"/>
          <c:max val="0.2"/>
        </c:scaling>
        <c:axPos val="l"/>
        <c:majorGridlines/>
        <c:numFmt formatCode="0.00E+00" sourceLinked="1"/>
        <c:tickLblPos val="nextTo"/>
        <c:crossAx val="1351244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Sheet3!$D$2:$D$6</c:f>
              <c:numCache>
                <c:formatCode>General</c:formatCode>
                <c:ptCount val="5"/>
                <c:pt idx="0">
                  <c:v>1E-3</c:v>
                </c:pt>
                <c:pt idx="1">
                  <c:v>0.05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Sheet3!$K$2:$K$6</c:f>
              <c:numCache>
                <c:formatCode>0.00E+00</c:formatCode>
                <c:ptCount val="5"/>
                <c:pt idx="0">
                  <c:v>1697574.3636267451</c:v>
                </c:pt>
                <c:pt idx="1">
                  <c:v>3858.3085534214224</c:v>
                </c:pt>
                <c:pt idx="2">
                  <c:v>306.78457658377539</c:v>
                </c:pt>
                <c:pt idx="3">
                  <c:v>149.50915795746846</c:v>
                </c:pt>
                <c:pt idx="4">
                  <c:v>74.679304489059831</c:v>
                </c:pt>
              </c:numCache>
            </c:numRef>
          </c:yVal>
          <c:smooth val="1"/>
        </c:ser>
        <c:axId val="135895296"/>
        <c:axId val="136056832"/>
      </c:scatterChart>
      <c:valAx>
        <c:axId val="135895296"/>
        <c:scaling>
          <c:orientation val="minMax"/>
        </c:scaling>
        <c:axPos val="b"/>
        <c:numFmt formatCode="General" sourceLinked="1"/>
        <c:tickLblPos val="nextTo"/>
        <c:crossAx val="136056832"/>
        <c:crosses val="autoZero"/>
        <c:crossBetween val="midCat"/>
      </c:valAx>
      <c:valAx>
        <c:axId val="136056832"/>
        <c:scaling>
          <c:orientation val="minMax"/>
        </c:scaling>
        <c:axPos val="l"/>
        <c:majorGridlines/>
        <c:numFmt formatCode="0.00E+00" sourceLinked="1"/>
        <c:tickLblPos val="nextTo"/>
        <c:crossAx val="1358952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Sheet1!$C$9:$C$12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2.4999999999999998E-2</c:v>
                </c:pt>
                <c:pt idx="3">
                  <c:v>4.9999999999999996E-2</c:v>
                </c:pt>
              </c:numCache>
            </c:numRef>
          </c:xVal>
          <c:yVal>
            <c:numRef>
              <c:f>Sheet1!$Q$9:$Q$12</c:f>
              <c:numCache>
                <c:formatCode>0.00E+00</c:formatCode>
                <c:ptCount val="4"/>
                <c:pt idx="0">
                  <c:v>1496.6745823029614</c:v>
                </c:pt>
                <c:pt idx="1">
                  <c:v>-27.785569839475947</c:v>
                </c:pt>
                <c:pt idx="2">
                  <c:v>-2.7735566664147202E-2</c:v>
                </c:pt>
                <c:pt idx="3">
                  <c:v>-0.17078124737596223</c:v>
                </c:pt>
              </c:numCache>
            </c:numRef>
          </c:yVal>
          <c:smooth val="1"/>
        </c:ser>
        <c:axId val="134945792"/>
        <c:axId val="134963968"/>
      </c:scatterChart>
      <c:valAx>
        <c:axId val="134945792"/>
        <c:scaling>
          <c:orientation val="minMax"/>
        </c:scaling>
        <c:axPos val="b"/>
        <c:numFmt formatCode="General" sourceLinked="1"/>
        <c:tickLblPos val="nextTo"/>
        <c:crossAx val="134963968"/>
        <c:crosses val="autoZero"/>
        <c:crossBetween val="midCat"/>
      </c:valAx>
      <c:valAx>
        <c:axId val="134963968"/>
        <c:scaling>
          <c:orientation val="minMax"/>
        </c:scaling>
        <c:axPos val="l"/>
        <c:majorGridlines/>
        <c:numFmt formatCode="0.00E+00" sourceLinked="1"/>
        <c:tickLblPos val="nextTo"/>
        <c:crossAx val="1349457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Sheet1!$C$15:$C$18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2.4999999999999998E-2</c:v>
                </c:pt>
                <c:pt idx="3">
                  <c:v>4.9999999999999996E-2</c:v>
                </c:pt>
              </c:numCache>
            </c:numRef>
          </c:xVal>
          <c:yVal>
            <c:numRef>
              <c:f>Sheet1!$Q$15:$Q$18</c:f>
              <c:numCache>
                <c:formatCode>0.00E+00</c:formatCode>
                <c:ptCount val="4"/>
                <c:pt idx="0">
                  <c:v>5.2465019984472505</c:v>
                </c:pt>
                <c:pt idx="1">
                  <c:v>7.0482758457583616E-2</c:v>
                </c:pt>
                <c:pt idx="2">
                  <c:v>1.2678313287736311E-2</c:v>
                </c:pt>
                <c:pt idx="3">
                  <c:v>2.1708169395030584E-2</c:v>
                </c:pt>
              </c:numCache>
            </c:numRef>
          </c:yVal>
          <c:smooth val="1"/>
        </c:ser>
        <c:axId val="134991872"/>
        <c:axId val="134993408"/>
      </c:scatterChart>
      <c:valAx>
        <c:axId val="134991872"/>
        <c:scaling>
          <c:orientation val="minMax"/>
        </c:scaling>
        <c:axPos val="b"/>
        <c:numFmt formatCode="General" sourceLinked="1"/>
        <c:tickLblPos val="nextTo"/>
        <c:crossAx val="134993408"/>
        <c:crosses val="autoZero"/>
        <c:crossBetween val="midCat"/>
      </c:valAx>
      <c:valAx>
        <c:axId val="134993408"/>
        <c:scaling>
          <c:orientation val="minMax"/>
        </c:scaling>
        <c:axPos val="l"/>
        <c:majorGridlines/>
        <c:numFmt formatCode="0.00E+00" sourceLinked="1"/>
        <c:tickLblPos val="nextTo"/>
        <c:crossAx val="1349918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Sheet1!$C$21:$C$24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xVal>
          <c:yVal>
            <c:numRef>
              <c:f>Sheet1!$Q$21:$Q$24</c:f>
              <c:numCache>
                <c:formatCode>0.00E+00</c:formatCode>
                <c:ptCount val="4"/>
                <c:pt idx="0">
                  <c:v>-2.7564384332853915E-2</c:v>
                </c:pt>
                <c:pt idx="1">
                  <c:v>1.209455790061191E-2</c:v>
                </c:pt>
                <c:pt idx="2">
                  <c:v>7.0610414242647246E-3</c:v>
                </c:pt>
                <c:pt idx="3">
                  <c:v>-7.2846687230598544E-3</c:v>
                </c:pt>
              </c:numCache>
            </c:numRef>
          </c:yVal>
          <c:smooth val="1"/>
        </c:ser>
        <c:axId val="135680768"/>
        <c:axId val="135682304"/>
      </c:scatterChart>
      <c:valAx>
        <c:axId val="135680768"/>
        <c:scaling>
          <c:orientation val="minMax"/>
        </c:scaling>
        <c:axPos val="b"/>
        <c:numFmt formatCode="General" sourceLinked="1"/>
        <c:tickLblPos val="nextTo"/>
        <c:crossAx val="135682304"/>
        <c:crosses val="autoZero"/>
        <c:crossBetween val="midCat"/>
      </c:valAx>
      <c:valAx>
        <c:axId val="135682304"/>
        <c:scaling>
          <c:orientation val="minMax"/>
        </c:scaling>
        <c:axPos val="l"/>
        <c:majorGridlines/>
        <c:numFmt formatCode="0.00E+00" sourceLinked="1"/>
        <c:tickLblPos val="nextTo"/>
        <c:crossAx val="1356807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5.7905074365704294E-2"/>
          <c:y val="5.6030183727034118E-2"/>
          <c:w val="0.71254571303587144"/>
          <c:h val="0.8326195683872849"/>
        </c:manualLayout>
      </c:layout>
      <c:scatterChart>
        <c:scatterStyle val="lineMarker"/>
        <c:ser>
          <c:idx val="0"/>
          <c:order val="0"/>
          <c:xVal>
            <c:numRef>
              <c:f>Sheet2!$D$9:$D$12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Sheet2!$Y$9:$Y$12</c:f>
              <c:numCache>
                <c:formatCode>General</c:formatCode>
                <c:ptCount val="4"/>
                <c:pt idx="0">
                  <c:v>0.40442091052967433</c:v>
                </c:pt>
                <c:pt idx="1">
                  <c:v>0.23612091052967443</c:v>
                </c:pt>
                <c:pt idx="2">
                  <c:v>0</c:v>
                </c:pt>
                <c:pt idx="3">
                  <c:v>-6.1782723634085546E-2</c:v>
                </c:pt>
              </c:numCache>
            </c:numRef>
          </c:yVal>
        </c:ser>
        <c:ser>
          <c:idx val="1"/>
          <c:order val="1"/>
          <c:xVal>
            <c:numRef>
              <c:f>Sheet2!$D$17:$D$20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Sheet2!$Y$17:$Y$20</c:f>
              <c:numCache>
                <c:formatCode>General</c:formatCode>
                <c:ptCount val="4"/>
                <c:pt idx="0">
                  <c:v>-0.78409772367581532</c:v>
                </c:pt>
                <c:pt idx="1">
                  <c:v>-1.0083977236758148</c:v>
                </c:pt>
                <c:pt idx="2">
                  <c:v>-1.1669680963262943</c:v>
                </c:pt>
                <c:pt idx="3">
                  <c:v>-1.7138977236758137</c:v>
                </c:pt>
              </c:numCache>
            </c:numRef>
          </c:yVal>
        </c:ser>
        <c:ser>
          <c:idx val="2"/>
          <c:order val="2"/>
          <c:xVal>
            <c:numRef>
              <c:f>Sheet2!$D$24:$D$27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Sheet2!$Y$24:$Y$27</c:f>
              <c:numCache>
                <c:formatCode>General</c:formatCode>
                <c:ptCount val="4"/>
                <c:pt idx="0">
                  <c:v>-1.2604924873638375</c:v>
                </c:pt>
                <c:pt idx="1">
                  <c:v>-2.0905396301876369</c:v>
                </c:pt>
                <c:pt idx="2">
                  <c:v>-4.1254943091895377</c:v>
                </c:pt>
                <c:pt idx="3">
                  <c:v>-5.0047943091895366</c:v>
                </c:pt>
              </c:numCache>
            </c:numRef>
          </c:yVal>
        </c:ser>
        <c:axId val="135839104"/>
        <c:axId val="135853184"/>
      </c:scatterChart>
      <c:valAx>
        <c:axId val="135839104"/>
        <c:scaling>
          <c:orientation val="minMax"/>
        </c:scaling>
        <c:axPos val="b"/>
        <c:numFmt formatCode="General" sourceLinked="1"/>
        <c:tickLblPos val="nextTo"/>
        <c:crossAx val="135853184"/>
        <c:crosses val="autoZero"/>
        <c:crossBetween val="midCat"/>
      </c:valAx>
      <c:valAx>
        <c:axId val="135853184"/>
        <c:scaling>
          <c:orientation val="minMax"/>
        </c:scaling>
        <c:axPos val="l"/>
        <c:majorGridlines/>
        <c:numFmt formatCode="General" sourceLinked="1"/>
        <c:tickLblPos val="nextTo"/>
        <c:crossAx val="1358391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Sheet2!$D$32:$D$35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Sheet2!$Y$32:$Y$35</c:f>
              <c:numCache>
                <c:formatCode>General</c:formatCode>
                <c:ptCount val="4"/>
                <c:pt idx="0">
                  <c:v>0.16134586820257468</c:v>
                </c:pt>
                <c:pt idx="1">
                  <c:v>0.35910915437902469</c:v>
                </c:pt>
                <c:pt idx="2">
                  <c:v>0.56520565757220487</c:v>
                </c:pt>
                <c:pt idx="3">
                  <c:v>0.37217363684322491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Sheet2!$D$38:$D$41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Sheet2!$Y$38:$Y$41</c:f>
              <c:numCache>
                <c:formatCode>General</c:formatCode>
                <c:ptCount val="4"/>
                <c:pt idx="0">
                  <c:v>0.11642391016292386</c:v>
                </c:pt>
                <c:pt idx="1">
                  <c:v>0.18389068159397404</c:v>
                </c:pt>
                <c:pt idx="2">
                  <c:v>0.15853162466513471</c:v>
                </c:pt>
                <c:pt idx="3">
                  <c:v>-0.20247908947032522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Sheet2!$D$45:$D$48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Sheet2!$Y$45:$Y$48</c:f>
              <c:numCache>
                <c:formatCode>General</c:formatCode>
                <c:ptCount val="4"/>
                <c:pt idx="0">
                  <c:v>-0.19534732419227296</c:v>
                </c:pt>
                <c:pt idx="1">
                  <c:v>-0.45159812675744249</c:v>
                </c:pt>
                <c:pt idx="2">
                  <c:v>-1.4</c:v>
                </c:pt>
                <c:pt idx="3">
                  <c:v>-2.3782636315677523</c:v>
                </c:pt>
              </c:numCache>
            </c:numRef>
          </c:yVal>
          <c:smooth val="1"/>
        </c:ser>
        <c:axId val="135759744"/>
        <c:axId val="135761280"/>
      </c:scatterChart>
      <c:valAx>
        <c:axId val="135759744"/>
        <c:scaling>
          <c:orientation val="minMax"/>
        </c:scaling>
        <c:axPos val="b"/>
        <c:numFmt formatCode="General" sourceLinked="1"/>
        <c:tickLblPos val="nextTo"/>
        <c:crossAx val="135761280"/>
        <c:crosses val="autoZero"/>
        <c:crossBetween val="midCat"/>
      </c:valAx>
      <c:valAx>
        <c:axId val="135761280"/>
        <c:scaling>
          <c:orientation val="minMax"/>
        </c:scaling>
        <c:axPos val="l"/>
        <c:majorGridlines/>
        <c:numFmt formatCode="General" sourceLinked="1"/>
        <c:tickLblPos val="nextTo"/>
        <c:crossAx val="1357597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thermal R - variable Lc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Sheet2!$D$9:$D$12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Sheet2!$R$9:$R$12</c:f>
              <c:numCache>
                <c:formatCode>0.00E+00</c:formatCode>
                <c:ptCount val="4"/>
                <c:pt idx="0">
                  <c:v>3.9013692658867777E-5</c:v>
                </c:pt>
                <c:pt idx="1">
                  <c:v>4.4782196008764476E-5</c:v>
                </c:pt>
                <c:pt idx="2">
                  <c:v>2.4373965354932739E-5</c:v>
                </c:pt>
                <c:pt idx="3">
                  <c:v>1.5750201566263339E-4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Sheet2!$D$16:$D$20</c:f>
              <c:numCache>
                <c:formatCode>General</c:formatCode>
                <c:ptCount val="5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</c:numCache>
            </c:numRef>
          </c:xVal>
          <c:yVal>
            <c:numRef>
              <c:f>Sheet2!$R$16:$R$20</c:f>
              <c:numCache>
                <c:formatCode>0.00E+00</c:formatCode>
                <c:ptCount val="5"/>
                <c:pt idx="0">
                  <c:v>1.7171772761882098E-5</c:v>
                </c:pt>
                <c:pt idx="1">
                  <c:v>1.7688180014913705E-5</c:v>
                </c:pt>
                <c:pt idx="2">
                  <c:v>2.1609089296057476E-5</c:v>
                </c:pt>
                <c:pt idx="3">
                  <c:v>5.3140454879822661E-5</c:v>
                </c:pt>
                <c:pt idx="4">
                  <c:v>1.0313936077251733E-4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Sheet2!$D$24:$D$27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Sheet2!$R$24:$R$27</c:f>
              <c:numCache>
                <c:formatCode>0.00E+00</c:formatCode>
                <c:ptCount val="4"/>
                <c:pt idx="0">
                  <c:v>0</c:v>
                </c:pt>
                <c:pt idx="1">
                  <c:v>1.412033821528941E-5</c:v>
                </c:pt>
                <c:pt idx="2">
                  <c:v>2.6058549412576517E-5</c:v>
                </c:pt>
                <c:pt idx="3">
                  <c:v>5.3902688025617544E-5</c:v>
                </c:pt>
              </c:numCache>
            </c:numRef>
          </c:yVal>
          <c:smooth val="1"/>
        </c:ser>
        <c:axId val="135938432"/>
        <c:axId val="135939968"/>
      </c:scatterChart>
      <c:valAx>
        <c:axId val="135938432"/>
        <c:scaling>
          <c:orientation val="minMax"/>
        </c:scaling>
        <c:axPos val="b"/>
        <c:numFmt formatCode="General" sourceLinked="1"/>
        <c:tickLblPos val="nextTo"/>
        <c:crossAx val="135939968"/>
        <c:crosses val="autoZero"/>
        <c:crossBetween val="midCat"/>
      </c:valAx>
      <c:valAx>
        <c:axId val="135939968"/>
        <c:scaling>
          <c:orientation val="minMax"/>
        </c:scaling>
        <c:axPos val="l"/>
        <c:majorGridlines/>
        <c:numFmt formatCode="0.00E+00" sourceLinked="1"/>
        <c:tickLblPos val="nextTo"/>
        <c:crossAx val="1359384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Sheet2!$D$9:$D$12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Sheet2!$S$9:$S$12</c:f>
              <c:numCache>
                <c:formatCode>0.00E+00</c:formatCode>
                <c:ptCount val="4"/>
                <c:pt idx="0">
                  <c:v>5.3598095933422811E-5</c:v>
                </c:pt>
                <c:pt idx="1">
                  <c:v>6.1504577613277059E-5</c:v>
                </c:pt>
                <c:pt idx="2">
                  <c:v>2.0911791514608341E-4</c:v>
                </c:pt>
                <c:pt idx="3">
                  <c:v>2.1585105707260156E-4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Sheet2!$D$17:$D$20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Sheet2!$S$17:$S$20</c:f>
              <c:numCache>
                <c:formatCode>0.00E+00</c:formatCode>
                <c:ptCount val="4"/>
                <c:pt idx="0">
                  <c:v>2.427071648349642E-5</c:v>
                </c:pt>
                <c:pt idx="1">
                  <c:v>2.9864176575884984E-5</c:v>
                </c:pt>
                <c:pt idx="2">
                  <c:v>7.2830467749741438E-5</c:v>
                </c:pt>
                <c:pt idx="3">
                  <c:v>1.409765531103089E-4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Sheet2!$D$24:$D$27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Sheet2!$S$24:$S$27</c:f>
              <c:numCache>
                <c:formatCode>0.00E+00</c:formatCode>
                <c:ptCount val="4"/>
                <c:pt idx="0">
                  <c:v>1.1423944216437548E-5</c:v>
                </c:pt>
                <c:pt idx="1">
                  <c:v>1.9357072695462125E-5</c:v>
                </c:pt>
                <c:pt idx="2">
                  <c:v>3.5643598523848434E-5</c:v>
                </c:pt>
                <c:pt idx="3">
                  <c:v>7.33791882627922E-5</c:v>
                </c:pt>
              </c:numCache>
            </c:numRef>
          </c:yVal>
          <c:smooth val="1"/>
        </c:ser>
        <c:axId val="135969408"/>
        <c:axId val="135979392"/>
      </c:scatterChart>
      <c:valAx>
        <c:axId val="135969408"/>
        <c:scaling>
          <c:orientation val="minMax"/>
        </c:scaling>
        <c:axPos val="b"/>
        <c:numFmt formatCode="General" sourceLinked="1"/>
        <c:tickLblPos val="nextTo"/>
        <c:crossAx val="135979392"/>
        <c:crosses val="autoZero"/>
        <c:crossBetween val="midCat"/>
      </c:valAx>
      <c:valAx>
        <c:axId val="135979392"/>
        <c:scaling>
          <c:orientation val="minMax"/>
        </c:scaling>
        <c:axPos val="l"/>
        <c:majorGridlines/>
        <c:numFmt formatCode="0.00E+00" sourceLinked="1"/>
        <c:tickLblPos val="nextTo"/>
        <c:crossAx val="1359694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Sheet2!$D$31:$D$35</c:f>
              <c:numCache>
                <c:formatCode>General</c:formatCode>
                <c:ptCount val="5"/>
                <c:pt idx="0">
                  <c:v>2.9999999999999995E-2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</c:numCache>
            </c:numRef>
          </c:xVal>
          <c:yVal>
            <c:numRef>
              <c:f>Sheet2!$R$31:$R$35</c:f>
              <c:numCache>
                <c:formatCode>0.00E+00</c:formatCode>
                <c:ptCount val="5"/>
                <c:pt idx="0">
                  <c:v>2.2166665333373967E-5</c:v>
                </c:pt>
                <c:pt idx="1">
                  <c:v>2.2204442011208992E-5</c:v>
                </c:pt>
                <c:pt idx="2">
                  <c:v>2.8775533424158375E-5</c:v>
                </c:pt>
                <c:pt idx="3">
                  <c:v>4.4886338674533171E-5</c:v>
                </c:pt>
                <c:pt idx="4">
                  <c:v>7.6280712831792462E-5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Sheet2!$D$38:$D$41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Sheet2!$R$38:$R$41</c:f>
              <c:numCache>
                <c:formatCode>0.00E+00</c:formatCode>
                <c:ptCount val="4"/>
                <c:pt idx="0">
                  <c:v>2.4792728228818904E-5</c:v>
                </c:pt>
                <c:pt idx="1">
                  <c:v>2.8764589833658181E-5</c:v>
                </c:pt>
                <c:pt idx="2">
                  <c:v>5.5004592000775167E-5</c:v>
                </c:pt>
                <c:pt idx="3">
                  <c:v>1.036189100529188E-4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Sheet2!$D$45:$D$48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Sheet2!$R$45:$R$48</c:f>
              <c:numCache>
                <c:formatCode>0.00E+00</c:formatCode>
                <c:ptCount val="4"/>
                <c:pt idx="0">
                  <c:v>2.6371047484652256E-5</c:v>
                </c:pt>
                <c:pt idx="1">
                  <c:v>3.8717341170073213E-5</c:v>
                </c:pt>
                <c:pt idx="2">
                  <c:v>8.6172255162149535E-5</c:v>
                </c:pt>
                <c:pt idx="3">
                  <c:v>1.7060405171876315E-4</c:v>
                </c:pt>
              </c:numCache>
            </c:numRef>
          </c:yVal>
          <c:smooth val="1"/>
        </c:ser>
        <c:axId val="135877760"/>
        <c:axId val="135879296"/>
      </c:scatterChart>
      <c:valAx>
        <c:axId val="135877760"/>
        <c:scaling>
          <c:orientation val="minMax"/>
        </c:scaling>
        <c:axPos val="b"/>
        <c:numFmt formatCode="General" sourceLinked="1"/>
        <c:tickLblPos val="nextTo"/>
        <c:crossAx val="135879296"/>
        <c:crosses val="autoZero"/>
        <c:crossBetween val="midCat"/>
      </c:valAx>
      <c:valAx>
        <c:axId val="135879296"/>
        <c:scaling>
          <c:orientation val="minMax"/>
        </c:scaling>
        <c:axPos val="l"/>
        <c:majorGridlines/>
        <c:numFmt formatCode="0.00E+00" sourceLinked="1"/>
        <c:tickLblPos val="nextTo"/>
        <c:crossAx val="1358777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180976</xdr:colOff>
      <xdr:row>2</xdr:row>
      <xdr:rowOff>142875</xdr:rowOff>
    </xdr:from>
    <xdr:to>
      <xdr:col>23</xdr:col>
      <xdr:colOff>476250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38</xdr:row>
      <xdr:rowOff>47624</xdr:rowOff>
    </xdr:from>
    <xdr:to>
      <xdr:col>23</xdr:col>
      <xdr:colOff>447675</xdr:colOff>
      <xdr:row>48</xdr:row>
      <xdr:rowOff>119061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476250</xdr:colOff>
      <xdr:row>26</xdr:row>
      <xdr:rowOff>171450</xdr:rowOff>
    </xdr:from>
    <xdr:to>
      <xdr:col>23</xdr:col>
      <xdr:colOff>590550</xdr:colOff>
      <xdr:row>37</xdr:row>
      <xdr:rowOff>23811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209549</xdr:colOff>
      <xdr:row>17</xdr:row>
      <xdr:rowOff>9525</xdr:rowOff>
    </xdr:from>
    <xdr:to>
      <xdr:col>23</xdr:col>
      <xdr:colOff>409574</xdr:colOff>
      <xdr:row>26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26</xdr:row>
      <xdr:rowOff>28575</xdr:rowOff>
    </xdr:from>
    <xdr:to>
      <xdr:col>13</xdr:col>
      <xdr:colOff>714375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48</xdr:row>
      <xdr:rowOff>61912</xdr:rowOff>
    </xdr:from>
    <xdr:to>
      <xdr:col>8</xdr:col>
      <xdr:colOff>600075</xdr:colOff>
      <xdr:row>55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161926</xdr:colOff>
      <xdr:row>0</xdr:row>
      <xdr:rowOff>95250</xdr:rowOff>
    </xdr:from>
    <xdr:to>
      <xdr:col>14</xdr:col>
      <xdr:colOff>85726</xdr:colOff>
      <xdr:row>11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333375</xdr:colOff>
      <xdr:row>0</xdr:row>
      <xdr:rowOff>9525</xdr:rowOff>
    </xdr:from>
    <xdr:to>
      <xdr:col>24</xdr:col>
      <xdr:colOff>19050</xdr:colOff>
      <xdr:row>6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43</xdr:row>
      <xdr:rowOff>14287</xdr:rowOff>
    </xdr:from>
    <xdr:to>
      <xdr:col>15</xdr:col>
      <xdr:colOff>657225</xdr:colOff>
      <xdr:row>57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180974</xdr:colOff>
      <xdr:row>2</xdr:row>
      <xdr:rowOff>114299</xdr:rowOff>
    </xdr:from>
    <xdr:to>
      <xdr:col>25</xdr:col>
      <xdr:colOff>257175</xdr:colOff>
      <xdr:row>20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5"/>
  <sheetViews>
    <sheetView workbookViewId="0">
      <selection activeCell="B38" sqref="B38"/>
    </sheetView>
  </sheetViews>
  <sheetFormatPr defaultRowHeight="15"/>
  <cols>
    <col min="1" max="1" width="9.140625" style="1"/>
    <col min="2" max="2" width="14.140625" style="1" customWidth="1"/>
    <col min="3" max="4" width="16.7109375" style="1" customWidth="1"/>
    <col min="5" max="5" width="11.42578125" style="1" customWidth="1"/>
    <col min="6" max="6" width="9.140625" style="1" customWidth="1"/>
    <col min="7" max="7" width="6.42578125" style="1" customWidth="1"/>
    <col min="8" max="8" width="10.7109375" style="1" customWidth="1"/>
    <col min="9" max="10" width="12.7109375" style="1" customWidth="1"/>
    <col min="11" max="11" width="9.140625" style="1"/>
    <col min="12" max="12" width="14" style="1" customWidth="1"/>
    <col min="13" max="13" width="11.7109375" style="1" customWidth="1"/>
    <col min="14" max="16" width="13.7109375" style="1" customWidth="1"/>
    <col min="17" max="16384" width="9.140625" style="1"/>
  </cols>
  <sheetData>
    <row r="1" spans="1:17">
      <c r="A1" s="1" t="s">
        <v>3</v>
      </c>
      <c r="B1" s="1">
        <v>1.2250000000000001</v>
      </c>
      <c r="C1" s="1" t="s">
        <v>11</v>
      </c>
    </row>
    <row r="2" spans="1:17">
      <c r="A2" s="1" t="s">
        <v>4</v>
      </c>
      <c r="B2" s="2">
        <v>1.7893999999999998E-5</v>
      </c>
      <c r="C2" s="1" t="s">
        <v>16</v>
      </c>
    </row>
    <row r="3" spans="1:17">
      <c r="A3" s="1" t="s">
        <v>5</v>
      </c>
      <c r="B3" s="1">
        <v>1006.43</v>
      </c>
      <c r="C3" s="1" t="s">
        <v>11</v>
      </c>
    </row>
    <row r="4" spans="1:17">
      <c r="A4" s="1" t="s">
        <v>6</v>
      </c>
      <c r="B4" s="1">
        <v>2.4199999999999999E-2</v>
      </c>
      <c r="C4" s="1" t="s">
        <v>11</v>
      </c>
    </row>
    <row r="5" spans="1:17">
      <c r="A5" s="1" t="s">
        <v>8</v>
      </c>
      <c r="B5" s="1">
        <f>B4/B1/B3</f>
        <v>1.9628888289117303E-5</v>
      </c>
      <c r="C5" s="1" t="s">
        <v>20</v>
      </c>
    </row>
    <row r="6" spans="1:17">
      <c r="A6" s="1" t="s">
        <v>7</v>
      </c>
      <c r="C6" s="1" t="s">
        <v>15</v>
      </c>
    </row>
    <row r="7" spans="1:17">
      <c r="D7" s="10"/>
      <c r="E7" s="10"/>
      <c r="F7" s="10"/>
      <c r="G7" s="10"/>
      <c r="H7" s="10" t="s">
        <v>22</v>
      </c>
    </row>
    <row r="8" spans="1:17" s="9" customFormat="1">
      <c r="A8" s="8" t="s">
        <v>0</v>
      </c>
      <c r="B8" s="8" t="s">
        <v>1</v>
      </c>
      <c r="C8" s="8" t="s">
        <v>9</v>
      </c>
      <c r="D8" s="8" t="s">
        <v>13</v>
      </c>
      <c r="E8" s="8" t="s">
        <v>14</v>
      </c>
      <c r="F8" s="8" t="s">
        <v>12</v>
      </c>
      <c r="G8" s="8" t="s">
        <v>7</v>
      </c>
      <c r="H8" s="8" t="s">
        <v>2</v>
      </c>
      <c r="I8" s="8"/>
      <c r="J8" s="8"/>
      <c r="M8" s="9" t="s">
        <v>17</v>
      </c>
      <c r="N8" s="9" t="s">
        <v>21</v>
      </c>
      <c r="O8" s="9" t="s">
        <v>26</v>
      </c>
      <c r="P8" s="9" t="s">
        <v>25</v>
      </c>
      <c r="Q8" s="9" t="s">
        <v>18</v>
      </c>
    </row>
    <row r="9" spans="1:17" s="9" customFormat="1">
      <c r="A9" s="9">
        <v>5.0000000000000001E-4</v>
      </c>
      <c r="B9" s="9">
        <v>0.01</v>
      </c>
      <c r="C9" s="9">
        <f t="shared" ref="C9" si="0">A9/SQRT(B9)</f>
        <v>5.0000000000000001E-3</v>
      </c>
      <c r="D9" s="9">
        <f t="shared" ref="D9" si="1">A9/B9</f>
        <v>0.05</v>
      </c>
      <c r="E9" s="9">
        <v>2.5000000000000001E-2</v>
      </c>
      <c r="F9" s="9">
        <f t="shared" ref="F9" si="2">H9/A9</f>
        <v>50</v>
      </c>
      <c r="G9" s="9">
        <v>50</v>
      </c>
      <c r="H9" s="9">
        <v>2.5000000000000001E-2</v>
      </c>
      <c r="I9" s="9" t="s">
        <v>19</v>
      </c>
      <c r="J9" s="9">
        <f t="shared" ref="J9:J12" si="3">($B$2*128)^(1/3)*(2*$B$5^2/$B$1)^(1/12)/G9^(0.25)</f>
        <v>8.4811304379028511E-3</v>
      </c>
      <c r="K9" s="9" t="s">
        <v>10</v>
      </c>
      <c r="L9" s="9">
        <f t="shared" ref="L9" si="4">($B$2*128)^(1/3)*(2*$B$5^2/$B$1)^(1/12)/G9^(0.25)*SQRT(B9)</f>
        <v>8.4811304379028515E-4</v>
      </c>
      <c r="N9" s="12">
        <v>2.1282769999999999E-8</v>
      </c>
      <c r="O9" s="12">
        <v>7.4077629999999997E-7</v>
      </c>
      <c r="P9" s="12">
        <f>N9/O9</f>
        <v>2.8730360299053844E-2</v>
      </c>
      <c r="Q9" s="12">
        <f>43/P9</f>
        <v>1496.6745823029614</v>
      </c>
    </row>
    <row r="10" spans="1:17" s="9" customFormat="1">
      <c r="A10" s="9">
        <v>1E-3</v>
      </c>
      <c r="B10" s="9">
        <v>0.01</v>
      </c>
      <c r="C10" s="9">
        <f>A10/SQRT(B10)</f>
        <v>0.01</v>
      </c>
      <c r="D10" s="9">
        <f>A10/B10</f>
        <v>0.1</v>
      </c>
      <c r="E10" s="9">
        <v>2.5000000000000001E-2</v>
      </c>
      <c r="F10" s="9">
        <f>H10/A10</f>
        <v>25</v>
      </c>
      <c r="H10" s="9">
        <v>2.5000000000000001E-2</v>
      </c>
      <c r="I10" s="9" t="s">
        <v>19</v>
      </c>
      <c r="J10" s="9" t="e">
        <f t="shared" si="3"/>
        <v>#DIV/0!</v>
      </c>
      <c r="K10" s="9" t="s">
        <v>10</v>
      </c>
      <c r="L10" s="9" t="e">
        <f>($B$2*128)^(1/3)*(2*$B$5^2/$B$1)^(1/12)/G10^(0.25)*SQRT(B10)</f>
        <v>#DIV/0!</v>
      </c>
      <c r="N10" s="12">
        <v>-2.2934879999999998E-6</v>
      </c>
      <c r="O10" s="12">
        <v>1.4819970000000001E-6</v>
      </c>
      <c r="P10" s="12">
        <f t="shared" ref="P10:P12" si="5">N10/O10</f>
        <v>-1.547565885760902</v>
      </c>
      <c r="Q10" s="12">
        <f t="shared" ref="Q10:Q12" si="6">43/P10</f>
        <v>-27.785569839475947</v>
      </c>
    </row>
    <row r="11" spans="1:17" s="9" customFormat="1">
      <c r="A11" s="9">
        <v>2.5000000000000001E-3</v>
      </c>
      <c r="B11" s="9">
        <v>0.01</v>
      </c>
      <c r="C11" s="9">
        <f>A11/SQRT(B11)</f>
        <v>2.4999999999999998E-2</v>
      </c>
      <c r="D11" s="9">
        <f>A11/B11</f>
        <v>0.25</v>
      </c>
      <c r="E11" s="9">
        <v>2.5000000000000001E-2</v>
      </c>
      <c r="F11" s="9">
        <f>H11/A11</f>
        <v>10</v>
      </c>
      <c r="H11" s="9">
        <v>2.5000000000000001E-2</v>
      </c>
      <c r="I11" s="9" t="s">
        <v>19</v>
      </c>
      <c r="J11" s="9" t="e">
        <f t="shared" si="3"/>
        <v>#DIV/0!</v>
      </c>
      <c r="K11" s="9" t="s">
        <v>10</v>
      </c>
      <c r="L11" s="9" t="e">
        <f>($B$2*128)^(1/3)*(2*$B$5^2/$B$1)^(1/12)/G11^(0.25)*SQRT(B11)</f>
        <v>#DIV/0!</v>
      </c>
      <c r="N11" s="9">
        <v>-9.1950850000000004E-4</v>
      </c>
      <c r="O11" s="12">
        <v>5.930951E-7</v>
      </c>
      <c r="P11" s="12">
        <f t="shared" si="5"/>
        <v>-1550.3559209981672</v>
      </c>
      <c r="Q11" s="12">
        <f t="shared" si="6"/>
        <v>-2.7735566664147202E-2</v>
      </c>
    </row>
    <row r="12" spans="1:17" s="9" customFormat="1">
      <c r="A12" s="9">
        <v>5.0000000000000001E-3</v>
      </c>
      <c r="B12" s="9">
        <v>0.01</v>
      </c>
      <c r="C12" s="9">
        <f>A12/SQRT(B12)</f>
        <v>4.9999999999999996E-2</v>
      </c>
      <c r="D12" s="9">
        <f>A12/B12</f>
        <v>0.5</v>
      </c>
      <c r="E12" s="9">
        <v>2.5000000000000001E-2</v>
      </c>
      <c r="F12" s="9">
        <f>H12/A12</f>
        <v>5</v>
      </c>
      <c r="H12" s="9">
        <v>2.5000000000000001E-2</v>
      </c>
      <c r="I12" s="9" t="s">
        <v>19</v>
      </c>
      <c r="J12" s="9" t="e">
        <f t="shared" si="3"/>
        <v>#DIV/0!</v>
      </c>
      <c r="K12" s="9" t="s">
        <v>10</v>
      </c>
      <c r="L12" s="9" t="e">
        <f>($B$2*128)^(1/3)*(2*$B$5^2/$B$1)^(1/12)/G12^(0.25)*SQRT(B12)</f>
        <v>#DIV/0!</v>
      </c>
      <c r="N12" s="9">
        <v>-1.8697329999999999E-3</v>
      </c>
      <c r="O12" s="12">
        <v>7.4259380000000001E-6</v>
      </c>
      <c r="P12" s="12">
        <f t="shared" si="5"/>
        <v>-251.78408438098998</v>
      </c>
      <c r="Q12" s="12">
        <f t="shared" si="6"/>
        <v>-0.17078124737596223</v>
      </c>
    </row>
    <row r="13" spans="1:17" s="9" customFormat="1" ht="13.5" customHeight="1"/>
    <row r="14" spans="1:17" s="9" customFormat="1">
      <c r="A14" s="8" t="s">
        <v>0</v>
      </c>
      <c r="B14" s="8" t="s">
        <v>1</v>
      </c>
      <c r="C14" s="8" t="s">
        <v>9</v>
      </c>
      <c r="D14" s="8" t="s">
        <v>13</v>
      </c>
      <c r="E14" s="8" t="s">
        <v>14</v>
      </c>
      <c r="F14" s="8" t="s">
        <v>12</v>
      </c>
      <c r="G14" s="8" t="s">
        <v>7</v>
      </c>
      <c r="H14" s="8" t="s">
        <v>2</v>
      </c>
      <c r="I14" s="8"/>
      <c r="J14" s="8"/>
      <c r="M14" s="9" t="s">
        <v>17</v>
      </c>
      <c r="N14" s="9" t="s">
        <v>21</v>
      </c>
      <c r="O14" s="9" t="s">
        <v>26</v>
      </c>
      <c r="P14" s="9" t="s">
        <v>25</v>
      </c>
      <c r="Q14" s="9" t="s">
        <v>18</v>
      </c>
    </row>
    <row r="15" spans="1:17" s="9" customFormat="1">
      <c r="A15" s="9">
        <v>5.0000000000000001E-4</v>
      </c>
      <c r="B15" s="9">
        <v>0.01</v>
      </c>
      <c r="C15" s="9">
        <f t="shared" ref="C15" si="7">A15/SQRT(B15)</f>
        <v>5.0000000000000001E-3</v>
      </c>
      <c r="D15" s="9">
        <f t="shared" ref="D15" si="8">A15/B15</f>
        <v>0.05</v>
      </c>
      <c r="E15" s="9">
        <v>2.5000000000000001E-2</v>
      </c>
      <c r="F15" s="9">
        <f t="shared" ref="F15" si="9">H15/A15</f>
        <v>20</v>
      </c>
      <c r="G15" s="9">
        <v>50</v>
      </c>
      <c r="H15" s="9">
        <v>0.01</v>
      </c>
      <c r="I15" s="9" t="s">
        <v>19</v>
      </c>
      <c r="J15" s="9">
        <f t="shared" ref="J15:J18" si="10">($B$2*128)^(1/3)*(2*$B$5^2/$B$1)^(1/12)/G15^(0.25)</f>
        <v>8.4811304379028511E-3</v>
      </c>
      <c r="K15" s="9" t="s">
        <v>10</v>
      </c>
      <c r="L15" s="9">
        <f t="shared" ref="L15" si="11">($B$2*128)^(1/3)*(2*$B$5^2/$B$1)^(1/12)/G15^(0.25)*SQRT(B15)</f>
        <v>8.4811304379028515E-4</v>
      </c>
      <c r="M15" s="9">
        <v>104.5305</v>
      </c>
      <c r="N15" s="12">
        <v>1.217195E-5</v>
      </c>
      <c r="O15" s="12">
        <v>1.4851200000000001E-6</v>
      </c>
      <c r="P15" s="12">
        <f>N15/O15</f>
        <v>8.1959370286576156</v>
      </c>
      <c r="Q15" s="12">
        <f>43/P15</f>
        <v>5.2465019984472505</v>
      </c>
    </row>
    <row r="16" spans="1:17" s="9" customFormat="1">
      <c r="A16" s="9">
        <v>1E-3</v>
      </c>
      <c r="B16" s="9">
        <v>0.01</v>
      </c>
      <c r="C16" s="9">
        <f>A16/SQRT(B16)</f>
        <v>0.01</v>
      </c>
      <c r="D16" s="9">
        <f>A16/B16</f>
        <v>0.1</v>
      </c>
      <c r="E16" s="9">
        <v>2.5000000000000001E-2</v>
      </c>
      <c r="F16" s="9">
        <f>H16/A16</f>
        <v>10</v>
      </c>
      <c r="H16" s="9">
        <v>0.01</v>
      </c>
      <c r="I16" s="9" t="s">
        <v>19</v>
      </c>
      <c r="J16" s="9" t="e">
        <f t="shared" si="10"/>
        <v>#DIV/0!</v>
      </c>
      <c r="K16" s="9" t="s">
        <v>10</v>
      </c>
      <c r="L16" s="9" t="e">
        <f>($B$2*128)^(1/3)*(2*$B$5^2/$B$1)^(1/12)/G16^(0.25)*SQRT(B16)</f>
        <v>#DIV/0!</v>
      </c>
      <c r="M16" s="9">
        <v>198.51759999999999</v>
      </c>
      <c r="N16" s="9">
        <v>3.5940229999999998E-4</v>
      </c>
      <c r="O16" s="12">
        <v>5.8910850000000002E-7</v>
      </c>
      <c r="P16" s="12">
        <f>N16/O16</f>
        <v>610.07827929829557</v>
      </c>
      <c r="Q16" s="12">
        <f t="shared" ref="Q16:Q18" si="12">43/P16</f>
        <v>7.0482758457583616E-2</v>
      </c>
    </row>
    <row r="17" spans="1:17" s="9" customFormat="1">
      <c r="A17" s="9">
        <v>2.5000000000000001E-3</v>
      </c>
      <c r="B17" s="9">
        <v>0.01</v>
      </c>
      <c r="C17" s="9">
        <f>A17/SQRT(B17)</f>
        <v>2.4999999999999998E-2</v>
      </c>
      <c r="D17" s="9">
        <f>A17/B17</f>
        <v>0.25</v>
      </c>
      <c r="E17" s="9">
        <v>2.5000000000000001E-2</v>
      </c>
      <c r="F17" s="9">
        <f>H17/A17</f>
        <v>4</v>
      </c>
      <c r="H17" s="9">
        <v>0.01</v>
      </c>
      <c r="I17" s="9" t="s">
        <v>19</v>
      </c>
      <c r="J17" s="9" t="e">
        <f t="shared" si="10"/>
        <v>#DIV/0!</v>
      </c>
      <c r="K17" s="9" t="s">
        <v>10</v>
      </c>
      <c r="L17" s="9" t="e">
        <f>($B$2*128)^(1/3)*(2*$B$5^2/$B$1)^(1/12)/G17^(0.25)*SQRT(B17)</f>
        <v>#DIV/0!</v>
      </c>
      <c r="M17" s="9">
        <v>253.13772</v>
      </c>
      <c r="N17" s="9">
        <v>1.0062059999999999E-3</v>
      </c>
      <c r="O17" s="12">
        <v>2.966743E-7</v>
      </c>
      <c r="P17" s="12">
        <f>N17/O17</f>
        <v>3391.6183504941273</v>
      </c>
      <c r="Q17" s="12">
        <f t="shared" si="12"/>
        <v>1.2678313287736311E-2</v>
      </c>
    </row>
    <row r="18" spans="1:17" s="9" customFormat="1">
      <c r="A18" s="9">
        <v>5.0000000000000001E-3</v>
      </c>
      <c r="B18" s="9">
        <v>0.01</v>
      </c>
      <c r="C18" s="9">
        <f>A18/SQRT(B18)</f>
        <v>4.9999999999999996E-2</v>
      </c>
      <c r="D18" s="9">
        <f>A18/B18</f>
        <v>0.5</v>
      </c>
      <c r="E18" s="9">
        <v>2.5000000000000001E-2</v>
      </c>
      <c r="F18" s="9">
        <f>H18/A18</f>
        <v>2</v>
      </c>
      <c r="H18" s="9">
        <v>0.01</v>
      </c>
      <c r="I18" s="9" t="s">
        <v>19</v>
      </c>
      <c r="J18" s="9" t="e">
        <f t="shared" si="10"/>
        <v>#DIV/0!</v>
      </c>
      <c r="K18" s="9" t="s">
        <v>10</v>
      </c>
      <c r="L18" s="9" t="e">
        <f>($B$2*128)^(1/3)*(2*$B$5^2/$B$1)^(1/12)/G18^(0.25)*SQRT(B18)</f>
        <v>#DIV/0!</v>
      </c>
      <c r="M18" s="9">
        <v>229.80950000000001</v>
      </c>
      <c r="N18" s="9">
        <v>5.8993229999999997E-3</v>
      </c>
      <c r="O18" s="12">
        <v>2.9782210000000001E-6</v>
      </c>
      <c r="P18" s="12">
        <f>N18/O18</f>
        <v>1980.8211009189713</v>
      </c>
      <c r="Q18" s="12">
        <f t="shared" si="12"/>
        <v>2.1708169395030584E-2</v>
      </c>
    </row>
    <row r="19" spans="1:17" s="9" customFormat="1"/>
    <row r="20" spans="1:17" s="9" customFormat="1">
      <c r="A20" s="8" t="s">
        <v>0</v>
      </c>
      <c r="B20" s="8" t="s">
        <v>1</v>
      </c>
      <c r="C20" s="8" t="s">
        <v>9</v>
      </c>
      <c r="D20" s="8" t="s">
        <v>13</v>
      </c>
      <c r="E20" s="8" t="s">
        <v>14</v>
      </c>
      <c r="F20" s="8" t="s">
        <v>12</v>
      </c>
      <c r="G20" s="8" t="s">
        <v>7</v>
      </c>
      <c r="H20" s="8" t="s">
        <v>2</v>
      </c>
      <c r="I20" s="8"/>
      <c r="J20" s="8"/>
      <c r="M20" s="9" t="s">
        <v>17</v>
      </c>
      <c r="N20" s="9" t="s">
        <v>21</v>
      </c>
      <c r="O20" s="9" t="s">
        <v>26</v>
      </c>
      <c r="P20" s="9" t="s">
        <v>25</v>
      </c>
      <c r="Q20" s="9" t="s">
        <v>18</v>
      </c>
    </row>
    <row r="21" spans="1:17" s="9" customFormat="1">
      <c r="A21" s="9">
        <v>5.0000000000000001E-4</v>
      </c>
      <c r="B21" s="9">
        <v>0.01</v>
      </c>
      <c r="C21" s="9">
        <f t="shared" ref="C21" si="13">A21/SQRT(B21)</f>
        <v>5.0000000000000001E-3</v>
      </c>
      <c r="D21" s="9">
        <f t="shared" ref="D21" si="14">A21/B21</f>
        <v>0.05</v>
      </c>
      <c r="E21" s="9">
        <v>2.5000000000000001E-2</v>
      </c>
      <c r="F21" s="9">
        <f t="shared" ref="F21" si="15">H21/A21</f>
        <v>8</v>
      </c>
      <c r="G21" s="9">
        <v>50</v>
      </c>
      <c r="H21" s="9">
        <v>4.0000000000000001E-3</v>
      </c>
      <c r="I21" s="9" t="s">
        <v>19</v>
      </c>
      <c r="J21" s="9">
        <f t="shared" ref="J21:J24" si="16">($B$2*128)^(1/3)*(2*$B$5^2/$B$1)^(1/12)/G21^(0.25)</f>
        <v>8.4811304379028511E-3</v>
      </c>
      <c r="K21" s="9" t="s">
        <v>10</v>
      </c>
      <c r="L21" s="9">
        <f t="shared" ref="L21" si="17">($B$2*128)^(1/3)*(2*$B$5^2/$B$1)^(1/12)/G21^(0.25)*SQRT(B21)</f>
        <v>8.4811304379028515E-4</v>
      </c>
      <c r="N21" s="9">
        <v>-1.8508540000000001E-4</v>
      </c>
      <c r="O21" s="12">
        <v>1.186457E-7</v>
      </c>
      <c r="P21" s="12">
        <f>N21/O21</f>
        <v>-1559.9840533622373</v>
      </c>
      <c r="Q21" s="12">
        <f>43/P21</f>
        <v>-2.7564384332853915E-2</v>
      </c>
    </row>
    <row r="22" spans="1:17" s="9" customFormat="1">
      <c r="A22" s="9">
        <v>1E-3</v>
      </c>
      <c r="B22" s="9">
        <v>0.01</v>
      </c>
      <c r="C22" s="9">
        <f>A22/SQRT(B22)</f>
        <v>0.01</v>
      </c>
      <c r="D22" s="9">
        <f>A22/B22</f>
        <v>0.1</v>
      </c>
      <c r="E22" s="9">
        <v>2.5000000000000001E-2</v>
      </c>
      <c r="F22" s="9">
        <f>H22/A22</f>
        <v>4</v>
      </c>
      <c r="H22" s="9">
        <v>4.0000000000000001E-3</v>
      </c>
      <c r="I22" s="9" t="s">
        <v>19</v>
      </c>
      <c r="J22" s="9" t="e">
        <f t="shared" si="16"/>
        <v>#DIV/0!</v>
      </c>
      <c r="K22" s="9" t="s">
        <v>10</v>
      </c>
      <c r="L22" s="9" t="e">
        <f>($B$2*128)^(1/3)*(2*$B$5^2/$B$1)^(1/12)/G22^(0.25)*SQRT(B22)</f>
        <v>#DIV/0!</v>
      </c>
      <c r="N22" s="9">
        <v>8.4460419999999995E-4</v>
      </c>
      <c r="O22" s="12">
        <v>2.3756080000000001E-7</v>
      </c>
      <c r="P22" s="12">
        <f>N22/O22</f>
        <v>3555.3180491057442</v>
      </c>
      <c r="Q22" s="12">
        <f>43/P22</f>
        <v>1.209455790061191E-2</v>
      </c>
    </row>
    <row r="23" spans="1:17" s="9" customFormat="1">
      <c r="A23" s="9">
        <v>2E-3</v>
      </c>
      <c r="B23" s="9">
        <v>0.01</v>
      </c>
      <c r="C23" s="9">
        <f>A23/SQRT(B23)</f>
        <v>0.02</v>
      </c>
      <c r="D23" s="9">
        <f>A23/B23</f>
        <v>0.2</v>
      </c>
      <c r="E23" s="9">
        <v>2.5000000000000001E-2</v>
      </c>
      <c r="F23" s="9">
        <f>H23/A23</f>
        <v>2</v>
      </c>
      <c r="H23" s="9">
        <v>4.0000000000000001E-3</v>
      </c>
      <c r="I23" s="9" t="s">
        <v>19</v>
      </c>
      <c r="J23" s="9" t="e">
        <f t="shared" si="16"/>
        <v>#DIV/0!</v>
      </c>
      <c r="K23" s="9" t="s">
        <v>10</v>
      </c>
      <c r="L23" s="9" t="e">
        <f>($B$2*128)^(1/3)*(2*$B$5^2/$B$1)^(1/12)/G23^(0.25)*SQRT(B23)</f>
        <v>#DIV/0!</v>
      </c>
      <c r="N23" s="9">
        <v>2.8997979999999999E-3</v>
      </c>
      <c r="O23" s="12">
        <v>4.7617660000000002E-7</v>
      </c>
      <c r="P23" s="12">
        <f t="shared" ref="P23:P24" si="18">N23/O23</f>
        <v>6089.7532554098625</v>
      </c>
      <c r="Q23" s="12">
        <f t="shared" ref="Q23:Q24" si="19">43/P23</f>
        <v>7.0610414242647246E-3</v>
      </c>
    </row>
    <row r="24" spans="1:17" s="9" customFormat="1">
      <c r="A24" s="9">
        <v>4.0000000000000001E-3</v>
      </c>
      <c r="B24" s="9">
        <v>0.01</v>
      </c>
      <c r="C24" s="9">
        <f>A24/SQRT(B24)</f>
        <v>0.04</v>
      </c>
      <c r="D24" s="9">
        <f>A24/B24</f>
        <v>0.4</v>
      </c>
      <c r="E24" s="9">
        <v>2.5000000000000001E-2</v>
      </c>
      <c r="F24" s="9">
        <f>H24/A24</f>
        <v>1</v>
      </c>
      <c r="H24" s="9">
        <v>4.0000000000000001E-3</v>
      </c>
      <c r="I24" s="9" t="s">
        <v>19</v>
      </c>
      <c r="J24" s="9" t="e">
        <f t="shared" si="16"/>
        <v>#DIV/0!</v>
      </c>
      <c r="K24" s="9" t="s">
        <v>10</v>
      </c>
      <c r="L24" s="9" t="e">
        <f>($B$2*128)^(1/3)*(2*$B$5^2/$B$1)^(1/12)/G24^(0.25)*SQRT(B24)</f>
        <v>#DIV/0!</v>
      </c>
      <c r="N24" s="9">
        <v>-5.6484009999999999E-3</v>
      </c>
      <c r="O24" s="12">
        <v>9.569007000000001E-7</v>
      </c>
      <c r="P24" s="12">
        <f t="shared" si="18"/>
        <v>-5902.8078880076055</v>
      </c>
      <c r="Q24" s="12">
        <f t="shared" si="19"/>
        <v>-7.2846687230598544E-3</v>
      </c>
    </row>
    <row r="26" spans="1:17" s="4" customFormat="1"/>
    <row r="27" spans="1:17">
      <c r="A27" s="3" t="s">
        <v>0</v>
      </c>
      <c r="B27" s="3" t="s">
        <v>1</v>
      </c>
      <c r="C27" s="3" t="s">
        <v>9</v>
      </c>
      <c r="D27" s="3" t="s">
        <v>13</v>
      </c>
      <c r="E27" s="3" t="s">
        <v>14</v>
      </c>
      <c r="F27" s="3" t="s">
        <v>12</v>
      </c>
      <c r="G27" s="3" t="s">
        <v>7</v>
      </c>
      <c r="H27" s="3" t="s">
        <v>2</v>
      </c>
      <c r="I27" s="3"/>
      <c r="J27" s="3"/>
      <c r="M27" s="1" t="s">
        <v>17</v>
      </c>
      <c r="N27" s="1" t="s">
        <v>21</v>
      </c>
      <c r="Q27" s="1" t="s">
        <v>18</v>
      </c>
    </row>
    <row r="28" spans="1:17">
      <c r="A28" s="1">
        <v>5.0000000000000001E-4</v>
      </c>
      <c r="B28" s="1">
        <v>5.0000000000000001E-3</v>
      </c>
      <c r="C28" s="1">
        <f t="shared" ref="C28" si="20">A28/SQRT(B28)</f>
        <v>7.0710678118654753E-3</v>
      </c>
      <c r="D28" s="1">
        <f t="shared" ref="D28" si="21">A28/B28</f>
        <v>0.1</v>
      </c>
      <c r="E28" s="1">
        <v>2.5000000000000001E-2</v>
      </c>
      <c r="F28" s="1">
        <f t="shared" ref="F28" si="22">H28/A28</f>
        <v>30</v>
      </c>
      <c r="G28" s="1">
        <v>50</v>
      </c>
      <c r="H28" s="1">
        <v>1.4999999999999999E-2</v>
      </c>
      <c r="I28" s="1" t="s">
        <v>19</v>
      </c>
      <c r="J28" s="1">
        <f t="shared" ref="J28:J31" si="23">($B$2*128)^(1/3)*(2*$B$5^2/$B$1)^(1/12)/G28^(0.25)</f>
        <v>8.4811304379028511E-3</v>
      </c>
      <c r="K28" s="1" t="s">
        <v>10</v>
      </c>
      <c r="L28" s="1">
        <f t="shared" ref="L28" si="24">($B$2*128)^(1/3)*(2*$B$5^2/$B$1)^(1/12)/G28^(0.25)*SQRT(B28)</f>
        <v>5.9970648447687396E-4</v>
      </c>
    </row>
    <row r="29" spans="1:17">
      <c r="A29" s="1">
        <v>1E-3</v>
      </c>
      <c r="B29" s="1">
        <v>5.0000000000000001E-3</v>
      </c>
      <c r="C29" s="1">
        <f>A29/SQRT(B29)</f>
        <v>1.4142135623730951E-2</v>
      </c>
      <c r="D29" s="1">
        <f>A29/B29</f>
        <v>0.2</v>
      </c>
      <c r="E29" s="1">
        <v>2.5000000000000001E-2</v>
      </c>
      <c r="F29" s="1">
        <f>H29/A29</f>
        <v>15</v>
      </c>
      <c r="H29" s="1">
        <v>1.4999999999999999E-2</v>
      </c>
      <c r="I29" s="1" t="s">
        <v>19</v>
      </c>
      <c r="J29" s="1" t="e">
        <f t="shared" si="23"/>
        <v>#DIV/0!</v>
      </c>
      <c r="K29" s="1" t="s">
        <v>10</v>
      </c>
      <c r="L29" s="1" t="e">
        <f>($B$2*128)^(1/3)*(2*$B$5^2/$B$1)^(1/12)/G29^(0.25)*SQRT(B29)</f>
        <v>#DIV/0!</v>
      </c>
    </row>
    <row r="30" spans="1:17">
      <c r="A30" s="1">
        <v>2.5000000000000001E-3</v>
      </c>
      <c r="B30" s="1">
        <v>5.0000000000000001E-3</v>
      </c>
      <c r="C30" s="1">
        <f>A30/SQRT(B30)</f>
        <v>3.5355339059327376E-2</v>
      </c>
      <c r="D30" s="1">
        <f>A30/B30</f>
        <v>0.5</v>
      </c>
      <c r="E30" s="1">
        <v>2.5000000000000001E-2</v>
      </c>
      <c r="F30" s="1">
        <f>H30/A30</f>
        <v>6</v>
      </c>
      <c r="H30" s="1">
        <v>1.4999999999999999E-2</v>
      </c>
      <c r="I30" s="1" t="s">
        <v>19</v>
      </c>
      <c r="J30" s="1" t="e">
        <f t="shared" si="23"/>
        <v>#DIV/0!</v>
      </c>
      <c r="K30" s="1" t="s">
        <v>10</v>
      </c>
      <c r="L30" s="1" t="e">
        <f>($B$2*128)^(1/3)*(2*$B$5^2/$B$1)^(1/12)/G30^(0.25)*SQRT(B30)</f>
        <v>#DIV/0!</v>
      </c>
    </row>
    <row r="31" spans="1:17">
      <c r="A31" s="1">
        <v>5.0000000000000001E-3</v>
      </c>
      <c r="B31" s="1">
        <v>5.0000000000000001E-3</v>
      </c>
      <c r="C31" s="1">
        <f>A31/SQRT(B31)</f>
        <v>7.0710678118654752E-2</v>
      </c>
      <c r="D31" s="1">
        <f>A31/B31</f>
        <v>1</v>
      </c>
      <c r="E31" s="1">
        <v>2.5000000000000001E-2</v>
      </c>
      <c r="F31" s="1">
        <f>H31/A31</f>
        <v>3</v>
      </c>
      <c r="H31" s="1">
        <v>1.4999999999999999E-2</v>
      </c>
      <c r="I31" s="1" t="s">
        <v>19</v>
      </c>
      <c r="J31" s="1" t="e">
        <f t="shared" si="23"/>
        <v>#DIV/0!</v>
      </c>
      <c r="K31" s="1" t="s">
        <v>10</v>
      </c>
      <c r="L31" s="1" t="e">
        <f>($B$2*128)^(1/3)*(2*$B$5^2/$B$1)^(1/12)/G31^(0.25)*SQRT(B31)</f>
        <v>#DIV/0!</v>
      </c>
    </row>
    <row r="33" spans="1:17" ht="13.5" customHeight="1">
      <c r="D33" s="10" t="s">
        <v>23</v>
      </c>
    </row>
    <row r="34" spans="1:17" s="7" customFormat="1">
      <c r="A34" s="6" t="s">
        <v>0</v>
      </c>
      <c r="B34" s="6" t="s">
        <v>1</v>
      </c>
      <c r="C34" s="6" t="s">
        <v>9</v>
      </c>
      <c r="D34" s="6" t="s">
        <v>13</v>
      </c>
      <c r="E34" s="6" t="s">
        <v>14</v>
      </c>
      <c r="F34" s="6" t="s">
        <v>12</v>
      </c>
      <c r="G34" s="6" t="s">
        <v>7</v>
      </c>
      <c r="H34" s="6" t="s">
        <v>2</v>
      </c>
      <c r="I34" s="6"/>
      <c r="J34" s="6"/>
      <c r="M34" s="7" t="s">
        <v>17</v>
      </c>
      <c r="N34" s="7" t="s">
        <v>21</v>
      </c>
      <c r="O34" s="7" t="s">
        <v>26</v>
      </c>
      <c r="P34" s="7" t="s">
        <v>25</v>
      </c>
      <c r="Q34" s="7" t="s">
        <v>18</v>
      </c>
    </row>
    <row r="35" spans="1:17" s="7" customFormat="1">
      <c r="A35" s="7">
        <v>5.0000000000000001E-4</v>
      </c>
      <c r="B35" s="7">
        <v>5.0000000000000001E-3</v>
      </c>
      <c r="C35" s="7">
        <f t="shared" ref="C35" si="25">A35/SQRT(B35)</f>
        <v>7.0710678118654753E-3</v>
      </c>
      <c r="D35" s="7">
        <f t="shared" ref="D35" si="26">A35/B35</f>
        <v>0.1</v>
      </c>
      <c r="E35" s="7">
        <v>2.5000000000000001E-2</v>
      </c>
      <c r="F35" s="7">
        <f t="shared" ref="F35" si="27">H35/A35</f>
        <v>20</v>
      </c>
      <c r="G35" s="7">
        <v>50</v>
      </c>
      <c r="H35" s="7">
        <v>0.01</v>
      </c>
      <c r="I35" s="7" t="s">
        <v>19</v>
      </c>
      <c r="J35" s="7">
        <f t="shared" ref="J35:J38" si="28">($B$2*128)^(1/3)*(2*$B$5^2/$B$1)^(1/12)/G35^(0.25)</f>
        <v>8.4811304379028511E-3</v>
      </c>
      <c r="K35" s="7" t="s">
        <v>10</v>
      </c>
      <c r="L35" s="7">
        <f t="shared" ref="L35" si="29">($B$2*128)^(1/3)*(2*$B$5^2/$B$1)^(1/12)/G35^(0.25)*SQRT(B35)</f>
        <v>5.9970648447687396E-4</v>
      </c>
      <c r="N35" s="13">
        <v>1.593304E-6</v>
      </c>
      <c r="O35" s="13">
        <v>2.770332E-7</v>
      </c>
      <c r="P35" s="13">
        <f>N35/O35</f>
        <v>5.7513106732333883</v>
      </c>
      <c r="Q35" s="13">
        <f>43/P35</f>
        <v>7.4765566395364607</v>
      </c>
    </row>
    <row r="36" spans="1:17" s="7" customFormat="1">
      <c r="A36" s="7">
        <v>1E-3</v>
      </c>
      <c r="B36" s="7">
        <v>5.0000000000000001E-3</v>
      </c>
      <c r="C36" s="7">
        <f>A36/SQRT(B36)</f>
        <v>1.4142135623730951E-2</v>
      </c>
      <c r="D36" s="7">
        <f>A36/B36</f>
        <v>0.2</v>
      </c>
      <c r="E36" s="7">
        <v>2.5000000000000001E-2</v>
      </c>
      <c r="F36" s="7">
        <f>H36/A36</f>
        <v>10</v>
      </c>
      <c r="H36" s="7">
        <v>0.01</v>
      </c>
      <c r="I36" s="7" t="s">
        <v>19</v>
      </c>
      <c r="J36" s="7" t="e">
        <f t="shared" si="28"/>
        <v>#DIV/0!</v>
      </c>
      <c r="K36" s="7" t="s">
        <v>10</v>
      </c>
      <c r="L36" s="7" t="e">
        <f>($B$2*128)^(1/3)*(2*$B$5^2/$B$1)^(1/12)/G36^(0.25)*SQRT(B36)</f>
        <v>#DIV/0!</v>
      </c>
    </row>
    <row r="37" spans="1:17" s="7" customFormat="1">
      <c r="A37" s="7">
        <v>2.5000000000000001E-3</v>
      </c>
      <c r="B37" s="7">
        <v>5.0000000000000001E-3</v>
      </c>
      <c r="C37" s="7">
        <f>A37/SQRT(B37)</f>
        <v>3.5355339059327376E-2</v>
      </c>
      <c r="D37" s="7">
        <f>A37/B37</f>
        <v>0.5</v>
      </c>
      <c r="E37" s="7">
        <v>2.5000000000000001E-2</v>
      </c>
      <c r="F37" s="7">
        <f>H37/A37</f>
        <v>4</v>
      </c>
      <c r="H37" s="7">
        <v>0.01</v>
      </c>
      <c r="I37" s="7" t="s">
        <v>19</v>
      </c>
      <c r="J37" s="7" t="e">
        <f t="shared" si="28"/>
        <v>#DIV/0!</v>
      </c>
      <c r="K37" s="7" t="s">
        <v>10</v>
      </c>
      <c r="L37" s="7" t="e">
        <f>($B$2*128)^(1/3)*(2*$B$5^2/$B$1)^(1/12)/G37^(0.25)*SQRT(B37)</f>
        <v>#DIV/0!</v>
      </c>
      <c r="N37" s="13">
        <v>9.492325E-4</v>
      </c>
      <c r="O37" s="13">
        <v>1.3883469999999999E-6</v>
      </c>
      <c r="P37" s="13">
        <f>N37/O37</f>
        <v>683.71415791585252</v>
      </c>
      <c r="Q37" s="13">
        <f>43/P37</f>
        <v>6.2891779411261201E-2</v>
      </c>
    </row>
    <row r="38" spans="1:17" s="7" customFormat="1">
      <c r="A38" s="7">
        <v>5.0000000000000001E-3</v>
      </c>
      <c r="B38" s="7">
        <v>5.0000000000000001E-3</v>
      </c>
      <c r="C38" s="7">
        <f>A38/SQRT(B38)</f>
        <v>7.0710678118654752E-2</v>
      </c>
      <c r="D38" s="7">
        <f>A38/B38</f>
        <v>1</v>
      </c>
      <c r="E38" s="7">
        <v>2.5000000000000001E-2</v>
      </c>
      <c r="F38" s="7">
        <f>H38/A38</f>
        <v>2</v>
      </c>
      <c r="H38" s="7">
        <v>0.01</v>
      </c>
      <c r="I38" s="7" t="s">
        <v>19</v>
      </c>
      <c r="J38" s="7" t="e">
        <f t="shared" si="28"/>
        <v>#DIV/0!</v>
      </c>
      <c r="K38" s="7" t="s">
        <v>10</v>
      </c>
      <c r="L38" s="7" t="e">
        <f>($B$2*128)^(1/3)*(2*$B$5^2/$B$1)^(1/12)/G38^(0.25)*SQRT(B38)</f>
        <v>#DIV/0!</v>
      </c>
    </row>
    <row r="40" spans="1:17">
      <c r="A40" s="3" t="s">
        <v>0</v>
      </c>
      <c r="B40" s="3" t="s">
        <v>1</v>
      </c>
      <c r="C40" s="3" t="s">
        <v>9</v>
      </c>
      <c r="D40" s="3" t="s">
        <v>13</v>
      </c>
      <c r="E40" s="3" t="s">
        <v>14</v>
      </c>
      <c r="F40" s="3" t="s">
        <v>12</v>
      </c>
      <c r="G40" s="3" t="s">
        <v>7</v>
      </c>
      <c r="H40" s="3" t="s">
        <v>2</v>
      </c>
      <c r="I40" s="3"/>
      <c r="J40" s="3"/>
      <c r="M40" s="1" t="s">
        <v>17</v>
      </c>
      <c r="N40" s="1" t="s">
        <v>21</v>
      </c>
      <c r="Q40" s="1" t="s">
        <v>18</v>
      </c>
    </row>
    <row r="41" spans="1:17">
      <c r="A41" s="1">
        <v>5.0000000000000001E-4</v>
      </c>
      <c r="B41" s="1">
        <v>5.0000000000000001E-3</v>
      </c>
      <c r="C41" s="1">
        <f t="shared" ref="C41" si="30">A41/SQRT(B41)</f>
        <v>7.0710678118654753E-3</v>
      </c>
      <c r="D41" s="1">
        <f t="shared" ref="D41" si="31">A41/B41</f>
        <v>0.1</v>
      </c>
      <c r="E41" s="1">
        <v>2.5000000000000001E-2</v>
      </c>
      <c r="F41" s="1">
        <f t="shared" ref="F41" si="32">H41/A41</f>
        <v>16</v>
      </c>
      <c r="G41" s="1">
        <v>50</v>
      </c>
      <c r="H41" s="1">
        <v>8.0000000000000002E-3</v>
      </c>
      <c r="I41" s="1" t="s">
        <v>19</v>
      </c>
      <c r="J41" s="1">
        <f t="shared" ref="J41:J44" si="33">($B$2*128)^(1/3)*(2*$B$5^2/$B$1)^(1/12)/G41^(0.25)</f>
        <v>8.4811304379028511E-3</v>
      </c>
      <c r="K41" s="1" t="s">
        <v>10</v>
      </c>
      <c r="L41" s="1">
        <f t="shared" ref="L41" si="34">($B$2*128)^(1/3)*(2*$B$5^2/$B$1)^(1/12)/G41^(0.25)*SQRT(B41)</f>
        <v>5.9970648447687396E-4</v>
      </c>
    </row>
    <row r="42" spans="1:17">
      <c r="A42" s="1">
        <v>1E-3</v>
      </c>
      <c r="B42" s="1">
        <v>5.0000000000000001E-3</v>
      </c>
      <c r="C42" s="1">
        <f>A42/SQRT(B42)</f>
        <v>1.4142135623730951E-2</v>
      </c>
      <c r="D42" s="1">
        <f>A42/B42</f>
        <v>0.2</v>
      </c>
      <c r="E42" s="1">
        <v>2.5000000000000001E-2</v>
      </c>
      <c r="F42" s="1">
        <f>H42/A42</f>
        <v>8</v>
      </c>
      <c r="H42" s="1">
        <v>8.0000000000000002E-3</v>
      </c>
      <c r="I42" s="1" t="s">
        <v>19</v>
      </c>
      <c r="J42" s="1" t="e">
        <f t="shared" si="33"/>
        <v>#DIV/0!</v>
      </c>
      <c r="K42" s="1" t="s">
        <v>10</v>
      </c>
      <c r="L42" s="1" t="e">
        <f>($B$2*128)^(1/3)*(2*$B$5^2/$B$1)^(1/12)/G42^(0.25)*SQRT(B42)</f>
        <v>#DIV/0!</v>
      </c>
    </row>
    <row r="43" spans="1:17">
      <c r="A43" s="1">
        <v>2E-3</v>
      </c>
      <c r="B43" s="1">
        <v>5.0000000000000001E-3</v>
      </c>
      <c r="C43" s="1">
        <f>A43/SQRT(B43)</f>
        <v>2.8284271247461901E-2</v>
      </c>
      <c r="D43" s="1">
        <f>A43/B43</f>
        <v>0.4</v>
      </c>
      <c r="E43" s="1">
        <v>2.5000000000000001E-2</v>
      </c>
      <c r="F43" s="1">
        <f>H43/A43</f>
        <v>4</v>
      </c>
      <c r="H43" s="1">
        <v>8.0000000000000002E-3</v>
      </c>
      <c r="I43" s="1" t="s">
        <v>19</v>
      </c>
      <c r="J43" s="1" t="e">
        <f t="shared" si="33"/>
        <v>#DIV/0!</v>
      </c>
      <c r="K43" s="1" t="s">
        <v>10</v>
      </c>
      <c r="L43" s="1" t="e">
        <f>($B$2*128)^(1/3)*(2*$B$5^2/$B$1)^(1/12)/G43^(0.25)*SQRT(B43)</f>
        <v>#DIV/0!</v>
      </c>
    </row>
    <row r="44" spans="1:17">
      <c r="A44" s="1">
        <v>4.0000000000000001E-3</v>
      </c>
      <c r="B44" s="1">
        <v>5.0000000000000001E-3</v>
      </c>
      <c r="C44" s="1">
        <f>A44/SQRT(B44)</f>
        <v>5.6568542494923803E-2</v>
      </c>
      <c r="D44" s="1">
        <f>A44/B44</f>
        <v>0.8</v>
      </c>
      <c r="E44" s="1">
        <v>2.5000000000000001E-2</v>
      </c>
      <c r="F44" s="1">
        <f>H44/A44</f>
        <v>2</v>
      </c>
      <c r="H44" s="1">
        <v>8.0000000000000002E-3</v>
      </c>
      <c r="I44" s="1" t="s">
        <v>19</v>
      </c>
      <c r="J44" s="1" t="e">
        <f t="shared" si="33"/>
        <v>#DIV/0!</v>
      </c>
      <c r="K44" s="1" t="s">
        <v>10</v>
      </c>
      <c r="L44" s="1" t="e">
        <f>($B$2*128)^(1/3)*(2*$B$5^2/$B$1)^(1/12)/G44^(0.25)*SQRT(B44)</f>
        <v>#DIV/0!</v>
      </c>
    </row>
    <row r="46" spans="1:17" s="4" customFormat="1"/>
    <row r="47" spans="1:17" s="5" customFormat="1">
      <c r="E47" s="11" t="s">
        <v>24</v>
      </c>
    </row>
    <row r="48" spans="1:17" s="9" customFormat="1">
      <c r="A48" s="8" t="s">
        <v>0</v>
      </c>
      <c r="B48" s="8" t="s">
        <v>1</v>
      </c>
      <c r="C48" s="8" t="s">
        <v>9</v>
      </c>
      <c r="D48" s="8" t="s">
        <v>13</v>
      </c>
      <c r="E48" s="8" t="s">
        <v>14</v>
      </c>
      <c r="F48" s="8" t="s">
        <v>12</v>
      </c>
      <c r="G48" s="8" t="s">
        <v>7</v>
      </c>
      <c r="H48" s="8" t="s">
        <v>2</v>
      </c>
      <c r="I48" s="8"/>
      <c r="J48" s="8"/>
      <c r="M48" s="9" t="s">
        <v>17</v>
      </c>
      <c r="N48" s="9" t="s">
        <v>21</v>
      </c>
      <c r="O48" s="9" t="s">
        <v>26</v>
      </c>
      <c r="P48" s="9" t="s">
        <v>25</v>
      </c>
      <c r="Q48" s="9" t="s">
        <v>18</v>
      </c>
    </row>
    <row r="49" spans="1:17" s="9" customFormat="1">
      <c r="A49" s="9">
        <v>5.0000000000000001E-4</v>
      </c>
      <c r="B49" s="9">
        <v>0.01</v>
      </c>
      <c r="C49" s="9">
        <f t="shared" ref="C49" si="35">A49/SQRT(B49)</f>
        <v>5.0000000000000001E-3</v>
      </c>
      <c r="D49" s="9">
        <f t="shared" ref="D49" si="36">A49/B49</f>
        <v>0.05</v>
      </c>
      <c r="E49" s="9">
        <v>5.0000000000000001E-3</v>
      </c>
      <c r="F49" s="9">
        <f t="shared" ref="F49" si="37">H49/A49</f>
        <v>30</v>
      </c>
      <c r="G49" s="9">
        <v>50</v>
      </c>
      <c r="H49" s="9">
        <v>1.4999999999999999E-2</v>
      </c>
      <c r="I49" s="9" t="s">
        <v>19</v>
      </c>
      <c r="J49" s="9">
        <f t="shared" ref="J49:J52" si="38">($B$2*128)^(1/3)*(2*$B$5^2/$B$1)^(1/12)/G49^(0.25)</f>
        <v>8.4811304379028511E-3</v>
      </c>
      <c r="K49" s="9" t="s">
        <v>10</v>
      </c>
      <c r="L49" s="9">
        <f t="shared" ref="L49" si="39">($B$2*128)^(1/3)*(2*$B$5^2/$B$1)^(1/12)/G49^(0.25)*SQRT(B49)</f>
        <v>8.4811304379028515E-4</v>
      </c>
      <c r="N49" s="12">
        <v>-1.016195E-11</v>
      </c>
      <c r="O49" s="12">
        <v>1.3534949999999999E-7</v>
      </c>
      <c r="P49" s="12">
        <f>N49/O49</f>
        <v>-7.5079331656193791E-5</v>
      </c>
    </row>
    <row r="50" spans="1:17" s="9" customFormat="1">
      <c r="A50" s="9">
        <v>1E-3</v>
      </c>
      <c r="B50" s="9">
        <v>0.01</v>
      </c>
      <c r="C50" s="9">
        <f>A50/SQRT(B50)</f>
        <v>0.01</v>
      </c>
      <c r="D50" s="9">
        <f>A50/B50</f>
        <v>0.1</v>
      </c>
      <c r="E50" s="9">
        <v>5.0000000000000001E-3</v>
      </c>
      <c r="F50" s="9">
        <f>H50/A50</f>
        <v>15</v>
      </c>
      <c r="H50" s="9">
        <v>1.4999999999999999E-2</v>
      </c>
      <c r="I50" s="9" t="s">
        <v>19</v>
      </c>
      <c r="J50" s="9" t="e">
        <f t="shared" si="38"/>
        <v>#DIV/0!</v>
      </c>
      <c r="K50" s="9" t="s">
        <v>10</v>
      </c>
      <c r="L50" s="9" t="e">
        <f>($B$2*128)^(1/3)*(2*$B$5^2/$B$1)^(1/12)/G50^(0.25)*SQRT(B50)</f>
        <v>#DIV/0!</v>
      </c>
      <c r="N50" s="12">
        <v>1.0872859999999999E-8</v>
      </c>
      <c r="O50" s="12">
        <v>2.708475E-7</v>
      </c>
      <c r="P50" s="12">
        <f t="shared" ref="P50:P52" si="40">N50/O50</f>
        <v>4.0143844783503628E-2</v>
      </c>
    </row>
    <row r="51" spans="1:17" s="9" customFormat="1">
      <c r="A51" s="9">
        <v>2.5000000000000001E-3</v>
      </c>
      <c r="B51" s="9">
        <v>0.01</v>
      </c>
      <c r="C51" s="9">
        <f>A51/SQRT(B51)</f>
        <v>2.4999999999999998E-2</v>
      </c>
      <c r="D51" s="9">
        <f>A51/B51</f>
        <v>0.25</v>
      </c>
      <c r="E51" s="9">
        <v>5.0000000000000001E-3</v>
      </c>
      <c r="F51" s="9">
        <f>H51/A51</f>
        <v>6</v>
      </c>
      <c r="H51" s="9">
        <v>1.4999999999999999E-2</v>
      </c>
      <c r="I51" s="9" t="s">
        <v>19</v>
      </c>
      <c r="J51" s="9" t="e">
        <f t="shared" si="38"/>
        <v>#DIV/0!</v>
      </c>
      <c r="K51" s="9" t="s">
        <v>10</v>
      </c>
      <c r="L51" s="9" t="e">
        <f>($B$2*128)^(1/3)*(2*$B$5^2/$B$1)^(1/12)/G51^(0.25)*SQRT(B51)</f>
        <v>#DIV/0!</v>
      </c>
      <c r="N51" s="12">
        <v>3.202078E-6</v>
      </c>
      <c r="O51" s="12">
        <v>6.7831640000000002E-7</v>
      </c>
      <c r="P51" s="12">
        <f t="shared" si="40"/>
        <v>4.7206259497780092</v>
      </c>
    </row>
    <row r="52" spans="1:17" s="9" customFormat="1">
      <c r="A52" s="9">
        <v>5.0000000000000001E-3</v>
      </c>
      <c r="B52" s="9">
        <v>0.01</v>
      </c>
      <c r="C52" s="9">
        <f>A52/SQRT(B52)</f>
        <v>4.9999999999999996E-2</v>
      </c>
      <c r="D52" s="9">
        <f>A52/B52</f>
        <v>0.5</v>
      </c>
      <c r="E52" s="9">
        <v>5.0000000000000001E-3</v>
      </c>
      <c r="F52" s="9">
        <f>H52/A52</f>
        <v>3</v>
      </c>
      <c r="H52" s="9">
        <v>1.4999999999999999E-2</v>
      </c>
      <c r="I52" s="9" t="s">
        <v>19</v>
      </c>
      <c r="J52" s="9" t="e">
        <f t="shared" si="38"/>
        <v>#DIV/0!</v>
      </c>
      <c r="K52" s="9" t="s">
        <v>10</v>
      </c>
      <c r="L52" s="9" t="e">
        <f>($B$2*128)^(1/3)*(2*$B$5^2/$B$1)^(1/12)/G52^(0.25)*SQRT(B52)</f>
        <v>#DIV/0!</v>
      </c>
      <c r="N52" s="12">
        <v>-1.280705E-6</v>
      </c>
      <c r="O52" s="12">
        <v>1.362621E-6</v>
      </c>
      <c r="P52" s="12">
        <f t="shared" si="40"/>
        <v>-0.93988350392368825</v>
      </c>
    </row>
    <row r="53" spans="1:17" s="9" customFormat="1">
      <c r="N53" s="12"/>
      <c r="O53" s="12"/>
      <c r="P53" s="12"/>
    </row>
    <row r="54" spans="1:17" s="9" customFormat="1">
      <c r="A54" s="8" t="s">
        <v>0</v>
      </c>
      <c r="B54" s="8" t="s">
        <v>1</v>
      </c>
      <c r="C54" s="8" t="s">
        <v>9</v>
      </c>
      <c r="D54" s="8" t="s">
        <v>13</v>
      </c>
      <c r="E54" s="8" t="s">
        <v>14</v>
      </c>
      <c r="F54" s="8" t="s">
        <v>12</v>
      </c>
      <c r="G54" s="8" t="s">
        <v>7</v>
      </c>
      <c r="H54" s="8" t="s">
        <v>2</v>
      </c>
      <c r="I54" s="8"/>
      <c r="J54" s="8"/>
      <c r="M54" s="9" t="s">
        <v>17</v>
      </c>
      <c r="N54" s="9" t="s">
        <v>21</v>
      </c>
      <c r="O54" s="9" t="s">
        <v>26</v>
      </c>
      <c r="P54" s="9" t="s">
        <v>25</v>
      </c>
      <c r="Q54" s="9" t="s">
        <v>18</v>
      </c>
    </row>
    <row r="55" spans="1:17" s="9" customFormat="1">
      <c r="A55" s="9">
        <v>5.0000000000000001E-4</v>
      </c>
      <c r="B55" s="9">
        <v>0.01</v>
      </c>
      <c r="C55" s="9">
        <f t="shared" ref="C55" si="41">A55/SQRT(B55)</f>
        <v>5.0000000000000001E-3</v>
      </c>
      <c r="D55" s="9">
        <f t="shared" ref="D55" si="42">A55/B55</f>
        <v>0.05</v>
      </c>
      <c r="E55" s="9">
        <v>1.4999999999999999E-2</v>
      </c>
      <c r="F55" s="9">
        <f t="shared" ref="F55" si="43">H55/A55</f>
        <v>30</v>
      </c>
      <c r="G55" s="9">
        <v>50</v>
      </c>
      <c r="H55" s="9">
        <v>1.4999999999999999E-2</v>
      </c>
      <c r="I55" s="9" t="s">
        <v>19</v>
      </c>
      <c r="J55" s="9">
        <f t="shared" ref="J55:J58" si="44">($B$2*128)^(1/3)*(2*$B$5^2/$B$1)^(1/12)/G55^(0.25)</f>
        <v>8.4811304379028511E-3</v>
      </c>
      <c r="K55" s="9" t="s">
        <v>10</v>
      </c>
      <c r="L55" s="9">
        <f t="shared" ref="L55" si="45">($B$2*128)^(1/3)*(2*$B$5^2/$B$1)^(1/12)/G55^(0.25)*SQRT(B55)</f>
        <v>8.4811304379028515E-4</v>
      </c>
      <c r="N55" s="12">
        <v>4.7913650000000005E-7</v>
      </c>
      <c r="O55" s="12">
        <v>2.8990459999999998E-7</v>
      </c>
      <c r="P55" s="12">
        <f>N55/O55</f>
        <v>1.6527385215688197</v>
      </c>
    </row>
    <row r="56" spans="1:17" s="9" customFormat="1">
      <c r="A56" s="9">
        <v>1E-3</v>
      </c>
      <c r="B56" s="9">
        <v>0.01</v>
      </c>
      <c r="C56" s="9">
        <f>A56/SQRT(B56)</f>
        <v>0.01</v>
      </c>
      <c r="D56" s="9">
        <f>A56/B56</f>
        <v>0.1</v>
      </c>
      <c r="E56" s="9">
        <v>1.4999999999999999E-2</v>
      </c>
      <c r="F56" s="9">
        <f>H56/A56</f>
        <v>15</v>
      </c>
      <c r="H56" s="9">
        <v>1.4999999999999999E-2</v>
      </c>
      <c r="I56" s="9" t="s">
        <v>19</v>
      </c>
      <c r="J56" s="9" t="e">
        <f t="shared" si="44"/>
        <v>#DIV/0!</v>
      </c>
      <c r="K56" s="9" t="s">
        <v>10</v>
      </c>
      <c r="L56" s="9" t="e">
        <f>($B$2*128)^(1/3)*(2*$B$5^2/$B$1)^(1/12)/G56^(0.25)*SQRT(B56)</f>
        <v>#DIV/0!</v>
      </c>
      <c r="N56" s="12">
        <v>-1.5047909999999999E-6</v>
      </c>
      <c r="O56" s="12">
        <v>5.8012979999999996E-7</v>
      </c>
      <c r="P56" s="12">
        <f t="shared" ref="P56:P58" si="46">N56/O56</f>
        <v>-2.5938867474141132</v>
      </c>
    </row>
    <row r="57" spans="1:17" s="9" customFormat="1">
      <c r="A57" s="9">
        <v>2.5000000000000001E-3</v>
      </c>
      <c r="B57" s="9">
        <v>0.01</v>
      </c>
      <c r="C57" s="9">
        <f>A57/SQRT(B57)</f>
        <v>2.4999999999999998E-2</v>
      </c>
      <c r="D57" s="9">
        <f>A57/B57</f>
        <v>0.25</v>
      </c>
      <c r="E57" s="9">
        <v>1.4999999999999999E-2</v>
      </c>
      <c r="F57" s="9">
        <f>H57/A57</f>
        <v>6</v>
      </c>
      <c r="H57" s="9">
        <v>1.4999999999999999E-2</v>
      </c>
      <c r="I57" s="9" t="s">
        <v>19</v>
      </c>
      <c r="J57" s="9" t="e">
        <f t="shared" si="44"/>
        <v>#DIV/0!</v>
      </c>
      <c r="K57" s="9" t="s">
        <v>10</v>
      </c>
      <c r="L57" s="9" t="e">
        <f>($B$2*128)^(1/3)*(2*$B$5^2/$B$1)^(1/12)/G57^(0.25)*SQRT(B57)</f>
        <v>#DIV/0!</v>
      </c>
      <c r="N57" s="9">
        <v>2.076301E-4</v>
      </c>
      <c r="O57" s="12">
        <v>1.452166E-6</v>
      </c>
      <c r="P57" s="12">
        <f t="shared" si="46"/>
        <v>142.97959048758889</v>
      </c>
    </row>
    <row r="58" spans="1:17" s="9" customFormat="1">
      <c r="A58" s="9">
        <v>5.0000000000000001E-3</v>
      </c>
      <c r="B58" s="9">
        <v>0.01</v>
      </c>
      <c r="C58" s="9">
        <f>A58/SQRT(B58)</f>
        <v>4.9999999999999996E-2</v>
      </c>
      <c r="D58" s="9">
        <f>A58/B58</f>
        <v>0.5</v>
      </c>
      <c r="E58" s="9">
        <v>1.4999999999999999E-2</v>
      </c>
      <c r="F58" s="9">
        <f>H58/A58</f>
        <v>3</v>
      </c>
      <c r="H58" s="9">
        <v>1.4999999999999999E-2</v>
      </c>
      <c r="I58" s="9" t="s">
        <v>19</v>
      </c>
      <c r="J58" s="9" t="e">
        <f t="shared" si="44"/>
        <v>#DIV/0!</v>
      </c>
      <c r="K58" s="9" t="s">
        <v>10</v>
      </c>
      <c r="L58" s="9" t="e">
        <f>($B$2*128)^(1/3)*(2*$B$5^2/$B$1)^(1/12)/G58^(0.25)*SQRT(B58)</f>
        <v>#DIV/0!</v>
      </c>
      <c r="N58" s="9">
        <v>5.0253709999999998E-4</v>
      </c>
      <c r="O58" s="12">
        <v>2.9111540000000002E-6</v>
      </c>
      <c r="P58" s="12">
        <f t="shared" si="46"/>
        <v>172.62470484213475</v>
      </c>
    </row>
    <row r="59" spans="1:17" s="9" customFormat="1" ht="13.5" customHeight="1"/>
    <row r="60" spans="1:17" s="9" customFormat="1">
      <c r="A60" s="8" t="s">
        <v>0</v>
      </c>
      <c r="B60" s="8" t="s">
        <v>1</v>
      </c>
      <c r="C60" s="8" t="s">
        <v>9</v>
      </c>
      <c r="D60" s="8" t="s">
        <v>13</v>
      </c>
      <c r="E60" s="8" t="s">
        <v>14</v>
      </c>
      <c r="F60" s="8" t="s">
        <v>12</v>
      </c>
      <c r="G60" s="8" t="s">
        <v>7</v>
      </c>
      <c r="H60" s="8" t="s">
        <v>2</v>
      </c>
      <c r="I60" s="8"/>
      <c r="J60" s="8"/>
      <c r="M60" s="9" t="s">
        <v>17</v>
      </c>
      <c r="N60" s="9" t="s">
        <v>21</v>
      </c>
      <c r="O60" s="9" t="s">
        <v>26</v>
      </c>
      <c r="P60" s="9" t="s">
        <v>25</v>
      </c>
      <c r="Q60" s="9" t="s">
        <v>18</v>
      </c>
    </row>
    <row r="61" spans="1:17" s="9" customFormat="1">
      <c r="A61" s="9">
        <v>5.0000000000000001E-4</v>
      </c>
      <c r="B61" s="9">
        <v>0.01</v>
      </c>
      <c r="C61" s="9">
        <f t="shared" ref="C61" si="47">A61/SQRT(B61)</f>
        <v>5.0000000000000001E-3</v>
      </c>
      <c r="D61" s="9">
        <f t="shared" ref="D61" si="48">A61/B61</f>
        <v>0.05</v>
      </c>
      <c r="E61" s="9">
        <v>0.05</v>
      </c>
      <c r="F61" s="9">
        <f t="shared" ref="F61" si="49">H61/A61</f>
        <v>30</v>
      </c>
      <c r="G61" s="9">
        <v>50</v>
      </c>
      <c r="H61" s="9">
        <v>1.4999999999999999E-2</v>
      </c>
      <c r="I61" s="9" t="s">
        <v>19</v>
      </c>
      <c r="J61" s="9">
        <f t="shared" ref="J61:J64" si="50">($B$2*128)^(1/3)*(2*$B$5^2/$B$1)^(1/12)/G61^(0.25)</f>
        <v>8.4811304379028511E-3</v>
      </c>
      <c r="K61" s="9" t="s">
        <v>10</v>
      </c>
      <c r="L61" s="9">
        <f t="shared" ref="L61" si="51">($B$2*128)^(1/3)*(2*$B$5^2/$B$1)^(1/12)/G61^(0.25)*SQRT(B61)</f>
        <v>8.4811304379028515E-4</v>
      </c>
      <c r="N61" s="9">
        <v>-3.1495850000000001E-4</v>
      </c>
      <c r="O61" s="12">
        <v>8.3090790000000003E-7</v>
      </c>
      <c r="P61" s="12">
        <f t="shared" ref="P61:P62" si="52">N61/O61</f>
        <v>-379.05344262583134</v>
      </c>
    </row>
    <row r="62" spans="1:17" s="9" customFormat="1">
      <c r="A62" s="9">
        <v>1E-3</v>
      </c>
      <c r="B62" s="9">
        <v>0.01</v>
      </c>
      <c r="C62" s="9">
        <f>A62/SQRT(B62)</f>
        <v>0.01</v>
      </c>
      <c r="D62" s="9">
        <f>A62/B62</f>
        <v>0.1</v>
      </c>
      <c r="E62" s="9">
        <v>0.05</v>
      </c>
      <c r="F62" s="9">
        <f>H62/A62</f>
        <v>15</v>
      </c>
      <c r="H62" s="9">
        <v>1.4999999999999999E-2</v>
      </c>
      <c r="I62" s="9" t="s">
        <v>19</v>
      </c>
      <c r="J62" s="9" t="e">
        <f t="shared" si="50"/>
        <v>#DIV/0!</v>
      </c>
      <c r="K62" s="9" t="s">
        <v>10</v>
      </c>
      <c r="L62" s="9" t="e">
        <f>($B$2*128)^(1/3)*(2*$B$5^2/$B$1)^(1/12)/G62^(0.25)*SQRT(B62)</f>
        <v>#DIV/0!</v>
      </c>
      <c r="N62" s="9">
        <v>1.846346</v>
      </c>
      <c r="O62" s="12">
        <v>1.662456E-6</v>
      </c>
      <c r="P62" s="12">
        <f t="shared" si="52"/>
        <v>1110613.4538297555</v>
      </c>
      <c r="Q62" s="12">
        <f>43/P62</f>
        <v>3.8717341170073213E-5</v>
      </c>
    </row>
    <row r="63" spans="1:17" s="9" customFormat="1">
      <c r="A63" s="9">
        <v>2.5000000000000001E-3</v>
      </c>
      <c r="B63" s="9">
        <v>0.01</v>
      </c>
      <c r="C63" s="9">
        <f>A63/SQRT(B63)</f>
        <v>2.4999999999999998E-2</v>
      </c>
      <c r="D63" s="9">
        <f>A63/B63</f>
        <v>0.25</v>
      </c>
      <c r="E63" s="9">
        <v>0.05</v>
      </c>
      <c r="F63" s="9">
        <f>H63/A63</f>
        <v>6</v>
      </c>
      <c r="H63" s="9">
        <v>1.4999999999999999E-2</v>
      </c>
      <c r="I63" s="9" t="s">
        <v>19</v>
      </c>
      <c r="J63" s="9" t="e">
        <f t="shared" si="50"/>
        <v>#DIV/0!</v>
      </c>
      <c r="K63" s="9" t="s">
        <v>10</v>
      </c>
      <c r="L63" s="9" t="e">
        <f>($B$2*128)^(1/3)*(2*$B$5^2/$B$1)^(1/12)/G63^(0.25)*SQRT(B63)</f>
        <v>#DIV/0!</v>
      </c>
      <c r="N63" s="12">
        <v>3.0123440000000001E-3</v>
      </c>
      <c r="O63" s="12">
        <v>4.1606569999999997E-6</v>
      </c>
      <c r="P63" s="12">
        <f>N63/O63</f>
        <v>724.00680950148023</v>
      </c>
    </row>
    <row r="64" spans="1:17" s="9" customFormat="1">
      <c r="A64" s="9">
        <v>5.0000000000000001E-3</v>
      </c>
      <c r="B64" s="9">
        <v>0.01</v>
      </c>
      <c r="C64" s="9">
        <f>A64/SQRT(B64)</f>
        <v>4.9999999999999996E-2</v>
      </c>
      <c r="D64" s="9">
        <f>A64/B64</f>
        <v>0.5</v>
      </c>
      <c r="E64" s="9">
        <v>0.05</v>
      </c>
      <c r="F64" s="9">
        <f>H64/A64</f>
        <v>3</v>
      </c>
      <c r="H64" s="9">
        <v>1.4999999999999999E-2</v>
      </c>
      <c r="I64" s="9" t="s">
        <v>19</v>
      </c>
      <c r="J64" s="9" t="e">
        <f t="shared" si="50"/>
        <v>#DIV/0!</v>
      </c>
      <c r="K64" s="9" t="s">
        <v>10</v>
      </c>
      <c r="L64" s="9" t="e">
        <f>($B$2*128)^(1/3)*(2*$B$5^2/$B$1)^(1/12)/G64^(0.25)*SQRT(B64)</f>
        <v>#DIV/0!</v>
      </c>
      <c r="N64" s="9">
        <v>7.3473499999999999E-3</v>
      </c>
      <c r="O64" s="12">
        <v>8.3363209999999992E-6</v>
      </c>
      <c r="P64" s="12">
        <f>N64/O64</f>
        <v>881.36601265714228</v>
      </c>
    </row>
    <row r="65" s="9" customFormat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9"/>
  <sheetViews>
    <sheetView workbookViewId="0">
      <selection activeCell="A8" sqref="A8:H12"/>
    </sheetView>
  </sheetViews>
  <sheetFormatPr defaultRowHeight="15"/>
  <cols>
    <col min="1" max="1" width="9.140625" style="1"/>
    <col min="2" max="2" width="14.140625" style="1" customWidth="1"/>
    <col min="3" max="4" width="16.7109375" style="1" customWidth="1"/>
    <col min="5" max="5" width="11.42578125" style="1" customWidth="1"/>
    <col min="6" max="6" width="9.140625" style="1" customWidth="1"/>
    <col min="7" max="7" width="6.42578125" style="1" customWidth="1"/>
    <col min="8" max="8" width="10.7109375" style="1" customWidth="1"/>
    <col min="9" max="9" width="12.42578125" style="1" customWidth="1"/>
    <col min="10" max="11" width="12.7109375" style="1" customWidth="1"/>
    <col min="12" max="12" width="9.140625" style="1"/>
    <col min="13" max="13" width="14" style="1" customWidth="1"/>
    <col min="14" max="17" width="13.7109375" style="1" customWidth="1"/>
    <col min="18" max="20" width="9.140625" style="1"/>
    <col min="21" max="21" width="13" style="1" customWidth="1"/>
    <col min="22" max="23" width="9.140625" style="1" customWidth="1"/>
    <col min="24" max="28" width="9.140625" style="1"/>
    <col min="29" max="29" width="15.28515625" style="1" customWidth="1"/>
    <col min="30" max="16384" width="9.140625" style="1"/>
  </cols>
  <sheetData>
    <row r="1" spans="1:31">
      <c r="A1" s="1" t="s">
        <v>3</v>
      </c>
      <c r="B1" s="1">
        <v>1.2250000000000001</v>
      </c>
      <c r="C1" s="1" t="s">
        <v>11</v>
      </c>
    </row>
    <row r="2" spans="1:31">
      <c r="A2" s="1" t="s">
        <v>4</v>
      </c>
      <c r="B2" s="2">
        <v>1.7893999999999998E-5</v>
      </c>
      <c r="C2" s="1" t="s">
        <v>16</v>
      </c>
      <c r="E2" s="1">
        <f>E9/H9</f>
        <v>1</v>
      </c>
      <c r="Q2" s="1">
        <f>D9</f>
        <v>0.05</v>
      </c>
      <c r="R2" s="1">
        <f>-1*(1.27-V9)/1.27</f>
        <v>1.3235433070866141</v>
      </c>
    </row>
    <row r="3" spans="1:31">
      <c r="A3" s="1" t="s">
        <v>5</v>
      </c>
      <c r="B3" s="1">
        <v>1006.43</v>
      </c>
      <c r="C3" s="1" t="s">
        <v>11</v>
      </c>
      <c r="Q3" s="1">
        <f t="shared" ref="Q3:Q5" si="0">D10</f>
        <v>0.1</v>
      </c>
      <c r="R3" s="1">
        <f t="shared" ref="R3:R5" si="1">-1*(1.27-V10)/1.27</f>
        <v>1.1910236220472441</v>
      </c>
    </row>
    <row r="4" spans="1:31">
      <c r="A4" s="1" t="s">
        <v>6</v>
      </c>
      <c r="B4" s="1">
        <v>2.4199999999999999E-2</v>
      </c>
      <c r="C4" s="1" t="s">
        <v>11</v>
      </c>
      <c r="Q4" s="1">
        <f t="shared" si="0"/>
        <v>0.25</v>
      </c>
      <c r="R4" s="1">
        <f t="shared" si="1"/>
        <v>3.7670866141732287</v>
      </c>
    </row>
    <row r="5" spans="1:31">
      <c r="A5" s="1" t="s">
        <v>8</v>
      </c>
      <c r="B5" s="1">
        <f>B4/B1/B3</f>
        <v>1.9628888289117303E-5</v>
      </c>
      <c r="C5" s="1" t="s">
        <v>20</v>
      </c>
      <c r="Q5" s="1">
        <f t="shared" si="0"/>
        <v>0.5</v>
      </c>
      <c r="R5" s="1">
        <f t="shared" si="1"/>
        <v>0.95645383136711803</v>
      </c>
    </row>
    <row r="6" spans="1:31">
      <c r="A6" s="1" t="s">
        <v>7</v>
      </c>
      <c r="C6" s="1" t="s">
        <v>15</v>
      </c>
    </row>
    <row r="7" spans="1:31">
      <c r="D7" s="10"/>
      <c r="E7" s="10"/>
      <c r="F7" s="10"/>
      <c r="G7" s="10"/>
      <c r="H7" s="10" t="s">
        <v>22</v>
      </c>
      <c r="I7" s="10"/>
      <c r="V7" s="16" t="s">
        <v>32</v>
      </c>
      <c r="W7" s="16"/>
    </row>
    <row r="8" spans="1:31" s="9" customFormat="1">
      <c r="A8" s="8" t="s">
        <v>0</v>
      </c>
      <c r="B8" s="8" t="s">
        <v>1</v>
      </c>
      <c r="C8" s="8" t="s">
        <v>9</v>
      </c>
      <c r="D8" s="8" t="s">
        <v>13</v>
      </c>
      <c r="E8" s="8" t="s">
        <v>14</v>
      </c>
      <c r="F8" s="8" t="s">
        <v>12</v>
      </c>
      <c r="G8" s="8" t="s">
        <v>7</v>
      </c>
      <c r="H8" s="8" t="s">
        <v>2</v>
      </c>
      <c r="I8" s="8" t="s">
        <v>35</v>
      </c>
      <c r="J8" s="8"/>
      <c r="K8" s="8"/>
      <c r="N8" s="9" t="s">
        <v>21</v>
      </c>
      <c r="O8" s="9" t="s">
        <v>26</v>
      </c>
      <c r="P8" s="9" t="s">
        <v>36</v>
      </c>
      <c r="Q8" s="9" t="s">
        <v>25</v>
      </c>
      <c r="R8" s="9" t="s">
        <v>18</v>
      </c>
      <c r="S8" s="9" t="s">
        <v>37</v>
      </c>
      <c r="T8" s="9" t="s">
        <v>28</v>
      </c>
      <c r="U8" s="9" t="s">
        <v>27</v>
      </c>
      <c r="V8" s="9" t="s">
        <v>30</v>
      </c>
      <c r="W8" s="9" t="s">
        <v>31</v>
      </c>
      <c r="X8" s="9" t="s">
        <v>29</v>
      </c>
      <c r="AA8" s="9" t="s">
        <v>39</v>
      </c>
      <c r="AB8" s="9" t="s">
        <v>40</v>
      </c>
      <c r="AC8" s="9" t="s">
        <v>41</v>
      </c>
      <c r="AD8" s="9" t="s">
        <v>42</v>
      </c>
      <c r="AE8" s="9" t="s">
        <v>43</v>
      </c>
    </row>
    <row r="9" spans="1:31" s="9" customFormat="1">
      <c r="A9" s="9">
        <v>5.0000000000000001E-4</v>
      </c>
      <c r="B9" s="9">
        <v>0.01</v>
      </c>
      <c r="C9" s="9">
        <f t="shared" ref="C9" si="2">A9/SQRT(B9)</f>
        <v>5.0000000000000001E-3</v>
      </c>
      <c r="D9" s="9">
        <f t="shared" ref="D9" si="3">A9/B9</f>
        <v>0.05</v>
      </c>
      <c r="E9" s="9">
        <v>2.5000000000000001E-2</v>
      </c>
      <c r="F9" s="9">
        <f t="shared" ref="F9" si="4">H9/A9</f>
        <v>50</v>
      </c>
      <c r="G9" s="9">
        <v>50</v>
      </c>
      <c r="H9" s="9">
        <v>2.5000000000000001E-2</v>
      </c>
      <c r="I9" s="9">
        <f>H9/E9</f>
        <v>1</v>
      </c>
      <c r="J9" s="9" t="s">
        <v>19</v>
      </c>
      <c r="K9" s="9">
        <f t="shared" ref="K9:K12" si="5">($B$2*128)^(1/3)*(2*$B$5^2/$B$1)^(1/12)/G9^(0.25)</f>
        <v>8.4811304379028511E-3</v>
      </c>
      <c r="L9" s="9" t="s">
        <v>10</v>
      </c>
      <c r="M9" s="9">
        <f t="shared" ref="M9" si="6">($B$2*128)^(1/3)*(2*$B$5^2/$B$1)^(1/12)/G9^(0.25)*SQRT(B9)</f>
        <v>8.4811304379028515E-4</v>
      </c>
      <c r="N9" s="12">
        <v>0.81646669999999999</v>
      </c>
      <c r="O9" s="12">
        <v>7.4077629999999997E-7</v>
      </c>
      <c r="P9" s="12">
        <f>A9*E9*H9*2+F9*PI()*A9^2*B9</f>
        <v>1.0176990816987242E-6</v>
      </c>
      <c r="Q9" s="12">
        <f>N9/O9</f>
        <v>1102177.1349866351</v>
      </c>
      <c r="R9" s="12">
        <f>43/Q9</f>
        <v>3.9013692658867777E-5</v>
      </c>
      <c r="S9" s="12">
        <f>43/(N9/P9)</f>
        <v>5.3598095933422811E-5</v>
      </c>
      <c r="T9" s="9">
        <v>2.3610000000000002</v>
      </c>
      <c r="U9" s="9">
        <v>6.4175000000000004</v>
      </c>
      <c r="V9" s="9">
        <v>2.9508999999999999</v>
      </c>
      <c r="W9" s="9">
        <v>2.0196000000000001</v>
      </c>
      <c r="X9" s="9">
        <v>1.2776000000000001</v>
      </c>
      <c r="Y9" s="9">
        <f>(V9-2*(1*E9*A9/(F9*PI()*A9^2/4)))/(1)</f>
        <v>0.40442091052967433</v>
      </c>
    </row>
    <row r="10" spans="1:31" s="9" customFormat="1">
      <c r="A10" s="9">
        <v>1E-3</v>
      </c>
      <c r="B10" s="9">
        <v>0.01</v>
      </c>
      <c r="C10" s="9">
        <f>A10/SQRT(B10)</f>
        <v>0.01</v>
      </c>
      <c r="D10" s="9">
        <f>A10/B10</f>
        <v>0.1</v>
      </c>
      <c r="E10" s="9">
        <v>2.5000000000000001E-2</v>
      </c>
      <c r="F10" s="9">
        <f>H10/A10</f>
        <v>25</v>
      </c>
      <c r="H10" s="9">
        <v>2.5000000000000001E-2</v>
      </c>
      <c r="I10" s="9">
        <f t="shared" ref="I10:I12" si="7">H10/E10</f>
        <v>1</v>
      </c>
      <c r="J10" s="9" t="s">
        <v>19</v>
      </c>
      <c r="K10" s="9" t="e">
        <f t="shared" si="5"/>
        <v>#DIV/0!</v>
      </c>
      <c r="L10" s="9" t="s">
        <v>10</v>
      </c>
      <c r="M10" s="9" t="e">
        <f>($B$2*128)^(1/3)*(2*$B$5^2/$B$1)^(1/12)/G10^(0.25)*SQRT(B10)</f>
        <v>#DIV/0!</v>
      </c>
      <c r="N10" s="12">
        <v>1.4230179999999999</v>
      </c>
      <c r="O10" s="12">
        <v>1.4819970000000001E-6</v>
      </c>
      <c r="P10" s="12">
        <f t="shared" ref="P10:P12" si="8">A10*E10*H10*2+F10*PI()*A10^2*B10</f>
        <v>2.0353981633974484E-6</v>
      </c>
      <c r="Q10" s="12">
        <f t="shared" ref="Q10:Q12" si="9">N10/O10</f>
        <v>960203.0233529486</v>
      </c>
      <c r="R10" s="12">
        <f t="shared" ref="R10:R12" si="10">43/Q10</f>
        <v>4.4782196008764476E-5</v>
      </c>
      <c r="S10" s="12">
        <f t="shared" ref="S10:S12" si="11">43/(N10/P10)</f>
        <v>6.1504577613277059E-5</v>
      </c>
      <c r="T10" s="9">
        <v>2.3603999999999998</v>
      </c>
      <c r="U10" s="9">
        <v>9.6231000000000009</v>
      </c>
      <c r="V10" s="9">
        <v>2.7826</v>
      </c>
      <c r="W10" s="9">
        <v>1.6949000000000001</v>
      </c>
      <c r="X10" s="9">
        <v>0.2016</v>
      </c>
      <c r="Y10" s="9">
        <f>(V10-2*(1*E10*A10/(F10*PI()*A10^2/4)))/(1)</f>
        <v>0.23612091052967443</v>
      </c>
      <c r="AA10" s="9">
        <v>0.73</v>
      </c>
      <c r="AB10" s="9">
        <v>1.3</v>
      </c>
      <c r="AC10" s="9">
        <f>((2-AB10)/(2-AA10)-1)*(2-AA10)/400/(E10*A10*4/F10/PI()/A10^2)^2</f>
        <v>-8.7901164197202151E-4</v>
      </c>
      <c r="AD10" s="9">
        <f>(2-AA10)/400/(E10*A10*4/F10/PI()/A10^2)^2</f>
        <v>1.9584996233411702E-3</v>
      </c>
      <c r="AE10" s="9">
        <v>400</v>
      </c>
    </row>
    <row r="11" spans="1:31" s="9" customFormat="1">
      <c r="A11" s="9">
        <v>2.5000000000000001E-3</v>
      </c>
      <c r="B11" s="9">
        <v>0.01</v>
      </c>
      <c r="C11" s="9">
        <f>A11/SQRT(B11)</f>
        <v>2.4999999999999998E-2</v>
      </c>
      <c r="D11" s="9">
        <f>A11/B11</f>
        <v>0.25</v>
      </c>
      <c r="E11" s="9">
        <v>2.5000000000000001E-2</v>
      </c>
      <c r="F11" s="9">
        <f>H11/A11</f>
        <v>10</v>
      </c>
      <c r="H11" s="9">
        <v>2.5000000000000001E-2</v>
      </c>
      <c r="I11" s="9">
        <f t="shared" si="7"/>
        <v>1</v>
      </c>
      <c r="J11" s="9" t="s">
        <v>19</v>
      </c>
      <c r="K11" s="9" t="e">
        <f t="shared" si="5"/>
        <v>#DIV/0!</v>
      </c>
      <c r="L11" s="9" t="s">
        <v>10</v>
      </c>
      <c r="M11" s="9" t="e">
        <f>($B$2*128)^(1/3)*(2*$B$5^2/$B$1)^(1/12)/G11^(0.25)*SQRT(B11)</f>
        <v>#DIV/0!</v>
      </c>
      <c r="N11" s="9">
        <v>1.0463249999999999</v>
      </c>
      <c r="O11" s="12">
        <v>5.930951E-7</v>
      </c>
      <c r="P11" s="12">
        <f t="shared" si="8"/>
        <v>5.0884954084936211E-6</v>
      </c>
      <c r="Q11" s="12">
        <f t="shared" si="9"/>
        <v>1764177.4481023364</v>
      </c>
      <c r="R11" s="12">
        <f t="shared" si="10"/>
        <v>2.4373965354932739E-5</v>
      </c>
      <c r="S11" s="12">
        <f t="shared" si="11"/>
        <v>2.0911791514608341E-4</v>
      </c>
      <c r="T11" s="9">
        <v>5.7073</v>
      </c>
      <c r="U11" s="9">
        <v>7.3440000000000003</v>
      </c>
      <c r="V11" s="9">
        <v>6.0541999999999998</v>
      </c>
      <c r="W11" s="9">
        <v>4.2777000000000003</v>
      </c>
      <c r="X11" s="14">
        <v>-1.5846</v>
      </c>
      <c r="Y11" s="9">
        <v>0</v>
      </c>
      <c r="Z11" s="9" t="s">
        <v>33</v>
      </c>
    </row>
    <row r="12" spans="1:31" s="9" customFormat="1">
      <c r="A12" s="9">
        <v>5.0000000000000001E-3</v>
      </c>
      <c r="B12" s="9">
        <v>0.01</v>
      </c>
      <c r="C12" s="9">
        <f>A12/SQRT(B12)</f>
        <v>4.9999999999999996E-2</v>
      </c>
      <c r="D12" s="9">
        <f>A12/B12</f>
        <v>0.5</v>
      </c>
      <c r="E12" s="9">
        <v>2.5000000000000001E-2</v>
      </c>
      <c r="F12" s="9">
        <f>H12/A12</f>
        <v>5</v>
      </c>
      <c r="H12" s="9">
        <v>2.5000000000000001E-2</v>
      </c>
      <c r="I12" s="9">
        <f t="shared" si="7"/>
        <v>1</v>
      </c>
      <c r="J12" s="9" t="s">
        <v>19</v>
      </c>
      <c r="K12" s="9" t="e">
        <f t="shared" si="5"/>
        <v>#DIV/0!</v>
      </c>
      <c r="L12" s="9" t="s">
        <v>10</v>
      </c>
      <c r="M12" s="9" t="e">
        <f>($B$2*128)^(1/3)*(2*$B$5^2/$B$1)^(1/12)/G12^(0.25)*SQRT(B12)</f>
        <v>#DIV/0!</v>
      </c>
      <c r="N12" s="9">
        <v>2.0273729999999999</v>
      </c>
      <c r="O12" s="12">
        <v>7.4259380000000001E-6</v>
      </c>
      <c r="P12" s="12">
        <f t="shared" si="8"/>
        <v>1.0176990816987242E-5</v>
      </c>
      <c r="Q12" s="12">
        <f t="shared" si="9"/>
        <v>273012.37904221658</v>
      </c>
      <c r="R12" s="12">
        <f t="shared" si="10"/>
        <v>1.5750201566263339E-4</v>
      </c>
      <c r="S12" s="12">
        <f t="shared" si="11"/>
        <v>2.1585105707260156E-4</v>
      </c>
      <c r="T12" s="9">
        <v>1.98351141154905</v>
      </c>
      <c r="U12" s="9">
        <v>17.645978552850401</v>
      </c>
      <c r="V12" s="9">
        <v>2.48469636583624</v>
      </c>
      <c r="W12" s="9">
        <v>1.1596202485904401</v>
      </c>
      <c r="X12" s="9">
        <v>-0.49898848479256602</v>
      </c>
      <c r="Y12" s="9">
        <f>(V12-2*(1*E12*A12/(F12*PI()*A12^2/4)))/(1)</f>
        <v>-6.1782723634085546E-2</v>
      </c>
    </row>
    <row r="13" spans="1:31" s="9" customFormat="1" ht="13.5" customHeight="1"/>
    <row r="14" spans="1:31" s="9" customFormat="1">
      <c r="A14" s="8" t="s">
        <v>0</v>
      </c>
      <c r="B14" s="8" t="s">
        <v>1</v>
      </c>
      <c r="C14" s="8" t="s">
        <v>9</v>
      </c>
      <c r="D14" s="8" t="s">
        <v>13</v>
      </c>
      <c r="E14" s="8" t="s">
        <v>14</v>
      </c>
      <c r="F14" s="8" t="s">
        <v>12</v>
      </c>
      <c r="G14" s="8" t="s">
        <v>7</v>
      </c>
      <c r="H14" s="8" t="s">
        <v>2</v>
      </c>
      <c r="I14" s="8"/>
      <c r="J14" s="8"/>
      <c r="K14" s="8"/>
    </row>
    <row r="15" spans="1:31" s="9" customFormat="1">
      <c r="A15" s="8">
        <v>1E-4</v>
      </c>
      <c r="B15" s="8"/>
      <c r="C15" s="8"/>
      <c r="D15" s="8"/>
      <c r="E15" s="8"/>
      <c r="F15" s="8">
        <f>H15/A15</f>
        <v>100</v>
      </c>
      <c r="G15" s="8"/>
      <c r="H15" s="8">
        <v>0.01</v>
      </c>
      <c r="I15" s="8"/>
      <c r="J15" s="8"/>
      <c r="K15" s="8"/>
    </row>
    <row r="16" spans="1:31" s="8" customFormat="1">
      <c r="A16" s="8">
        <f>H16/F16</f>
        <v>2.0000000000000001E-4</v>
      </c>
      <c r="B16" s="8">
        <v>0.01</v>
      </c>
      <c r="C16" s="8">
        <f t="shared" ref="C16:C17" si="12">A16/SQRT(B16)</f>
        <v>2E-3</v>
      </c>
      <c r="D16" s="8">
        <f t="shared" ref="D16:D17" si="13">A16/B16</f>
        <v>0.02</v>
      </c>
      <c r="E16" s="8">
        <v>2.5000000000000001E-2</v>
      </c>
      <c r="F16" s="8">
        <v>50</v>
      </c>
      <c r="H16" s="8">
        <v>0.01</v>
      </c>
      <c r="I16" s="8">
        <f t="shared" ref="I16:I20" si="14">H16/E16</f>
        <v>0.39999999999999997</v>
      </c>
      <c r="J16" s="8" t="s">
        <v>19</v>
      </c>
      <c r="K16" s="8" t="e">
        <f t="shared" ref="K16" si="15">($B$2*128)^(1/3)*(2*$B$5^2/$B$1)^(1/12)/G16^(0.25)</f>
        <v>#DIV/0!</v>
      </c>
      <c r="L16" s="8" t="s">
        <v>10</v>
      </c>
      <c r="M16" s="8" t="e">
        <f t="shared" ref="M16" si="16">($B$2*128)^(1/3)*(2*$B$5^2/$B$1)^(1/12)/G16^(0.25)*SQRT(B16)</f>
        <v>#DIV/0!</v>
      </c>
      <c r="N16" s="8">
        <v>0.2966879</v>
      </c>
      <c r="O16" s="15">
        <v>1.1848039999999999E-7</v>
      </c>
      <c r="Q16" s="12">
        <f t="shared" ref="Q16:Q17" si="17">N16/O16</f>
        <v>2504109.5404809574</v>
      </c>
      <c r="R16" s="12">
        <f t="shared" ref="R16:R20" si="18">43/Q16</f>
        <v>1.7171772761882098E-5</v>
      </c>
    </row>
    <row r="17" spans="1:31" s="9" customFormat="1">
      <c r="A17" s="9">
        <v>5.0000000000000001E-4</v>
      </c>
      <c r="B17" s="9">
        <v>0.01</v>
      </c>
      <c r="C17" s="9">
        <f t="shared" si="12"/>
        <v>5.0000000000000001E-3</v>
      </c>
      <c r="D17" s="9">
        <f t="shared" si="13"/>
        <v>0.05</v>
      </c>
      <c r="E17" s="9">
        <v>2.5000000000000001E-2</v>
      </c>
      <c r="F17" s="9">
        <f t="shared" ref="F17" si="19">H17/A17</f>
        <v>20</v>
      </c>
      <c r="G17" s="9">
        <v>50</v>
      </c>
      <c r="H17" s="9">
        <v>0.01</v>
      </c>
      <c r="I17" s="9">
        <f t="shared" si="14"/>
        <v>0.39999999999999997</v>
      </c>
      <c r="J17" s="9" t="s">
        <v>19</v>
      </c>
      <c r="K17" s="9">
        <f t="shared" ref="K17:K20" si="20">($B$2*128)^(1/3)*(2*$B$5^2/$B$1)^(1/12)/G17^(0.25)</f>
        <v>8.4811304379028511E-3</v>
      </c>
      <c r="L17" s="9" t="s">
        <v>10</v>
      </c>
      <c r="M17" s="9">
        <f t="shared" ref="M17" si="21">($B$2*128)^(1/3)*(2*$B$5^2/$B$1)^(1/12)/G17^(0.25)*SQRT(B17)</f>
        <v>8.4811304379028515E-4</v>
      </c>
      <c r="N17" s="12">
        <v>0.72121579999999996</v>
      </c>
      <c r="O17" s="12">
        <v>2.966743E-7</v>
      </c>
      <c r="P17" s="12">
        <f>A17*E17*H17*2+F17*PI()*A17^2*B17</f>
        <v>4.0707963267948968E-7</v>
      </c>
      <c r="Q17" s="12">
        <f t="shared" si="17"/>
        <v>2431001.9438825673</v>
      </c>
      <c r="R17" s="12">
        <f t="shared" si="18"/>
        <v>1.7688180014913705E-5</v>
      </c>
      <c r="S17" s="12">
        <f t="shared" ref="S17:S20" si="22">43/(N17/P17)</f>
        <v>2.427071648349642E-5</v>
      </c>
      <c r="T17" s="9">
        <v>4.4865000000000004</v>
      </c>
      <c r="U17" s="9">
        <v>9.9047999999999998</v>
      </c>
      <c r="V17" s="9">
        <v>5.5820999999999996</v>
      </c>
      <c r="W17" s="9">
        <v>3.7429000000000001</v>
      </c>
      <c r="X17" s="9">
        <v>0.75860000000000005</v>
      </c>
      <c r="Y17" s="9">
        <f t="shared" ref="Y17:Y20" si="23">(V17-2*(1*E17*A17/(F17*PI()*A17^2/4)))/(1)</f>
        <v>-0.78409772367581532</v>
      </c>
    </row>
    <row r="18" spans="1:31" s="9" customFormat="1">
      <c r="A18" s="9">
        <v>1E-3</v>
      </c>
      <c r="B18" s="9">
        <v>0.01</v>
      </c>
      <c r="C18" s="9">
        <f>A18/SQRT(B18)</f>
        <v>0.01</v>
      </c>
      <c r="D18" s="9">
        <f>A18/B18</f>
        <v>0.1</v>
      </c>
      <c r="E18" s="9">
        <v>2.5000000000000001E-2</v>
      </c>
      <c r="F18" s="9">
        <f>H18/A18</f>
        <v>10</v>
      </c>
      <c r="H18" s="9">
        <v>0.01</v>
      </c>
      <c r="I18" s="9">
        <f t="shared" si="14"/>
        <v>0.39999999999999997</v>
      </c>
      <c r="J18" s="9" t="s">
        <v>19</v>
      </c>
      <c r="K18" s="9" t="e">
        <f t="shared" si="20"/>
        <v>#DIV/0!</v>
      </c>
      <c r="L18" s="9" t="s">
        <v>10</v>
      </c>
      <c r="M18" s="9" t="e">
        <f>($B$2*128)^(1/3)*(2*$B$5^2/$B$1)^(1/12)/G18^(0.25)*SQRT(B18)</f>
        <v>#DIV/0!</v>
      </c>
      <c r="N18" s="9">
        <v>1.172269</v>
      </c>
      <c r="O18" s="12">
        <v>5.8910850000000002E-7</v>
      </c>
      <c r="P18" s="12">
        <f t="shared" ref="P18:P20" si="24">A18*E18*H18*2+F18*PI()*A18^2*B18</f>
        <v>8.1415926535897935E-7</v>
      </c>
      <c r="Q18" s="12">
        <f t="shared" ref="Q18:Q20" si="25">N18/O18</f>
        <v>1989903.3879158082</v>
      </c>
      <c r="R18" s="12">
        <f t="shared" si="18"/>
        <v>2.1609089296057476E-5</v>
      </c>
      <c r="S18" s="12">
        <f t="shared" si="22"/>
        <v>2.9864176575884984E-5</v>
      </c>
      <c r="T18" s="9">
        <v>4.6954000000000002</v>
      </c>
      <c r="U18" s="9">
        <v>8.9133999999999993</v>
      </c>
      <c r="V18" s="9">
        <v>5.3578000000000001</v>
      </c>
      <c r="W18" s="9">
        <v>3.3275999999999999</v>
      </c>
      <c r="X18" s="9">
        <v>-0.35820000000000002</v>
      </c>
      <c r="Y18" s="9">
        <f t="shared" si="23"/>
        <v>-1.0083977236758148</v>
      </c>
      <c r="AA18" s="9">
        <v>0.73</v>
      </c>
      <c r="AB18" s="9">
        <v>1.3</v>
      </c>
      <c r="AC18" s="9">
        <f>((2-AB18)/(2-AA18)-1)*(2-AA18)/400/(E18*A18*4/F18/PI()/A18^2)^2</f>
        <v>-1.4064186271552337E-4</v>
      </c>
      <c r="AD18" s="9">
        <f>(2-AA18)/400/(E18*A18*4/F18/PI()/A18^2)^2</f>
        <v>3.1335993973458705E-4</v>
      </c>
      <c r="AE18" s="9">
        <v>400</v>
      </c>
    </row>
    <row r="19" spans="1:31" s="9" customFormat="1">
      <c r="A19" s="9">
        <v>2.5000000000000001E-3</v>
      </c>
      <c r="B19" s="9">
        <v>0.01</v>
      </c>
      <c r="C19" s="9">
        <f>A19/SQRT(B19)</f>
        <v>2.4999999999999998E-2</v>
      </c>
      <c r="D19" s="9">
        <f>A19/B19</f>
        <v>0.25</v>
      </c>
      <c r="E19" s="9">
        <v>2.5000000000000001E-2</v>
      </c>
      <c r="F19" s="9">
        <f>H19/A19</f>
        <v>4</v>
      </c>
      <c r="H19" s="9">
        <v>0.01</v>
      </c>
      <c r="I19" s="9">
        <f t="shared" si="14"/>
        <v>0.39999999999999997</v>
      </c>
      <c r="J19" s="9" t="s">
        <v>19</v>
      </c>
      <c r="K19" s="9" t="e">
        <f t="shared" si="20"/>
        <v>#DIV/0!</v>
      </c>
      <c r="L19" s="9" t="s">
        <v>10</v>
      </c>
      <c r="M19" s="9" t="e">
        <f>($B$2*128)^(1/3)*(2*$B$5^2/$B$1)^(1/12)/G19^(0.25)*SQRT(B19)</f>
        <v>#DIV/0!</v>
      </c>
      <c r="N19" s="9">
        <v>1.201724</v>
      </c>
      <c r="O19" s="12">
        <v>1.4851200000000001E-6</v>
      </c>
      <c r="P19" s="12">
        <f t="shared" si="24"/>
        <v>2.0353981633974484E-6</v>
      </c>
      <c r="Q19" s="12">
        <f t="shared" si="25"/>
        <v>809176.36285283335</v>
      </c>
      <c r="R19" s="12">
        <f t="shared" si="18"/>
        <v>5.3140454879822661E-5</v>
      </c>
      <c r="S19" s="12">
        <f t="shared" si="22"/>
        <v>7.2830467749741438E-5</v>
      </c>
      <c r="T19" s="9">
        <v>4.65414471734349</v>
      </c>
      <c r="U19" s="9">
        <v>12.0545309195707</v>
      </c>
      <c r="V19" s="9">
        <v>5.1992296273495198</v>
      </c>
      <c r="W19" s="9">
        <v>3.3338844855232401</v>
      </c>
      <c r="X19" s="9">
        <v>-0.81087368755757605</v>
      </c>
      <c r="Y19" s="9">
        <f t="shared" si="23"/>
        <v>-1.1669680963262943</v>
      </c>
    </row>
    <row r="20" spans="1:31" s="9" customFormat="1">
      <c r="A20" s="9">
        <v>5.0000000000000001E-3</v>
      </c>
      <c r="B20" s="9">
        <v>0.01</v>
      </c>
      <c r="C20" s="9">
        <f>A20/SQRT(B20)</f>
        <v>4.9999999999999996E-2</v>
      </c>
      <c r="D20" s="9">
        <f>A20/B20</f>
        <v>0.5</v>
      </c>
      <c r="E20" s="9">
        <v>2.5000000000000001E-2</v>
      </c>
      <c r="F20" s="9">
        <f>H20/A20</f>
        <v>2</v>
      </c>
      <c r="H20" s="9">
        <v>0.01</v>
      </c>
      <c r="I20" s="9">
        <f t="shared" si="14"/>
        <v>0.39999999999999997</v>
      </c>
      <c r="J20" s="9" t="s">
        <v>19</v>
      </c>
      <c r="K20" s="9" t="e">
        <f t="shared" si="20"/>
        <v>#DIV/0!</v>
      </c>
      <c r="L20" s="9" t="s">
        <v>10</v>
      </c>
      <c r="M20" s="9" t="e">
        <f>($B$2*128)^(1/3)*(2*$B$5^2/$B$1)^(1/12)/G20^(0.25)*SQRT(B20)</f>
        <v>#DIV/0!</v>
      </c>
      <c r="N20" s="9">
        <v>1.241655</v>
      </c>
      <c r="O20" s="12">
        <v>2.9782210000000001E-6</v>
      </c>
      <c r="P20" s="12">
        <f t="shared" si="24"/>
        <v>4.0707963267948969E-6</v>
      </c>
      <c r="Q20" s="12">
        <f t="shared" si="25"/>
        <v>416911.63953245914</v>
      </c>
      <c r="R20" s="12">
        <f t="shared" si="18"/>
        <v>1.0313936077251733E-4</v>
      </c>
      <c r="S20" s="12">
        <f t="shared" si="22"/>
        <v>1.409765531103089E-4</v>
      </c>
      <c r="T20" s="9">
        <v>4.1645000000000003</v>
      </c>
      <c r="U20" s="9">
        <v>15.597980927907701</v>
      </c>
      <c r="V20" s="9">
        <v>4.6523000000000003</v>
      </c>
      <c r="W20" s="9">
        <v>3.7280000000000002</v>
      </c>
      <c r="X20" s="9">
        <v>0.1</v>
      </c>
      <c r="Y20" s="9">
        <f t="shared" si="23"/>
        <v>-1.7138977236758137</v>
      </c>
    </row>
    <row r="21" spans="1:31" s="9" customFormat="1"/>
    <row r="22" spans="1:31" s="9" customFormat="1">
      <c r="A22" s="8" t="s">
        <v>0</v>
      </c>
      <c r="B22" s="8" t="s">
        <v>1</v>
      </c>
      <c r="C22" s="8" t="s">
        <v>9</v>
      </c>
      <c r="D22" s="8" t="s">
        <v>13</v>
      </c>
      <c r="E22" s="8" t="s">
        <v>14</v>
      </c>
      <c r="F22" s="8" t="s">
        <v>12</v>
      </c>
      <c r="G22" s="8" t="s">
        <v>7</v>
      </c>
      <c r="H22" s="8" t="s">
        <v>2</v>
      </c>
      <c r="I22" s="8"/>
      <c r="J22" s="8"/>
      <c r="K22" s="8"/>
    </row>
    <row r="23" spans="1:31" s="9" customFormat="1">
      <c r="A23" s="8">
        <v>1E-4</v>
      </c>
      <c r="B23" s="9">
        <v>0.01</v>
      </c>
      <c r="C23" s="9">
        <f t="shared" ref="C23" si="26">A23/SQRT(B23)</f>
        <v>1E-3</v>
      </c>
      <c r="D23" s="9">
        <f t="shared" ref="D23" si="27">A23/B23</f>
        <v>0.01</v>
      </c>
      <c r="E23" s="9">
        <v>2.5000000000000001E-2</v>
      </c>
      <c r="F23" s="8">
        <f>H23/A23</f>
        <v>40</v>
      </c>
      <c r="G23" s="8"/>
      <c r="H23" s="8">
        <v>4.0000000000000001E-3</v>
      </c>
      <c r="I23" s="8"/>
      <c r="J23" s="8"/>
      <c r="K23" s="8"/>
    </row>
    <row r="24" spans="1:31" s="9" customFormat="1">
      <c r="A24" s="9">
        <v>5.0000000000000001E-4</v>
      </c>
      <c r="B24" s="9">
        <v>0.01</v>
      </c>
      <c r="C24" s="9">
        <f t="shared" ref="C24" si="28">A24/SQRT(B24)</f>
        <v>5.0000000000000001E-3</v>
      </c>
      <c r="D24" s="9">
        <f t="shared" ref="D24" si="29">A24/B24</f>
        <v>0.05</v>
      </c>
      <c r="E24" s="9">
        <v>2.5000000000000001E-2</v>
      </c>
      <c r="F24" s="9">
        <f t="shared" ref="F24" si="30">H24/A24</f>
        <v>8</v>
      </c>
      <c r="G24" s="9">
        <v>50</v>
      </c>
      <c r="H24" s="9">
        <v>4.0000000000000001E-3</v>
      </c>
      <c r="I24" s="9">
        <f t="shared" ref="I24:I27" si="31">H24/E24</f>
        <v>0.16</v>
      </c>
      <c r="J24" s="9" t="s">
        <v>19</v>
      </c>
      <c r="K24" s="9">
        <f t="shared" ref="K24:K27" si="32">($B$2*128)^(1/3)*(2*$B$5^2/$B$1)^(1/12)/G24^(0.25)</f>
        <v>8.4811304379028511E-3</v>
      </c>
      <c r="L24" s="9" t="s">
        <v>10</v>
      </c>
      <c r="M24" s="9">
        <f t="shared" ref="M24" si="33">($B$2*128)^(1/3)*(2*$B$5^2/$B$1)^(1/12)/G24^(0.25)*SQRT(B24)</f>
        <v>8.4811304379028515E-4</v>
      </c>
      <c r="N24" s="9">
        <v>0.61290299999999998</v>
      </c>
      <c r="O24" s="12">
        <v>1.186457E-7</v>
      </c>
      <c r="P24" s="12">
        <f t="shared" ref="P24:P27" si="34">A24*E24*H24*2+F24*PI()*A24^2*B24</f>
        <v>1.6283185307179587E-7</v>
      </c>
      <c r="Q24" s="12" t="s">
        <v>38</v>
      </c>
      <c r="R24" s="12" t="e">
        <f t="shared" ref="R24:R27" si="35">43/Q24</f>
        <v>#VALUE!</v>
      </c>
      <c r="S24" s="12">
        <f t="shared" ref="S24:S27" si="36">43/(N24/P24)</f>
        <v>1.1423944216437548E-5</v>
      </c>
      <c r="T24" s="9">
        <v>13.963284766888</v>
      </c>
      <c r="U24" s="9">
        <v>5.1177972916696204</v>
      </c>
      <c r="V24" s="9">
        <v>14.655001821825699</v>
      </c>
      <c r="W24" s="9">
        <v>11.45670814721</v>
      </c>
      <c r="X24" s="9">
        <v>-1.7155657282139001</v>
      </c>
      <c r="Y24" s="9">
        <f>(V24-2*(1*E24*A24/(F24*PI()*A24^2/4)))/(1)</f>
        <v>-1.2604924873638375</v>
      </c>
    </row>
    <row r="25" spans="1:31" s="9" customFormat="1">
      <c r="A25" s="9">
        <v>1E-3</v>
      </c>
      <c r="B25" s="9">
        <v>0.01</v>
      </c>
      <c r="C25" s="9">
        <f>A25/SQRT(B25)</f>
        <v>0.01</v>
      </c>
      <c r="D25" s="9">
        <f>A25/B25</f>
        <v>0.1</v>
      </c>
      <c r="E25" s="9">
        <v>2.5000000000000001E-2</v>
      </c>
      <c r="F25" s="9">
        <f>H25/A25</f>
        <v>4</v>
      </c>
      <c r="H25" s="9">
        <v>4.0000000000000001E-3</v>
      </c>
      <c r="I25" s="9">
        <f t="shared" si="31"/>
        <v>0.16</v>
      </c>
      <c r="J25" s="9" t="s">
        <v>19</v>
      </c>
      <c r="K25" s="9" t="e">
        <f t="shared" si="32"/>
        <v>#DIV/0!</v>
      </c>
      <c r="L25" s="9" t="s">
        <v>10</v>
      </c>
      <c r="M25" s="9" t="e">
        <f>($B$2*128)^(1/3)*(2*$B$5^2/$B$1)^(1/12)/G25^(0.25)*SQRT(B25)</f>
        <v>#DIV/0!</v>
      </c>
      <c r="N25" s="9">
        <v>0.72343270000000004</v>
      </c>
      <c r="O25" s="12">
        <v>2.3756080000000001E-7</v>
      </c>
      <c r="P25" s="12">
        <f t="shared" si="34"/>
        <v>3.2566370614359174E-7</v>
      </c>
      <c r="Q25" s="12">
        <f t="shared" ref="Q25" si="37">N25/O25</f>
        <v>3045252.8363265321</v>
      </c>
      <c r="R25" s="12">
        <f t="shared" si="35"/>
        <v>1.412033821528941E-5</v>
      </c>
      <c r="S25" s="12">
        <f t="shared" si="36"/>
        <v>1.9357072695462125E-5</v>
      </c>
      <c r="T25" s="9">
        <v>11.9427707478883</v>
      </c>
      <c r="U25" s="9">
        <v>8.9585186506928203</v>
      </c>
      <c r="V25" s="9">
        <v>13.8249546790019</v>
      </c>
      <c r="W25" s="9">
        <v>8.8463323496214397</v>
      </c>
      <c r="X25" s="9">
        <v>-0.25766327740751099</v>
      </c>
      <c r="Y25" s="9">
        <f t="shared" ref="Y25:Y27" si="38">(V25-2*(1*E25*A25/(F25*PI()*A25^2/4)))/(1)</f>
        <v>-2.0905396301876369</v>
      </c>
      <c r="AA25" s="9">
        <v>0.73</v>
      </c>
      <c r="AB25" s="9">
        <v>1.3</v>
      </c>
      <c r="AC25" s="9">
        <f>((2-AB25)/(2-AA25)-1)*(2-AA25)/400/(E25*A25*4/F25/PI()/A25^2)^2</f>
        <v>-2.250269803448374E-5</v>
      </c>
      <c r="AD25" s="9">
        <f>(2-AA25)/400/(E25*A25*4/F25/PI()/A25^2)^2</f>
        <v>5.0137590357533927E-5</v>
      </c>
      <c r="AE25" s="9">
        <v>400</v>
      </c>
    </row>
    <row r="26" spans="1:31" s="9" customFormat="1">
      <c r="A26" s="9">
        <v>2E-3</v>
      </c>
      <c r="B26" s="9">
        <v>0.01</v>
      </c>
      <c r="C26" s="9">
        <f>A26/SQRT(B26)</f>
        <v>0.02</v>
      </c>
      <c r="D26" s="9">
        <f>A26/B26</f>
        <v>0.2</v>
      </c>
      <c r="E26" s="9">
        <v>2.5000000000000001E-2</v>
      </c>
      <c r="F26" s="9">
        <f>H26/A26</f>
        <v>2</v>
      </c>
      <c r="H26" s="9">
        <v>4.0000000000000001E-3</v>
      </c>
      <c r="I26" s="9">
        <f t="shared" si="31"/>
        <v>0.16</v>
      </c>
      <c r="J26" s="9" t="s">
        <v>19</v>
      </c>
      <c r="K26" s="9" t="e">
        <f t="shared" si="32"/>
        <v>#DIV/0!</v>
      </c>
      <c r="L26" s="9" t="s">
        <v>10</v>
      </c>
      <c r="M26" s="9" t="e">
        <f>($B$2*128)^(1/3)*(2*$B$5^2/$B$1)^(1/12)/G26^(0.25)*SQRT(B26)</f>
        <v>#DIV/0!</v>
      </c>
      <c r="N26" s="9">
        <v>0.78575340000000005</v>
      </c>
      <c r="O26" s="12">
        <v>4.7617660000000002E-7</v>
      </c>
      <c r="P26" s="12">
        <f t="shared" si="34"/>
        <v>6.5132741228718348E-7</v>
      </c>
      <c r="Q26" s="12">
        <f t="shared" ref="Q26" si="39">N26/O26</f>
        <v>1650130.2247947506</v>
      </c>
      <c r="R26" s="12">
        <f t="shared" si="35"/>
        <v>2.6058549412576517E-5</v>
      </c>
      <c r="S26" s="12">
        <f t="shared" si="36"/>
        <v>3.5643598523848434E-5</v>
      </c>
      <c r="T26" s="9">
        <v>10.888999999999999</v>
      </c>
      <c r="U26" s="9">
        <v>11.701776285225</v>
      </c>
      <c r="V26" s="9">
        <v>11.79</v>
      </c>
      <c r="W26" s="9">
        <v>9.9879999999999995</v>
      </c>
      <c r="X26" s="9">
        <v>0.2</v>
      </c>
      <c r="Y26" s="9">
        <f t="shared" si="38"/>
        <v>-4.1254943091895377</v>
      </c>
    </row>
    <row r="27" spans="1:31" s="9" customFormat="1">
      <c r="A27" s="9">
        <v>4.0000000000000001E-3</v>
      </c>
      <c r="B27" s="9">
        <v>0.01</v>
      </c>
      <c r="C27" s="9">
        <f>A27/SQRT(B27)</f>
        <v>0.04</v>
      </c>
      <c r="D27" s="9">
        <f>A27/B27</f>
        <v>0.4</v>
      </c>
      <c r="E27" s="9">
        <v>2.5000000000000001E-2</v>
      </c>
      <c r="F27" s="9">
        <f>H27/A27</f>
        <v>1</v>
      </c>
      <c r="H27" s="9">
        <v>4.0000000000000001E-3</v>
      </c>
      <c r="I27" s="9">
        <f t="shared" si="31"/>
        <v>0.16</v>
      </c>
      <c r="J27" s="9" t="s">
        <v>19</v>
      </c>
      <c r="K27" s="9" t="e">
        <f t="shared" si="32"/>
        <v>#DIV/0!</v>
      </c>
      <c r="L27" s="9" t="s">
        <v>10</v>
      </c>
      <c r="M27" s="9" t="e">
        <f>($B$2*128)^(1/3)*(2*$B$5^2/$B$1)^(1/12)/G27^(0.25)*SQRT(B27)</f>
        <v>#DIV/0!</v>
      </c>
      <c r="N27" s="9">
        <v>0.76335209999999998</v>
      </c>
      <c r="O27" s="12">
        <v>9.569007000000001E-7</v>
      </c>
      <c r="P27" s="12">
        <f t="shared" si="34"/>
        <v>1.302654824574367E-6</v>
      </c>
      <c r="Q27" s="12">
        <f t="shared" ref="Q27" si="40">N27/O27</f>
        <v>797733.87144559505</v>
      </c>
      <c r="R27" s="12">
        <f t="shared" si="35"/>
        <v>5.3902688025617544E-5</v>
      </c>
      <c r="S27" s="12">
        <f t="shared" si="36"/>
        <v>7.33791882627922E-5</v>
      </c>
      <c r="T27" s="9">
        <v>9.0547679780974093</v>
      </c>
      <c r="U27" s="9">
        <v>18.593142156200599</v>
      </c>
      <c r="V27" s="9">
        <v>10.9107</v>
      </c>
      <c r="W27" s="9">
        <v>5.5099362886753296</v>
      </c>
      <c r="X27" s="9">
        <v>-0.77879428710115794</v>
      </c>
      <c r="Y27" s="9">
        <f t="shared" si="38"/>
        <v>-5.0047943091895366</v>
      </c>
    </row>
    <row r="28" spans="1:31">
      <c r="AA28" s="9"/>
    </row>
    <row r="29" spans="1:31" s="5" customFormat="1">
      <c r="E29" s="11" t="s">
        <v>24</v>
      </c>
      <c r="AA29" s="9"/>
    </row>
    <row r="30" spans="1:31" s="9" customFormat="1">
      <c r="A30" s="8" t="s">
        <v>0</v>
      </c>
      <c r="B30" s="8" t="s">
        <v>1</v>
      </c>
      <c r="C30" s="8" t="s">
        <v>9</v>
      </c>
      <c r="D30" s="8" t="s">
        <v>13</v>
      </c>
      <c r="E30" s="8" t="s">
        <v>14</v>
      </c>
      <c r="F30" s="8" t="s">
        <v>12</v>
      </c>
      <c r="G30" s="8" t="s">
        <v>7</v>
      </c>
      <c r="H30" s="8" t="s">
        <v>2</v>
      </c>
      <c r="I30" s="8" t="s">
        <v>34</v>
      </c>
      <c r="J30" s="8"/>
      <c r="K30" s="8"/>
      <c r="N30" s="9" t="s">
        <v>21</v>
      </c>
      <c r="O30" s="9" t="s">
        <v>26</v>
      </c>
      <c r="Q30" s="9" t="s">
        <v>25</v>
      </c>
      <c r="R30" s="9" t="s">
        <v>18</v>
      </c>
      <c r="T30" s="9" t="s">
        <v>28</v>
      </c>
      <c r="U30" s="9" t="s">
        <v>27</v>
      </c>
      <c r="V30" s="9" t="s">
        <v>30</v>
      </c>
      <c r="W30" s="9" t="s">
        <v>31</v>
      </c>
      <c r="X30" s="9" t="s">
        <v>29</v>
      </c>
    </row>
    <row r="31" spans="1:31" s="9" customFormat="1">
      <c r="A31" s="8">
        <f>H44/F31</f>
        <v>2.9999999999999997E-4</v>
      </c>
      <c r="B31" s="9">
        <v>0.01</v>
      </c>
      <c r="C31" s="9">
        <f t="shared" ref="C31" si="41">A31/SQRT(B31)</f>
        <v>2.9999999999999996E-3</v>
      </c>
      <c r="D31" s="9">
        <f>A31/B31</f>
        <v>2.9999999999999995E-2</v>
      </c>
      <c r="E31" s="9">
        <v>5.0000000000000001E-3</v>
      </c>
      <c r="F31" s="9">
        <v>50</v>
      </c>
      <c r="G31" s="8"/>
      <c r="H31" s="9">
        <v>1.4999999999999999E-2</v>
      </c>
      <c r="I31" s="9">
        <f t="shared" ref="I31:I35" si="42">E31/H31</f>
        <v>0.33333333333333337</v>
      </c>
      <c r="J31" s="8"/>
      <c r="K31" s="8"/>
      <c r="N31" s="9">
        <v>0.1575048</v>
      </c>
      <c r="O31" s="12">
        <v>8.1194329999999998E-8</v>
      </c>
      <c r="Q31" s="12">
        <f>N31/O31</f>
        <v>1939849.7407392857</v>
      </c>
      <c r="R31" s="12">
        <f>43/Q31</f>
        <v>2.2166665333373967E-5</v>
      </c>
    </row>
    <row r="32" spans="1:31" s="9" customFormat="1">
      <c r="A32" s="9">
        <v>5.0000000000000001E-4</v>
      </c>
      <c r="B32" s="9">
        <v>0.01</v>
      </c>
      <c r="C32" s="9">
        <f t="shared" ref="C32" si="43">A32/SQRT(B32)</f>
        <v>5.0000000000000001E-3</v>
      </c>
      <c r="D32" s="9">
        <f t="shared" ref="D32" si="44">A32/B32</f>
        <v>0.05</v>
      </c>
      <c r="E32" s="9">
        <v>5.0000000000000001E-3</v>
      </c>
      <c r="F32" s="9">
        <f>H31/A32</f>
        <v>30</v>
      </c>
      <c r="G32" s="9">
        <v>50</v>
      </c>
      <c r="H32" s="9">
        <v>1.4999999999999999E-2</v>
      </c>
      <c r="I32" s="9">
        <f>E32/H32</f>
        <v>0.33333333333333337</v>
      </c>
      <c r="J32" s="9" t="s">
        <v>19</v>
      </c>
      <c r="K32" s="9">
        <f t="shared" ref="K32:K35" si="45">($B$2*128)^(1/3)*(2*$B$5^2/$B$1)^(1/12)/G32^(0.25)</f>
        <v>8.4811304379028511E-3</v>
      </c>
      <c r="L32" s="9" t="s">
        <v>10</v>
      </c>
      <c r="M32" s="9">
        <f t="shared" ref="M32" si="46">($B$2*128)^(1/3)*(2*$B$5^2/$B$1)^(1/12)/G32^(0.25)*SQRT(B32)</f>
        <v>8.4811304379028515E-4</v>
      </c>
      <c r="N32" s="12">
        <v>0.26211099999999998</v>
      </c>
      <c r="O32" s="12">
        <v>1.3534949999999999E-7</v>
      </c>
      <c r="P32" s="12"/>
      <c r="Q32" s="12">
        <f>N32/O32</f>
        <v>1936549.451604919</v>
      </c>
      <c r="R32" s="12">
        <f>43/Q32</f>
        <v>2.2204442011208992E-5</v>
      </c>
      <c r="S32" s="12"/>
      <c r="T32" s="9">
        <v>0.81128353687909405</v>
      </c>
      <c r="U32" s="9">
        <v>10.3406107121845</v>
      </c>
      <c r="V32" s="9">
        <v>1.01017223135935</v>
      </c>
      <c r="W32" s="9">
        <v>0.68006358422966595</v>
      </c>
      <c r="X32" s="9">
        <v>0.94552068051315197</v>
      </c>
      <c r="Y32" s="9">
        <f t="shared" ref="Y32:Y35" si="47">(V32-2*(1*E32*A32/(F32*PI()*A32^2/4)))/(1)</f>
        <v>0.16134586820257468</v>
      </c>
    </row>
    <row r="33" spans="1:26" s="9" customFormat="1">
      <c r="A33" s="9">
        <v>1E-3</v>
      </c>
      <c r="B33" s="9">
        <v>0.01</v>
      </c>
      <c r="C33" s="9">
        <f>A33/SQRT(B33)</f>
        <v>0.01</v>
      </c>
      <c r="D33" s="9">
        <f>A33/B33</f>
        <v>0.1</v>
      </c>
      <c r="E33" s="9">
        <v>5.0000000000000001E-3</v>
      </c>
      <c r="F33" s="9">
        <f>H33/A33</f>
        <v>15</v>
      </c>
      <c r="H33" s="9">
        <v>1.4999999999999999E-2</v>
      </c>
      <c r="I33" s="9">
        <f t="shared" si="42"/>
        <v>0.33333333333333337</v>
      </c>
      <c r="J33" s="9" t="s">
        <v>19</v>
      </c>
      <c r="K33" s="9" t="e">
        <f t="shared" si="45"/>
        <v>#DIV/0!</v>
      </c>
      <c r="L33" s="9" t="s">
        <v>10</v>
      </c>
      <c r="M33" s="9" t="e">
        <f>($B$2*128)^(1/3)*(2*$B$5^2/$B$1)^(1/12)/G33^(0.25)*SQRT(B33)</f>
        <v>#DIV/0!</v>
      </c>
      <c r="N33" s="12">
        <v>0.40473419999999999</v>
      </c>
      <c r="O33" s="12">
        <v>2.708475E-7</v>
      </c>
      <c r="P33" s="12"/>
      <c r="Q33" s="12">
        <f t="shared" ref="Q33:Q35" si="48">N33/O33</f>
        <v>1494325.0353058456</v>
      </c>
      <c r="R33" s="12">
        <f t="shared" ref="R33:R48" si="49">43/Q33</f>
        <v>2.8775533424158375E-5</v>
      </c>
      <c r="S33" s="12"/>
      <c r="T33" s="9">
        <v>0.89712095343245102</v>
      </c>
      <c r="U33" s="9">
        <v>19.582277735660501</v>
      </c>
      <c r="V33" s="9">
        <v>1.2079355175358</v>
      </c>
      <c r="W33" s="9">
        <v>0.64855930933517303</v>
      </c>
      <c r="X33" s="9">
        <v>7.1926601590885E-2</v>
      </c>
      <c r="Y33" s="9">
        <f t="shared" si="47"/>
        <v>0.35910915437902469</v>
      </c>
    </row>
    <row r="34" spans="1:26" s="9" customFormat="1">
      <c r="A34" s="9">
        <v>2.5000000000000001E-3</v>
      </c>
      <c r="B34" s="9">
        <v>0.01</v>
      </c>
      <c r="C34" s="9">
        <f>A34/SQRT(B34)</f>
        <v>2.4999999999999998E-2</v>
      </c>
      <c r="D34" s="9">
        <f>A34/B34</f>
        <v>0.25</v>
      </c>
      <c r="E34" s="9">
        <v>5.0000000000000001E-3</v>
      </c>
      <c r="F34" s="9">
        <f>H34/A34</f>
        <v>6</v>
      </c>
      <c r="H34" s="9">
        <v>1.4999999999999999E-2</v>
      </c>
      <c r="I34" s="9">
        <f t="shared" si="42"/>
        <v>0.33333333333333337</v>
      </c>
      <c r="J34" s="9" t="s">
        <v>19</v>
      </c>
      <c r="K34" s="9" t="e">
        <f t="shared" si="45"/>
        <v>#DIV/0!</v>
      </c>
      <c r="L34" s="9" t="s">
        <v>10</v>
      </c>
      <c r="M34" s="9" t="e">
        <f>($B$2*128)^(1/3)*(2*$B$5^2/$B$1)^(1/12)/G34^(0.25)*SQRT(B34)</f>
        <v>#DIV/0!</v>
      </c>
      <c r="N34" s="12">
        <v>0.64981029999999995</v>
      </c>
      <c r="O34" s="12">
        <v>6.7831640000000002E-7</v>
      </c>
      <c r="P34" s="12"/>
      <c r="Q34" s="12">
        <f t="shared" si="48"/>
        <v>957975.2162854973</v>
      </c>
      <c r="R34" s="12">
        <f t="shared" si="49"/>
        <v>4.4886338674533171E-5</v>
      </c>
      <c r="S34" s="12"/>
      <c r="T34" s="9">
        <v>0.88477712297057898</v>
      </c>
      <c r="U34" s="9">
        <v>28.2180219017119</v>
      </c>
      <c r="V34" s="9">
        <v>1.41403202072898</v>
      </c>
      <c r="W34" s="9">
        <v>0.48216040994842302</v>
      </c>
      <c r="Y34" s="9">
        <f t="shared" si="47"/>
        <v>0.56520565757220487</v>
      </c>
    </row>
    <row r="35" spans="1:26" s="9" customFormat="1">
      <c r="A35" s="9">
        <v>5.0000000000000001E-3</v>
      </c>
      <c r="B35" s="9">
        <v>0.01</v>
      </c>
      <c r="C35" s="9">
        <f>A35/SQRT(B35)</f>
        <v>4.9999999999999996E-2</v>
      </c>
      <c r="D35" s="9">
        <f>A35/B35</f>
        <v>0.5</v>
      </c>
      <c r="E35" s="9">
        <v>5.0000000000000001E-3</v>
      </c>
      <c r="F35" s="9">
        <f>H35/A35</f>
        <v>3</v>
      </c>
      <c r="H35" s="9">
        <v>1.4999999999999999E-2</v>
      </c>
      <c r="I35" s="9">
        <f t="shared" si="42"/>
        <v>0.33333333333333337</v>
      </c>
      <c r="J35" s="9" t="s">
        <v>19</v>
      </c>
      <c r="K35" s="9" t="e">
        <f t="shared" si="45"/>
        <v>#DIV/0!</v>
      </c>
      <c r="L35" s="9" t="s">
        <v>10</v>
      </c>
      <c r="M35" s="9" t="e">
        <f>($B$2*128)^(1/3)*(2*$B$5^2/$B$1)^(1/12)/G35^(0.25)*SQRT(B35)</f>
        <v>#DIV/0!</v>
      </c>
      <c r="N35" s="12">
        <v>0.76811949999999996</v>
      </c>
      <c r="O35" s="12">
        <v>1.362621E-6</v>
      </c>
      <c r="P35" s="12"/>
      <c r="Q35" s="12">
        <f t="shared" si="48"/>
        <v>563707.36984091683</v>
      </c>
      <c r="R35" s="12">
        <f t="shared" si="49"/>
        <v>7.6280712831792462E-5</v>
      </c>
      <c r="S35" s="12"/>
      <c r="T35" s="9">
        <v>1.0484</v>
      </c>
      <c r="U35" s="9">
        <v>16.5886</v>
      </c>
      <c r="V35" s="9">
        <v>1.2210000000000001</v>
      </c>
      <c r="W35" s="9">
        <v>0.87319999999999998</v>
      </c>
      <c r="X35" s="9">
        <v>1</v>
      </c>
      <c r="Y35" s="9">
        <f t="shared" si="47"/>
        <v>0.37217363684322491</v>
      </c>
    </row>
    <row r="36" spans="1:26" s="9" customFormat="1">
      <c r="N36" s="12"/>
      <c r="O36" s="12"/>
      <c r="P36" s="12"/>
      <c r="Q36" s="12"/>
      <c r="R36" s="12"/>
      <c r="S36" s="12"/>
    </row>
    <row r="37" spans="1:26" s="9" customFormat="1">
      <c r="A37" s="8" t="s">
        <v>0</v>
      </c>
      <c r="B37" s="8" t="s">
        <v>1</v>
      </c>
      <c r="C37" s="8" t="s">
        <v>9</v>
      </c>
      <c r="D37" s="8" t="s">
        <v>13</v>
      </c>
      <c r="E37" s="8" t="s">
        <v>14</v>
      </c>
      <c r="F37" s="8" t="s">
        <v>12</v>
      </c>
      <c r="G37" s="8" t="s">
        <v>7</v>
      </c>
      <c r="H37" s="8" t="s">
        <v>2</v>
      </c>
      <c r="I37" s="8"/>
      <c r="J37" s="8"/>
      <c r="K37" s="8"/>
      <c r="Q37" s="12"/>
      <c r="R37" s="12"/>
      <c r="S37" s="12"/>
    </row>
    <row r="38" spans="1:26" s="9" customFormat="1">
      <c r="A38" s="9">
        <v>5.0000000000000001E-4</v>
      </c>
      <c r="B38" s="9">
        <v>0.01</v>
      </c>
      <c r="C38" s="9">
        <f t="shared" ref="C38" si="50">A38/SQRT(B38)</f>
        <v>5.0000000000000001E-3</v>
      </c>
      <c r="D38" s="9">
        <f t="shared" ref="D38" si="51">A38/B38</f>
        <v>0.05</v>
      </c>
      <c r="E38" s="9">
        <v>1.4999999999999999E-2</v>
      </c>
      <c r="F38" s="9">
        <f t="shared" ref="F38" si="52">H38/A38</f>
        <v>30</v>
      </c>
      <c r="G38" s="9">
        <v>50</v>
      </c>
      <c r="H38" s="9">
        <v>1.4999999999999999E-2</v>
      </c>
      <c r="I38" s="9">
        <f t="shared" ref="I38:I48" si="53">E38/H38</f>
        <v>1</v>
      </c>
      <c r="J38" s="9" t="s">
        <v>19</v>
      </c>
      <c r="K38" s="9">
        <f t="shared" ref="K38:K41" si="54">($B$2*128)^(1/3)*(2*$B$5^2/$B$1)^(1/12)/G38^(0.25)</f>
        <v>8.4811304379028511E-3</v>
      </c>
      <c r="L38" s="9" t="s">
        <v>10</v>
      </c>
      <c r="M38" s="9">
        <f t="shared" ref="M38" si="55">($B$2*128)^(1/3)*(2*$B$5^2/$B$1)^(1/12)/G38^(0.25)*SQRT(B38)</f>
        <v>8.4811304379028515E-4</v>
      </c>
      <c r="N38" s="12">
        <v>0.50280460000000005</v>
      </c>
      <c r="O38" s="12">
        <v>2.8990459999999998E-7</v>
      </c>
      <c r="P38" s="12"/>
      <c r="Q38" s="12">
        <f t="shared" ref="Q38:Q48" si="56">N38/O38</f>
        <v>1734379.5165720037</v>
      </c>
      <c r="R38" s="12">
        <f t="shared" si="49"/>
        <v>2.4792728228818904E-5</v>
      </c>
      <c r="S38" s="12"/>
      <c r="T38" s="9">
        <v>2.3964378491014302</v>
      </c>
      <c r="U38" s="9">
        <v>4.58884203138647</v>
      </c>
      <c r="V38" s="9">
        <v>2.6629029996332498</v>
      </c>
      <c r="W38" s="9">
        <v>2.1457784871116199</v>
      </c>
      <c r="X38" s="9">
        <v>0.93472846959050904</v>
      </c>
      <c r="Y38" s="9">
        <f t="shared" ref="Y38:Y41" si="57">(V38-2*(1*E38*A38/(F38*PI()*A38^2/4)))/(1)</f>
        <v>0.11642391016292386</v>
      </c>
    </row>
    <row r="39" spans="1:26" s="9" customFormat="1">
      <c r="A39" s="9">
        <v>1E-3</v>
      </c>
      <c r="B39" s="9">
        <v>0.01</v>
      </c>
      <c r="C39" s="9">
        <f>A39/SQRT(B39)</f>
        <v>0.01</v>
      </c>
      <c r="D39" s="9">
        <f>A39/B39</f>
        <v>0.1</v>
      </c>
      <c r="E39" s="9">
        <v>1.4999999999999999E-2</v>
      </c>
      <c r="F39" s="9">
        <f>H39/A39</f>
        <v>15</v>
      </c>
      <c r="H39" s="9">
        <v>1.4999999999999999E-2</v>
      </c>
      <c r="I39" s="9">
        <f t="shared" si="53"/>
        <v>1</v>
      </c>
      <c r="J39" s="9" t="s">
        <v>19</v>
      </c>
      <c r="K39" s="9" t="e">
        <f t="shared" si="54"/>
        <v>#DIV/0!</v>
      </c>
      <c r="L39" s="9" t="s">
        <v>10</v>
      </c>
      <c r="M39" s="9" t="e">
        <f>($B$2*128)^(1/3)*(2*$B$5^2/$B$1)^(1/12)/G39^(0.25)*SQRT(B39)</f>
        <v>#DIV/0!</v>
      </c>
      <c r="N39" s="12">
        <v>0.86723229999999996</v>
      </c>
      <c r="O39" s="12">
        <v>5.8012979999999996E-7</v>
      </c>
      <c r="P39" s="12"/>
      <c r="Q39" s="12">
        <f t="shared" si="56"/>
        <v>1494893.556579924</v>
      </c>
      <c r="R39" s="12">
        <f t="shared" si="49"/>
        <v>2.8764589833658181E-5</v>
      </c>
      <c r="S39" s="12"/>
      <c r="T39" s="9">
        <v>2.3839891032193101</v>
      </c>
      <c r="U39" s="9">
        <v>10.2147159238</v>
      </c>
      <c r="V39" s="9">
        <v>2.7303697710643</v>
      </c>
      <c r="W39" s="9">
        <v>1.62161576012204</v>
      </c>
      <c r="X39" s="9">
        <v>-0.57403591748592397</v>
      </c>
      <c r="Y39" s="9">
        <f t="shared" si="57"/>
        <v>0.18389068159397404</v>
      </c>
    </row>
    <row r="40" spans="1:26" s="9" customFormat="1">
      <c r="A40" s="9">
        <v>2.5000000000000001E-3</v>
      </c>
      <c r="B40" s="9">
        <v>0.01</v>
      </c>
      <c r="C40" s="9">
        <f>A40/SQRT(B40)</f>
        <v>2.4999999999999998E-2</v>
      </c>
      <c r="D40" s="9">
        <f>A40/B40</f>
        <v>0.25</v>
      </c>
      <c r="E40" s="9">
        <v>1.4999999999999999E-2</v>
      </c>
      <c r="F40" s="9">
        <f>H40/A40</f>
        <v>6</v>
      </c>
      <c r="H40" s="9">
        <v>1.4999999999999999E-2</v>
      </c>
      <c r="I40" s="9">
        <f t="shared" si="53"/>
        <v>1</v>
      </c>
      <c r="J40" s="9" t="s">
        <v>19</v>
      </c>
      <c r="K40" s="9" t="e">
        <f t="shared" si="54"/>
        <v>#DIV/0!</v>
      </c>
      <c r="L40" s="9" t="s">
        <v>10</v>
      </c>
      <c r="M40" s="9" t="e">
        <f>($B$2*128)^(1/3)*(2*$B$5^2/$B$1)^(1/12)/G40^(0.25)*SQRT(B40)</f>
        <v>#DIV/0!</v>
      </c>
      <c r="N40" s="9">
        <v>1.135235</v>
      </c>
      <c r="O40" s="12">
        <v>1.452166E-6</v>
      </c>
      <c r="P40" s="12"/>
      <c r="Q40" s="12">
        <f t="shared" si="56"/>
        <v>781752.91254581092</v>
      </c>
      <c r="R40" s="12">
        <f t="shared" si="49"/>
        <v>5.5004592000775167E-5</v>
      </c>
      <c r="S40" s="12"/>
      <c r="T40" s="9">
        <v>2.1757661304104201</v>
      </c>
      <c r="U40" s="9">
        <v>17.578406000767998</v>
      </c>
      <c r="V40" s="9">
        <v>2.7050107141354598</v>
      </c>
      <c r="W40" s="9">
        <v>1.3225306880374801</v>
      </c>
      <c r="X40" s="9">
        <v>-0.47125939804767503</v>
      </c>
      <c r="Y40" s="9">
        <f t="shared" si="57"/>
        <v>0.15853162466513471</v>
      </c>
    </row>
    <row r="41" spans="1:26" s="9" customFormat="1">
      <c r="A41" s="9">
        <v>5.0000000000000001E-3</v>
      </c>
      <c r="B41" s="9">
        <v>0.01</v>
      </c>
      <c r="C41" s="9">
        <f>A41/SQRT(B41)</f>
        <v>4.9999999999999996E-2</v>
      </c>
      <c r="D41" s="9">
        <f>A41/B41</f>
        <v>0.5</v>
      </c>
      <c r="E41" s="9">
        <v>1.4999999999999999E-2</v>
      </c>
      <c r="F41" s="9">
        <f>H41/A41</f>
        <v>3</v>
      </c>
      <c r="H41" s="9">
        <v>1.4999999999999999E-2</v>
      </c>
      <c r="I41" s="9">
        <f t="shared" si="53"/>
        <v>1</v>
      </c>
      <c r="J41" s="9" t="s">
        <v>19</v>
      </c>
      <c r="K41" s="9" t="e">
        <f t="shared" si="54"/>
        <v>#DIV/0!</v>
      </c>
      <c r="L41" s="9" t="s">
        <v>10</v>
      </c>
      <c r="M41" s="9" t="e">
        <f>($B$2*128)^(1/3)*(2*$B$5^2/$B$1)^(1/12)/G41^(0.25)*SQRT(B41)</f>
        <v>#DIV/0!</v>
      </c>
      <c r="N41" s="9">
        <v>1.2080770000000001</v>
      </c>
      <c r="O41" s="12">
        <v>2.9111540000000002E-6</v>
      </c>
      <c r="P41" s="12"/>
      <c r="Q41" s="12">
        <f t="shared" si="56"/>
        <v>414982.16858331783</v>
      </c>
      <c r="R41" s="12">
        <f t="shared" si="49"/>
        <v>1.036189100529188E-4</v>
      </c>
      <c r="S41" s="12"/>
      <c r="T41" s="9">
        <v>1.9277</v>
      </c>
      <c r="U41" s="9">
        <v>22.255800000000001</v>
      </c>
      <c r="V41" s="9">
        <v>2.3439999999999999</v>
      </c>
      <c r="W41" s="9">
        <v>1.4870000000000001</v>
      </c>
      <c r="X41" s="9">
        <v>-0.10390000000000001</v>
      </c>
      <c r="Y41" s="9">
        <f t="shared" si="57"/>
        <v>-0.20247908947032522</v>
      </c>
    </row>
    <row r="42" spans="1:26" s="9" customFormat="1" ht="13.5" customHeight="1">
      <c r="Q42" s="12"/>
      <c r="R42" s="12"/>
      <c r="S42" s="12"/>
    </row>
    <row r="43" spans="1:26" s="9" customFormat="1">
      <c r="A43" s="8" t="s">
        <v>0</v>
      </c>
      <c r="B43" s="8" t="s">
        <v>1</v>
      </c>
      <c r="C43" s="8" t="s">
        <v>9</v>
      </c>
      <c r="D43" s="8" t="s">
        <v>13</v>
      </c>
      <c r="E43" s="8" t="s">
        <v>14</v>
      </c>
      <c r="F43" s="8" t="s">
        <v>12</v>
      </c>
      <c r="G43" s="8" t="s">
        <v>7</v>
      </c>
      <c r="H43" s="8" t="s">
        <v>2</v>
      </c>
      <c r="J43" s="8"/>
      <c r="K43" s="8"/>
      <c r="Q43" s="12"/>
      <c r="R43" s="12"/>
      <c r="S43" s="12"/>
    </row>
    <row r="44" spans="1:26" s="9" customFormat="1">
      <c r="G44" s="8"/>
      <c r="H44" s="8">
        <v>1.4999999999999999E-2</v>
      </c>
      <c r="J44" s="8"/>
      <c r="K44" s="8"/>
    </row>
    <row r="45" spans="1:26" s="9" customFormat="1">
      <c r="A45" s="9">
        <v>5.0000000000000001E-4</v>
      </c>
      <c r="B45" s="9">
        <v>0.01</v>
      </c>
      <c r="C45" s="9">
        <f t="shared" ref="C45" si="58">A45/SQRT(B45)</f>
        <v>5.0000000000000001E-3</v>
      </c>
      <c r="D45" s="9">
        <f t="shared" ref="D45" si="59">A45/B45</f>
        <v>0.05</v>
      </c>
      <c r="E45" s="9">
        <v>0.05</v>
      </c>
      <c r="F45" s="9">
        <f t="shared" ref="F45" si="60">H45/A45</f>
        <v>30</v>
      </c>
      <c r="G45" s="9">
        <v>50</v>
      </c>
      <c r="H45" s="9">
        <v>1.4999999999999999E-2</v>
      </c>
      <c r="I45" s="9">
        <f t="shared" si="53"/>
        <v>3.3333333333333335</v>
      </c>
      <c r="J45" s="9" t="s">
        <v>19</v>
      </c>
      <c r="K45" s="9">
        <f t="shared" ref="K45:K48" si="61">($B$2*128)^(1/3)*(2*$B$5^2/$B$1)^(1/12)/G45^(0.25)</f>
        <v>8.4811304379028511E-3</v>
      </c>
      <c r="L45" s="9" t="s">
        <v>10</v>
      </c>
      <c r="M45" s="9">
        <f t="shared" ref="M45" si="62">($B$2*128)^(1/3)*(2*$B$5^2/$B$1)^(1/12)/G45^(0.25)*SQRT(B45)</f>
        <v>8.4811304379028515E-4</v>
      </c>
      <c r="N45" s="9">
        <v>1.354922</v>
      </c>
      <c r="O45" s="12">
        <v>8.309468E-7</v>
      </c>
      <c r="P45" s="12"/>
      <c r="Q45" s="12">
        <f t="shared" si="56"/>
        <v>1630576.1090842397</v>
      </c>
      <c r="R45" s="12">
        <f t="shared" si="49"/>
        <v>2.6371047484652256E-5</v>
      </c>
      <c r="S45" s="12"/>
      <c r="T45" s="9">
        <v>7.7443849285177304</v>
      </c>
      <c r="U45" s="9">
        <v>4.6831174053565698</v>
      </c>
      <c r="V45" s="9">
        <v>8.2929163073754797</v>
      </c>
      <c r="W45" s="9">
        <v>6.7011940598730302</v>
      </c>
      <c r="X45" s="9">
        <v>-0.235208776027829</v>
      </c>
      <c r="Y45" s="9">
        <f>(V45-2*(1*E45*A45/(F45*PI()*A45^2/4)))/(1)</f>
        <v>-0.19534732419227296</v>
      </c>
    </row>
    <row r="46" spans="1:26" s="9" customFormat="1">
      <c r="A46" s="9">
        <v>1E-3</v>
      </c>
      <c r="B46" s="9">
        <v>0.01</v>
      </c>
      <c r="C46" s="9">
        <f>A46/SQRT(B46)</f>
        <v>0.01</v>
      </c>
      <c r="D46" s="9">
        <f>A46/B46</f>
        <v>0.1</v>
      </c>
      <c r="E46" s="9">
        <v>0.05</v>
      </c>
      <c r="F46" s="9">
        <f>H46/A46</f>
        <v>15</v>
      </c>
      <c r="H46" s="9">
        <v>1.4999999999999999E-2</v>
      </c>
      <c r="I46" s="9">
        <f t="shared" si="53"/>
        <v>3.3333333333333335</v>
      </c>
      <c r="J46" s="9" t="s">
        <v>19</v>
      </c>
      <c r="K46" s="9" t="e">
        <f t="shared" si="61"/>
        <v>#DIV/0!</v>
      </c>
      <c r="L46" s="9" t="s">
        <v>10</v>
      </c>
      <c r="M46" s="9" t="e">
        <f>($B$2*128)^(1/3)*(2*$B$5^2/$B$1)^(1/12)/G46^(0.25)*SQRT(B46)</f>
        <v>#DIV/0!</v>
      </c>
      <c r="N46" s="9">
        <v>1.846346</v>
      </c>
      <c r="O46" s="12">
        <v>1.662456E-6</v>
      </c>
      <c r="P46" s="12"/>
      <c r="Q46" s="12">
        <f t="shared" si="56"/>
        <v>1110613.4538297555</v>
      </c>
      <c r="R46" s="12">
        <f t="shared" si="49"/>
        <v>3.8717341170073213E-5</v>
      </c>
      <c r="S46" s="12"/>
      <c r="T46" s="9">
        <v>7.31414799037774</v>
      </c>
      <c r="U46" s="9">
        <v>8.0168822633290802</v>
      </c>
      <c r="V46" s="9">
        <v>8.0366655048103102</v>
      </c>
      <c r="W46" s="9">
        <v>5.21923920078265</v>
      </c>
      <c r="X46" s="9">
        <v>-0.98158460126295</v>
      </c>
      <c r="Y46" s="9">
        <f>(V46-2*(1*E46*A46/(F46*PI()*A46^2/4)))/(1)</f>
        <v>-0.45159812675744249</v>
      </c>
    </row>
    <row r="47" spans="1:26" s="9" customFormat="1">
      <c r="A47" s="9">
        <v>2.5000000000000001E-3</v>
      </c>
      <c r="B47" s="9">
        <v>0.01</v>
      </c>
      <c r="C47" s="9">
        <f>A47/SQRT(B47)</f>
        <v>2.4999999999999998E-2</v>
      </c>
      <c r="D47" s="9">
        <f>A47/B47</f>
        <v>0.25</v>
      </c>
      <c r="E47" s="9">
        <v>0.05</v>
      </c>
      <c r="F47" s="9">
        <f>H47/A47</f>
        <v>6</v>
      </c>
      <c r="H47" s="9">
        <v>1.4999999999999999E-2</v>
      </c>
      <c r="I47" s="9">
        <f t="shared" si="53"/>
        <v>3.3333333333333335</v>
      </c>
      <c r="J47" s="9" t="s">
        <v>19</v>
      </c>
      <c r="K47" s="9" t="e">
        <f t="shared" si="61"/>
        <v>#DIV/0!</v>
      </c>
      <c r="L47" s="9" t="s">
        <v>10</v>
      </c>
      <c r="M47" s="9" t="e">
        <f>($B$2*128)^(1/3)*(2*$B$5^2/$B$1)^(1/12)/G47^(0.25)*SQRT(B47)</f>
        <v>#DIV/0!</v>
      </c>
      <c r="N47" s="12">
        <v>2.0761699999999998</v>
      </c>
      <c r="O47" s="12">
        <v>4.1606569999999997E-6</v>
      </c>
      <c r="P47" s="12"/>
      <c r="Q47" s="12">
        <f t="shared" si="56"/>
        <v>499000.51842773869</v>
      </c>
      <c r="R47" s="12">
        <f t="shared" si="49"/>
        <v>8.6172255162149535E-5</v>
      </c>
      <c r="S47" s="12"/>
      <c r="T47" s="9">
        <v>6.1218356698608396</v>
      </c>
      <c r="U47" s="9">
        <v>10.700387100984999</v>
      </c>
      <c r="V47" s="9">
        <v>6.7950528433891302</v>
      </c>
      <c r="W47" s="9">
        <v>4.3087546596383302</v>
      </c>
      <c r="X47" s="9">
        <v>-1.04245144889261</v>
      </c>
      <c r="Y47" s="9">
        <v>-1.4</v>
      </c>
      <c r="Z47" s="9" t="s">
        <v>33</v>
      </c>
    </row>
    <row r="48" spans="1:26" s="9" customFormat="1">
      <c r="A48" s="9">
        <v>5.0000000000000001E-3</v>
      </c>
      <c r="B48" s="9">
        <v>0.01</v>
      </c>
      <c r="C48" s="9">
        <f>A48/SQRT(B48)</f>
        <v>4.9999999999999996E-2</v>
      </c>
      <c r="D48" s="9">
        <f>A48/B48</f>
        <v>0.5</v>
      </c>
      <c r="E48" s="9">
        <v>0.05</v>
      </c>
      <c r="F48" s="9">
        <f>H48/A48</f>
        <v>3</v>
      </c>
      <c r="H48" s="9">
        <v>1.4999999999999999E-2</v>
      </c>
      <c r="I48" s="9">
        <f t="shared" si="53"/>
        <v>3.3333333333333335</v>
      </c>
      <c r="J48" s="9" t="s">
        <v>19</v>
      </c>
      <c r="K48" s="9" t="e">
        <f t="shared" si="61"/>
        <v>#DIV/0!</v>
      </c>
      <c r="L48" s="9" t="s">
        <v>10</v>
      </c>
      <c r="M48" s="9" t="e">
        <f>($B$2*128)^(1/3)*(2*$B$5^2/$B$1)^(1/12)/G48^(0.25)*SQRT(B48)</f>
        <v>#DIV/0!</v>
      </c>
      <c r="N48" s="9">
        <v>2.1011329999999999</v>
      </c>
      <c r="O48" s="12">
        <v>8.3363209999999992E-6</v>
      </c>
      <c r="P48" s="12"/>
      <c r="Q48" s="12">
        <f t="shared" si="56"/>
        <v>252045.59661270241</v>
      </c>
      <c r="R48" s="12">
        <f t="shared" si="49"/>
        <v>1.7060405171876315E-4</v>
      </c>
      <c r="S48" s="12"/>
      <c r="T48" s="9">
        <v>5.1680000000000001</v>
      </c>
      <c r="U48" s="9">
        <v>21.1312</v>
      </c>
      <c r="V48" s="9">
        <v>6.11</v>
      </c>
      <c r="W48" s="9">
        <v>3.9710000000000001</v>
      </c>
      <c r="X48" s="9">
        <v>0.40560000000000002</v>
      </c>
      <c r="Y48" s="9">
        <f>(V48-2*(1*E48*A48/(F48*PI()*A48^2/4)))/(1)</f>
        <v>-2.3782636315677523</v>
      </c>
    </row>
    <row r="49" s="9" customFormat="1"/>
  </sheetData>
  <mergeCells count="1">
    <mergeCell ref="V7:W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E15" sqref="E15"/>
    </sheetView>
  </sheetViews>
  <sheetFormatPr defaultRowHeight="15"/>
  <cols>
    <col min="9" max="9" width="12.5703125" customWidth="1"/>
    <col min="10" max="10" width="13.85546875" customWidth="1"/>
    <col min="13" max="13" width="13.5703125" customWidth="1"/>
    <col min="16" max="16" width="12.7109375" customWidth="1"/>
  </cols>
  <sheetData>
    <row r="1" spans="1:16">
      <c r="A1" s="8" t="s">
        <v>0</v>
      </c>
      <c r="B1" s="8" t="s">
        <v>1</v>
      </c>
      <c r="C1" s="8" t="s">
        <v>9</v>
      </c>
      <c r="D1" s="8" t="s">
        <v>13</v>
      </c>
      <c r="E1" s="8" t="s">
        <v>12</v>
      </c>
      <c r="F1" s="8" t="s">
        <v>7</v>
      </c>
      <c r="G1" s="8"/>
      <c r="H1" s="9" t="s">
        <v>21</v>
      </c>
      <c r="I1" s="9" t="s">
        <v>26</v>
      </c>
      <c r="J1" s="9" t="s">
        <v>25</v>
      </c>
      <c r="K1" s="9" t="s">
        <v>18</v>
      </c>
      <c r="L1" s="9" t="s">
        <v>28</v>
      </c>
      <c r="M1" s="9" t="s">
        <v>27</v>
      </c>
      <c r="N1" s="9" t="s">
        <v>30</v>
      </c>
      <c r="O1" s="9" t="s">
        <v>31</v>
      </c>
      <c r="P1" s="9" t="s">
        <v>29</v>
      </c>
    </row>
    <row r="2" spans="1:16">
      <c r="A2" s="8">
        <v>1.0000000000000001E-5</v>
      </c>
      <c r="B2" s="9">
        <v>0.01</v>
      </c>
      <c r="C2" s="9">
        <f t="shared" ref="C2" si="0">A2/SQRT(B2)</f>
        <v>1E-4</v>
      </c>
      <c r="D2" s="9">
        <f t="shared" ref="D2" si="1">A2/B2</f>
        <v>1E-3</v>
      </c>
      <c r="E2" s="8">
        <v>1</v>
      </c>
      <c r="F2" s="8"/>
      <c r="G2" s="8"/>
      <c r="H2" s="12">
        <v>2.5330260000000001E-5</v>
      </c>
      <c r="I2" s="12">
        <f>PI()*A2^2/4*B2</f>
        <v>7.8539816339744837E-13</v>
      </c>
      <c r="J2" s="12">
        <f>H2/I2</f>
        <v>32251488.710423302</v>
      </c>
      <c r="K2" s="12">
        <f>43/H2</f>
        <v>1697574.3636267451</v>
      </c>
      <c r="L2" s="9"/>
      <c r="M2" s="9"/>
      <c r="N2" s="9"/>
      <c r="O2" s="9"/>
      <c r="P2" s="9"/>
    </row>
    <row r="3" spans="1:16">
      <c r="A3" s="9">
        <v>5.0000000000000001E-4</v>
      </c>
      <c r="B3" s="9">
        <v>0.01</v>
      </c>
      <c r="C3" s="9">
        <f t="shared" ref="C3" si="2">A3/SQRT(B3)</f>
        <v>5.0000000000000001E-3</v>
      </c>
      <c r="D3" s="9">
        <f t="shared" ref="D3" si="3">A3/B3</f>
        <v>0.05</v>
      </c>
      <c r="E3" s="8">
        <v>1</v>
      </c>
      <c r="F3" s="9">
        <v>50</v>
      </c>
      <c r="G3" s="9"/>
      <c r="H3" s="12">
        <v>1.114478E-2</v>
      </c>
      <c r="I3" s="12">
        <f>PI()*A3^2/4*B3</f>
        <v>1.9634954084936207E-9</v>
      </c>
      <c r="J3" s="12">
        <f>H3/I3</f>
        <v>5675989.8453494189</v>
      </c>
      <c r="K3" s="12">
        <f t="shared" ref="K3:K6" si="4">43/H3</f>
        <v>3858.3085534214224</v>
      </c>
      <c r="L3" s="9"/>
      <c r="M3" s="9"/>
      <c r="N3" s="9"/>
      <c r="O3" s="9"/>
      <c r="P3" s="9"/>
    </row>
    <row r="4" spans="1:16">
      <c r="A4" s="9">
        <v>2.5000000000000001E-3</v>
      </c>
      <c r="B4" s="9">
        <v>0.01</v>
      </c>
      <c r="C4" s="9">
        <f>A4/SQRT(B4)</f>
        <v>2.4999999999999998E-2</v>
      </c>
      <c r="D4" s="9">
        <f>A4/B4</f>
        <v>0.25</v>
      </c>
      <c r="E4" s="8">
        <v>1</v>
      </c>
      <c r="F4" s="9"/>
      <c r="G4" s="9"/>
      <c r="H4" s="12">
        <v>0.1401635</v>
      </c>
      <c r="I4" s="12">
        <f>PI()*A4^2/4*B4</f>
        <v>4.9087385212340521E-8</v>
      </c>
      <c r="J4" s="12">
        <f>H4/I4</f>
        <v>2855387.3748557912</v>
      </c>
      <c r="K4" s="12">
        <f t="shared" si="4"/>
        <v>306.78457658377539</v>
      </c>
      <c r="L4" s="9"/>
      <c r="M4" s="9"/>
      <c r="N4" s="9"/>
      <c r="O4" s="9"/>
      <c r="P4" s="9"/>
    </row>
    <row r="5" spans="1:16">
      <c r="A5" s="9">
        <v>5.0000000000000001E-3</v>
      </c>
      <c r="B5" s="9">
        <v>0.01</v>
      </c>
      <c r="C5" s="9">
        <f>A5/SQRT(B5)</f>
        <v>4.9999999999999996E-2</v>
      </c>
      <c r="D5" s="9">
        <f>A5/B5</f>
        <v>0.5</v>
      </c>
      <c r="E5" s="8">
        <v>1</v>
      </c>
      <c r="F5" s="9"/>
      <c r="G5" s="9"/>
      <c r="H5" s="12">
        <v>0.28760780000000002</v>
      </c>
      <c r="I5" s="12">
        <f>PI()*A5^2/4*B5</f>
        <v>1.9634954084936208E-7</v>
      </c>
      <c r="J5" s="12">
        <f>H5/I5</f>
        <v>1464774.4973371269</v>
      </c>
      <c r="K5" s="12">
        <f t="shared" si="4"/>
        <v>149.50915795746846</v>
      </c>
      <c r="L5" s="9"/>
      <c r="M5" s="9"/>
      <c r="N5" s="9"/>
      <c r="O5" s="9"/>
      <c r="P5" s="9"/>
    </row>
    <row r="6" spans="1:16">
      <c r="A6" s="9">
        <v>0.01</v>
      </c>
      <c r="B6" s="9">
        <v>0.01</v>
      </c>
      <c r="C6" s="9">
        <f>A6/SQRT(B6)</f>
        <v>9.9999999999999992E-2</v>
      </c>
      <c r="D6" s="9">
        <v>1</v>
      </c>
      <c r="E6" s="8">
        <v>1</v>
      </c>
      <c r="F6" s="9"/>
      <c r="G6" s="9"/>
      <c r="H6" s="12">
        <v>0.57579539999999996</v>
      </c>
      <c r="I6" s="12">
        <f>PI()*A6^2/4*B6</f>
        <v>7.8539816339744833E-7</v>
      </c>
      <c r="J6" s="12">
        <f>H6/I6</f>
        <v>733125.47295660083</v>
      </c>
      <c r="K6" s="12">
        <f t="shared" si="4"/>
        <v>74.679304489059831</v>
      </c>
      <c r="L6" s="9"/>
      <c r="M6" s="9"/>
      <c r="N6" s="9"/>
      <c r="O6" s="9"/>
      <c r="P6" s="9"/>
    </row>
    <row r="8" spans="1:16">
      <c r="A8" s="8" t="s">
        <v>0</v>
      </c>
      <c r="B8" s="8" t="s">
        <v>1</v>
      </c>
      <c r="C8" s="8" t="s">
        <v>9</v>
      </c>
      <c r="D8" s="8" t="s">
        <v>13</v>
      </c>
      <c r="E8" s="8" t="s">
        <v>12</v>
      </c>
      <c r="F8" s="8" t="s">
        <v>7</v>
      </c>
      <c r="G8" s="8"/>
      <c r="H8" s="9" t="s">
        <v>21</v>
      </c>
      <c r="I8" s="9" t="s">
        <v>26</v>
      </c>
      <c r="J8" s="9" t="s">
        <v>25</v>
      </c>
      <c r="K8" s="9" t="s">
        <v>18</v>
      </c>
      <c r="L8" s="9" t="s">
        <v>28</v>
      </c>
      <c r="M8" s="9" t="s">
        <v>27</v>
      </c>
      <c r="N8" s="9" t="s">
        <v>30</v>
      </c>
      <c r="O8" s="9" t="s">
        <v>31</v>
      </c>
      <c r="P8" s="9" t="s">
        <v>29</v>
      </c>
    </row>
    <row r="9" spans="1:16">
      <c r="A9" s="8">
        <v>1.0000000000000001E-5</v>
      </c>
      <c r="B9" s="9">
        <v>0.05</v>
      </c>
      <c r="C9" s="9">
        <f t="shared" ref="C9:C10" si="5">A9/SQRT(B9)</f>
        <v>4.4721359549995795E-5</v>
      </c>
      <c r="D9" s="9">
        <f t="shared" ref="D9:D10" si="6">A9/B9</f>
        <v>2.0000000000000001E-4</v>
      </c>
      <c r="E9" s="8">
        <v>1</v>
      </c>
      <c r="F9" s="8"/>
      <c r="G9" s="8"/>
      <c r="H9" s="12">
        <v>2.5330260000000001E-5</v>
      </c>
      <c r="I9" s="12">
        <f>PI()*A9^2/4*B9</f>
        <v>3.926990816987242E-12</v>
      </c>
      <c r="J9" s="12">
        <f>H9/I9</f>
        <v>6450297.7420846596</v>
      </c>
      <c r="K9" s="12">
        <f>43/H9</f>
        <v>1697574.3636267451</v>
      </c>
      <c r="L9" s="9"/>
      <c r="M9" s="9"/>
      <c r="N9" s="9"/>
      <c r="O9" s="9"/>
      <c r="P9" s="9"/>
    </row>
    <row r="10" spans="1:16">
      <c r="A10" s="9">
        <v>5.0000000000000001E-4</v>
      </c>
      <c r="B10" s="9">
        <v>0.05</v>
      </c>
      <c r="C10" s="9">
        <f t="shared" si="5"/>
        <v>2.2360679774997899E-3</v>
      </c>
      <c r="D10" s="9">
        <f t="shared" si="6"/>
        <v>0.01</v>
      </c>
      <c r="E10" s="8">
        <v>1</v>
      </c>
      <c r="F10" s="9">
        <v>50</v>
      </c>
      <c r="G10" s="9"/>
      <c r="H10" s="12">
        <v>1.114478E-2</v>
      </c>
      <c r="I10" s="12">
        <f>PI()*A10^2/4*B10</f>
        <v>9.8174770424681038E-9</v>
      </c>
      <c r="J10" s="12">
        <f>H10/I10</f>
        <v>1135197.9690698837</v>
      </c>
      <c r="K10" s="12">
        <f t="shared" ref="K10:K13" si="7">43/H10</f>
        <v>3858.3085534214224</v>
      </c>
      <c r="L10" s="9"/>
      <c r="M10" s="9"/>
      <c r="N10" s="9"/>
      <c r="O10" s="9"/>
      <c r="P10" s="9"/>
    </row>
    <row r="11" spans="1:16">
      <c r="A11" s="9">
        <v>2.5000000000000001E-3</v>
      </c>
      <c r="B11" s="9">
        <v>0.05</v>
      </c>
      <c r="C11" s="9">
        <f>A11/SQRT(B11)</f>
        <v>1.1180339887498949E-2</v>
      </c>
      <c r="D11" s="9">
        <f>A11/B11</f>
        <v>4.9999999999999996E-2</v>
      </c>
      <c r="E11" s="8">
        <v>1</v>
      </c>
      <c r="F11" s="9"/>
      <c r="G11" s="9"/>
      <c r="H11" s="12">
        <v>0.1401635</v>
      </c>
      <c r="I11" s="12">
        <f>PI()*A11^2/4*B11</f>
        <v>2.4543692606170262E-7</v>
      </c>
      <c r="J11" s="12">
        <f>H11/I11</f>
        <v>571077.47497115831</v>
      </c>
      <c r="K11" s="12">
        <f t="shared" si="7"/>
        <v>306.78457658377539</v>
      </c>
      <c r="L11" s="9"/>
      <c r="M11" s="9"/>
      <c r="N11" s="9"/>
      <c r="O11" s="9"/>
      <c r="P11" s="9"/>
    </row>
    <row r="12" spans="1:16">
      <c r="A12" s="9">
        <v>5.0000000000000001E-3</v>
      </c>
      <c r="B12" s="9">
        <v>0.05</v>
      </c>
      <c r="C12" s="9">
        <f>A12/SQRT(B12)</f>
        <v>2.2360679774997897E-2</v>
      </c>
      <c r="D12" s="9">
        <f>A12/B12</f>
        <v>9.9999999999999992E-2</v>
      </c>
      <c r="E12" s="8">
        <v>1</v>
      </c>
      <c r="F12" s="9"/>
      <c r="G12" s="9"/>
      <c r="H12" s="12">
        <v>0.28760780000000002</v>
      </c>
      <c r="I12" s="12">
        <f>PI()*A12^2/4*B12</f>
        <v>9.8174770424681047E-7</v>
      </c>
      <c r="J12" s="12">
        <f>H12/I12</f>
        <v>292954.89946742536</v>
      </c>
      <c r="K12" s="12">
        <f t="shared" si="7"/>
        <v>149.50915795746846</v>
      </c>
      <c r="L12" s="9"/>
      <c r="M12" s="9"/>
      <c r="N12" s="9"/>
      <c r="O12" s="9"/>
      <c r="P12" s="9"/>
    </row>
    <row r="13" spans="1:16">
      <c r="A13" s="9">
        <v>0.01</v>
      </c>
      <c r="B13" s="9">
        <v>0.05</v>
      </c>
      <c r="C13" s="9">
        <f>A13/SQRT(B13)</f>
        <v>4.4721359549995794E-2</v>
      </c>
      <c r="D13" s="9">
        <v>1</v>
      </c>
      <c r="E13" s="8">
        <v>1</v>
      </c>
      <c r="F13" s="9"/>
      <c r="G13" s="9"/>
      <c r="H13" s="12">
        <v>0.57579539999999996</v>
      </c>
      <c r="I13" s="12">
        <f>PI()*A13^2/4*B13</f>
        <v>3.9269908169872419E-6</v>
      </c>
      <c r="J13" s="12">
        <f>H13/I13</f>
        <v>146625.09459132014</v>
      </c>
      <c r="K13" s="12">
        <f t="shared" si="7"/>
        <v>74.679304489059831</v>
      </c>
      <c r="L13" s="9"/>
      <c r="M13" s="9"/>
      <c r="N13" s="9"/>
      <c r="O13" s="9"/>
      <c r="P13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5"/>
  <sheetViews>
    <sheetView zoomScaleNormal="100" workbookViewId="0">
      <selection activeCell="M12" sqref="M12:N13"/>
    </sheetView>
  </sheetViews>
  <sheetFormatPr defaultRowHeight="15"/>
  <cols>
    <col min="1" max="2" width="6.5703125" customWidth="1"/>
    <col min="3" max="3" width="5.7109375" customWidth="1"/>
    <col min="4" max="4" width="4.7109375" customWidth="1"/>
    <col min="5" max="5" width="6.28515625" customWidth="1"/>
    <col min="6" max="6" width="9.140625" customWidth="1"/>
    <col min="7" max="7" width="7.85546875" customWidth="1"/>
    <col min="8" max="8" width="8.7109375" customWidth="1"/>
    <col min="9" max="9" width="6.85546875" customWidth="1"/>
    <col min="10" max="10" width="10.140625" customWidth="1"/>
    <col min="11" max="11" width="5.140625" customWidth="1"/>
    <col min="12" max="12" width="6.5703125" customWidth="1"/>
  </cols>
  <sheetData>
    <row r="1" spans="1:21" s="18" customFormat="1" ht="30">
      <c r="A1" s="17" t="s">
        <v>0</v>
      </c>
      <c r="B1" s="17" t="s">
        <v>14</v>
      </c>
      <c r="C1" s="17" t="s">
        <v>1</v>
      </c>
      <c r="D1" s="17" t="s">
        <v>12</v>
      </c>
      <c r="E1" s="17" t="s">
        <v>2</v>
      </c>
      <c r="F1" s="17" t="s">
        <v>44</v>
      </c>
      <c r="G1" s="17" t="s">
        <v>45</v>
      </c>
      <c r="H1" s="17" t="s">
        <v>46</v>
      </c>
      <c r="I1" s="17" t="s">
        <v>47</v>
      </c>
      <c r="J1" s="17" t="s">
        <v>48</v>
      </c>
      <c r="K1" s="17" t="s">
        <v>49</v>
      </c>
      <c r="L1" s="17" t="s">
        <v>50</v>
      </c>
      <c r="M1" s="17" t="s">
        <v>51</v>
      </c>
      <c r="N1" s="17" t="s">
        <v>52</v>
      </c>
      <c r="O1" s="17" t="s">
        <v>53</v>
      </c>
      <c r="P1" s="17" t="s">
        <v>56</v>
      </c>
      <c r="Q1" s="17" t="s">
        <v>57</v>
      </c>
      <c r="R1" s="17"/>
      <c r="S1" s="17" t="s">
        <v>58</v>
      </c>
      <c r="T1" s="17"/>
      <c r="U1" s="17"/>
    </row>
    <row r="2" spans="1:21">
      <c r="A2" s="5">
        <v>5.0000000000000001E-4</v>
      </c>
      <c r="B2" s="5">
        <v>2.5000000000000001E-2</v>
      </c>
      <c r="C2" s="5">
        <v>0.01</v>
      </c>
      <c r="D2" s="5">
        <f>E2/A2</f>
        <v>50</v>
      </c>
      <c r="E2" s="5">
        <v>2.5000000000000001E-2</v>
      </c>
      <c r="F2">
        <f>PI()/4*A2^2</f>
        <v>1.9634954084936206E-7</v>
      </c>
      <c r="G2">
        <f>B2*A2</f>
        <v>1.2500000000000001E-5</v>
      </c>
      <c r="H2">
        <f>F2*I2</f>
        <v>2.4999999999999999E-7</v>
      </c>
      <c r="I2">
        <f>G2*1/D2/F2</f>
        <v>1.2732395447351628</v>
      </c>
      <c r="J2">
        <f>G2*1</f>
        <v>1.2500000000000001E-5</v>
      </c>
      <c r="K2">
        <f>F2/G2</f>
        <v>1.5707963267948963E-2</v>
      </c>
      <c r="L2">
        <f>H2/J2</f>
        <v>1.9999999999999997E-2</v>
      </c>
      <c r="O2" s="17" t="s">
        <v>55</v>
      </c>
      <c r="P2">
        <f>1.225*I2*A2/0.000017894</f>
        <v>43.58216280039607</v>
      </c>
      <c r="Q2">
        <f>64/P2*C2/A2</f>
        <v>29.369813652028473</v>
      </c>
      <c r="S2">
        <f>Q2+$N$7+$N$15+1</f>
        <v>32.319813652028472</v>
      </c>
    </row>
    <row r="3" spans="1:21">
      <c r="A3" s="5">
        <v>1E-3</v>
      </c>
      <c r="B3" s="5">
        <v>2.5000000000000001E-2</v>
      </c>
      <c r="C3" s="5">
        <v>0.01</v>
      </c>
      <c r="D3" s="5">
        <f>E3/A3</f>
        <v>25</v>
      </c>
      <c r="E3" s="5">
        <v>2.5000000000000001E-2</v>
      </c>
      <c r="F3">
        <f t="shared" ref="F3:F5" si="0">PI()/4*A3^2</f>
        <v>7.8539816339744823E-7</v>
      </c>
      <c r="G3">
        <f t="shared" ref="G3:G5" si="1">B3*A3</f>
        <v>2.5000000000000001E-5</v>
      </c>
      <c r="H3">
        <f t="shared" ref="H3:H5" si="2">F3*I3</f>
        <v>9.9999999999999995E-7</v>
      </c>
      <c r="I3">
        <f t="shared" ref="I3:I5" si="3">G3*1/D3/F3</f>
        <v>1.2732395447351628</v>
      </c>
      <c r="J3">
        <f t="shared" ref="J3:J5" si="4">G3*1</f>
        <v>2.5000000000000001E-5</v>
      </c>
      <c r="K3">
        <f t="shared" ref="K3:K5" si="5">F3/G3</f>
        <v>3.1415926535897927E-2</v>
      </c>
      <c r="L3">
        <f t="shared" ref="L3:L5" si="6">H3/J3</f>
        <v>3.9999999999999994E-2</v>
      </c>
      <c r="P3">
        <f t="shared" ref="P3:P5" si="7">1.225*I3*A3/0.000017894</f>
        <v>87.164325600792139</v>
      </c>
      <c r="Q3">
        <f t="shared" ref="Q3:Q5" si="8">64/P3*C3/A3</f>
        <v>7.3424534130071182</v>
      </c>
      <c r="S3">
        <f t="shared" ref="S3:S5" si="9">Q3+$N$7+$N$15+1</f>
        <v>10.292453413007117</v>
      </c>
    </row>
    <row r="4" spans="1:21">
      <c r="A4" s="5">
        <v>2.5000000000000001E-3</v>
      </c>
      <c r="B4" s="5">
        <v>2.5000000000000001E-2</v>
      </c>
      <c r="C4" s="5">
        <v>0.01</v>
      </c>
      <c r="D4" s="5">
        <f>E4/A4</f>
        <v>10</v>
      </c>
      <c r="E4" s="5">
        <v>2.5000000000000001E-2</v>
      </c>
      <c r="F4">
        <f t="shared" si="0"/>
        <v>4.9087385212340517E-6</v>
      </c>
      <c r="G4">
        <f t="shared" si="1"/>
        <v>6.2500000000000001E-5</v>
      </c>
      <c r="H4">
        <f t="shared" si="2"/>
        <v>6.2500000000000003E-6</v>
      </c>
      <c r="I4">
        <f t="shared" si="3"/>
        <v>1.2732395447351628</v>
      </c>
      <c r="J4">
        <f t="shared" si="4"/>
        <v>6.2500000000000001E-5</v>
      </c>
      <c r="K4">
        <f t="shared" si="5"/>
        <v>7.8539816339744828E-2</v>
      </c>
      <c r="L4">
        <f t="shared" si="6"/>
        <v>0.1</v>
      </c>
      <c r="M4">
        <v>2.8</v>
      </c>
      <c r="N4">
        <f>M4/L4^2*K4^2</f>
        <v>1.7271807701906372</v>
      </c>
      <c r="P4">
        <f t="shared" si="7"/>
        <v>217.91081400198036</v>
      </c>
      <c r="Q4">
        <f t="shared" si="8"/>
        <v>1.174792546081139</v>
      </c>
      <c r="S4">
        <f t="shared" si="9"/>
        <v>4.1247925460811388</v>
      </c>
    </row>
    <row r="5" spans="1:21">
      <c r="A5" s="5">
        <v>5.0000000000000001E-3</v>
      </c>
      <c r="B5" s="5">
        <v>2.5000000000000001E-2</v>
      </c>
      <c r="C5" s="5">
        <v>0.01</v>
      </c>
      <c r="D5" s="5">
        <f>E5/A5</f>
        <v>5</v>
      </c>
      <c r="E5" s="5">
        <v>2.5000000000000001E-2</v>
      </c>
      <c r="F5">
        <f t="shared" si="0"/>
        <v>1.9634954084936207E-5</v>
      </c>
      <c r="G5">
        <f t="shared" si="1"/>
        <v>1.25E-4</v>
      </c>
      <c r="H5">
        <f t="shared" si="2"/>
        <v>2.5000000000000001E-5</v>
      </c>
      <c r="I5">
        <f t="shared" si="3"/>
        <v>1.2732395447351628</v>
      </c>
      <c r="J5">
        <f t="shared" si="4"/>
        <v>1.25E-4</v>
      </c>
      <c r="K5">
        <f t="shared" si="5"/>
        <v>0.15707963267948966</v>
      </c>
      <c r="L5">
        <f t="shared" si="6"/>
        <v>0.2</v>
      </c>
      <c r="M5">
        <v>2</v>
      </c>
      <c r="N5">
        <f>M5/L5^2*K5^2</f>
        <v>1.2337005501361695</v>
      </c>
      <c r="P5">
        <f t="shared" si="7"/>
        <v>435.82162800396071</v>
      </c>
      <c r="Q5">
        <f t="shared" si="8"/>
        <v>0.29369813652028476</v>
      </c>
      <c r="S5">
        <f t="shared" si="9"/>
        <v>3.243698136520285</v>
      </c>
    </row>
    <row r="6" spans="1:21">
      <c r="A6" s="5"/>
      <c r="B6" s="5"/>
      <c r="C6" s="5"/>
      <c r="D6" s="5"/>
      <c r="E6" s="5"/>
    </row>
    <row r="7" spans="1:21">
      <c r="A7" s="5"/>
      <c r="B7" s="5"/>
      <c r="C7" s="5"/>
      <c r="D7" s="5"/>
      <c r="E7" s="5"/>
      <c r="N7">
        <v>1.5</v>
      </c>
    </row>
    <row r="9" spans="1:21" ht="30">
      <c r="A9" s="17" t="s">
        <v>0</v>
      </c>
      <c r="B9" s="17" t="s">
        <v>14</v>
      </c>
      <c r="C9" s="17" t="s">
        <v>1</v>
      </c>
      <c r="D9" s="17" t="s">
        <v>12</v>
      </c>
      <c r="E9" s="17" t="s">
        <v>2</v>
      </c>
      <c r="F9" s="17" t="s">
        <v>44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54</v>
      </c>
      <c r="P9" s="17" t="s">
        <v>56</v>
      </c>
      <c r="Q9" s="17" t="s">
        <v>57</v>
      </c>
      <c r="R9" s="17"/>
    </row>
    <row r="10" spans="1:21">
      <c r="A10" s="5">
        <v>5.0000000000000001E-4</v>
      </c>
      <c r="B10" s="5">
        <v>2.5000000000000001E-2</v>
      </c>
      <c r="C10" s="5">
        <v>0.01</v>
      </c>
      <c r="D10" s="5">
        <f>E10/A10</f>
        <v>50</v>
      </c>
      <c r="E10" s="5">
        <v>2.5000000000000001E-2</v>
      </c>
      <c r="F10">
        <f>PI()/4*A10^2</f>
        <v>1.9634954084936206E-7</v>
      </c>
      <c r="G10">
        <f>B10*A10</f>
        <v>1.2500000000000001E-5</v>
      </c>
      <c r="H10">
        <f>F10*I10</f>
        <v>2.4999999999999999E-7</v>
      </c>
      <c r="I10">
        <f>G10*1/D10/F10</f>
        <v>1.2732395447351628</v>
      </c>
      <c r="J10">
        <f>G10*1</f>
        <v>1.2500000000000001E-5</v>
      </c>
      <c r="K10">
        <f>F10/G10</f>
        <v>1.5707963267948963E-2</v>
      </c>
      <c r="L10">
        <f>H10/J10</f>
        <v>1.9999999999999997E-2</v>
      </c>
      <c r="O10" s="17" t="s">
        <v>55</v>
      </c>
      <c r="P10">
        <f>1.225*I10*A10/0.000017894</f>
        <v>43.58216280039607</v>
      </c>
      <c r="Q10">
        <f>64/P10*C10/A10</f>
        <v>29.369813652028473</v>
      </c>
    </row>
    <row r="11" spans="1:21">
      <c r="A11" s="5">
        <v>1E-3</v>
      </c>
      <c r="B11" s="5">
        <v>2.5000000000000001E-2</v>
      </c>
      <c r="C11" s="5">
        <v>0.01</v>
      </c>
      <c r="D11" s="5">
        <f>E11/A11</f>
        <v>25</v>
      </c>
      <c r="E11" s="5">
        <v>2.5000000000000001E-2</v>
      </c>
      <c r="F11">
        <f t="shared" ref="F11:F13" si="10">PI()/4*A11^2</f>
        <v>7.8539816339744823E-7</v>
      </c>
      <c r="G11">
        <f t="shared" ref="G11:G13" si="11">B11*A11</f>
        <v>2.5000000000000001E-5</v>
      </c>
      <c r="H11">
        <f t="shared" ref="H11:H13" si="12">F11*I11</f>
        <v>9.9999999999999995E-7</v>
      </c>
      <c r="I11">
        <f t="shared" ref="I11:I13" si="13">G11*1/D11/F11</f>
        <v>1.2732395447351628</v>
      </c>
      <c r="J11">
        <f t="shared" ref="J11:J13" si="14">G11*1</f>
        <v>2.5000000000000001E-5</v>
      </c>
      <c r="K11">
        <f t="shared" ref="K11:K13" si="15">F11/G11</f>
        <v>3.1415926535897927E-2</v>
      </c>
      <c r="L11">
        <f t="shared" ref="L11:L13" si="16">H11/J11</f>
        <v>3.9999999999999994E-2</v>
      </c>
      <c r="P11">
        <f t="shared" ref="P11:P13" si="17">1.225*I11*A11/0.000017894</f>
        <v>87.164325600792139</v>
      </c>
      <c r="Q11">
        <f t="shared" ref="Q11:Q13" si="18">64/P11*C11/A11</f>
        <v>7.3424534130071182</v>
      </c>
    </row>
    <row r="12" spans="1:21">
      <c r="A12" s="5">
        <v>2.5000000000000001E-3</v>
      </c>
      <c r="B12" s="5">
        <v>2.5000000000000001E-2</v>
      </c>
      <c r="C12" s="5">
        <v>0.01</v>
      </c>
      <c r="D12" s="5">
        <f>E12/A12</f>
        <v>10</v>
      </c>
      <c r="E12" s="5">
        <v>2.5000000000000001E-2</v>
      </c>
      <c r="F12">
        <f t="shared" si="10"/>
        <v>4.9087385212340517E-6</v>
      </c>
      <c r="G12">
        <f t="shared" si="11"/>
        <v>6.2500000000000001E-5</v>
      </c>
      <c r="H12">
        <f t="shared" si="12"/>
        <v>6.2500000000000003E-6</v>
      </c>
      <c r="I12">
        <f t="shared" si="13"/>
        <v>1.2732395447351628</v>
      </c>
      <c r="J12">
        <f t="shared" si="14"/>
        <v>6.2500000000000001E-5</v>
      </c>
      <c r="K12">
        <f t="shared" si="15"/>
        <v>7.8539816339744828E-2</v>
      </c>
      <c r="L12">
        <f t="shared" si="16"/>
        <v>0.1</v>
      </c>
      <c r="M12">
        <f>1+(L12/K12)^2-2*(1-L12)</f>
        <v>0.82113893827740436</v>
      </c>
      <c r="N12">
        <f>M12/L12^2*K12^2</f>
        <v>0.50651977994553199</v>
      </c>
      <c r="P12">
        <f t="shared" si="17"/>
        <v>217.91081400198036</v>
      </c>
      <c r="Q12">
        <f t="shared" si="18"/>
        <v>1.174792546081139</v>
      </c>
    </row>
    <row r="13" spans="1:21">
      <c r="A13" s="5">
        <v>5.0000000000000001E-3</v>
      </c>
      <c r="B13" s="5">
        <v>2.5000000000000001E-2</v>
      </c>
      <c r="C13" s="5">
        <v>0.01</v>
      </c>
      <c r="D13" s="5">
        <f>E13/A13</f>
        <v>5</v>
      </c>
      <c r="E13" s="5">
        <v>2.5000000000000001E-2</v>
      </c>
      <c r="F13">
        <f t="shared" si="10"/>
        <v>1.9634954084936207E-5</v>
      </c>
      <c r="G13">
        <f t="shared" si="11"/>
        <v>1.25E-4</v>
      </c>
      <c r="H13">
        <f t="shared" si="12"/>
        <v>2.5000000000000001E-5</v>
      </c>
      <c r="I13">
        <f t="shared" si="13"/>
        <v>1.2732395447351628</v>
      </c>
      <c r="J13">
        <f t="shared" si="14"/>
        <v>1.25E-4</v>
      </c>
      <c r="K13">
        <f t="shared" si="15"/>
        <v>0.15707963267948966</v>
      </c>
      <c r="L13">
        <f t="shared" si="16"/>
        <v>0.2</v>
      </c>
      <c r="M13">
        <f>1+(L13/K13)^2-2*(1-L13)</f>
        <v>1.0211389382774043</v>
      </c>
      <c r="N13">
        <f>M13/L13^2*K13^2</f>
        <v>0.62988983495914885</v>
      </c>
      <c r="P13">
        <f t="shared" si="17"/>
        <v>435.82162800396071</v>
      </c>
      <c r="Q13">
        <f t="shared" si="18"/>
        <v>0.29369813652028476</v>
      </c>
    </row>
    <row r="15" spans="1:21">
      <c r="N15">
        <v>0.45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tabSelected="1" workbookViewId="0">
      <selection activeCell="P19" sqref="P19"/>
    </sheetView>
  </sheetViews>
  <sheetFormatPr defaultRowHeight="15"/>
  <cols>
    <col min="1" max="1" width="9.7109375" customWidth="1"/>
    <col min="2" max="2" width="6.5703125" customWidth="1"/>
    <col min="3" max="3" width="5.7109375" customWidth="1"/>
    <col min="4" max="4" width="4.7109375" customWidth="1"/>
    <col min="5" max="5" width="6.28515625" customWidth="1"/>
    <col min="6" max="6" width="9.140625" customWidth="1"/>
    <col min="7" max="7" width="7.85546875" customWidth="1"/>
    <col min="8" max="8" width="8.7109375" customWidth="1"/>
    <col min="9" max="9" width="6.85546875" customWidth="1"/>
    <col min="10" max="10" width="10.140625" customWidth="1"/>
    <col min="11" max="11" width="5.140625" customWidth="1"/>
    <col min="12" max="12" width="6.5703125" customWidth="1"/>
  </cols>
  <sheetData>
    <row r="1" spans="1:21" s="18" customFormat="1" ht="30">
      <c r="A1" s="17" t="s">
        <v>0</v>
      </c>
      <c r="B1" s="17" t="s">
        <v>14</v>
      </c>
      <c r="C1" s="17" t="s">
        <v>1</v>
      </c>
      <c r="D1" s="17" t="s">
        <v>12</v>
      </c>
      <c r="E1" s="17" t="s">
        <v>2</v>
      </c>
      <c r="F1" s="17" t="s">
        <v>44</v>
      </c>
      <c r="G1" s="17" t="s">
        <v>45</v>
      </c>
      <c r="H1" s="17" t="s">
        <v>46</v>
      </c>
      <c r="I1" s="17" t="s">
        <v>47</v>
      </c>
      <c r="J1" s="17" t="s">
        <v>48</v>
      </c>
      <c r="K1" s="17" t="s">
        <v>49</v>
      </c>
      <c r="L1" s="17" t="s">
        <v>50</v>
      </c>
      <c r="M1" s="17" t="s">
        <v>51</v>
      </c>
      <c r="N1" s="17" t="s">
        <v>52</v>
      </c>
      <c r="O1" s="17" t="s">
        <v>53</v>
      </c>
      <c r="P1" s="17" t="s">
        <v>56</v>
      </c>
      <c r="Q1" s="17" t="s">
        <v>57</v>
      </c>
      <c r="R1" s="17"/>
      <c r="S1" s="17" t="s">
        <v>58</v>
      </c>
      <c r="T1" s="17" t="s">
        <v>43</v>
      </c>
      <c r="U1" s="17"/>
    </row>
    <row r="2" spans="1:21">
      <c r="A2" s="19">
        <v>2.5000000000000001E-3</v>
      </c>
      <c r="B2" s="5">
        <v>2.5000000000000001E-2</v>
      </c>
      <c r="C2" s="5">
        <v>5.0000000000000001E-3</v>
      </c>
      <c r="D2" s="5">
        <f>E2/A2</f>
        <v>6</v>
      </c>
      <c r="E2" s="5">
        <v>1.4999999999999999E-2</v>
      </c>
      <c r="F2">
        <f>PI()/4*A2^2</f>
        <v>4.9087385212340517E-6</v>
      </c>
      <c r="G2">
        <f>B2*A2</f>
        <v>6.2500000000000001E-5</v>
      </c>
      <c r="H2">
        <f>F2*I2</f>
        <v>1.0416666666666666E-5</v>
      </c>
      <c r="I2">
        <f>G2*1/D2/F2</f>
        <v>2.1220659078919377</v>
      </c>
      <c r="J2">
        <f>G2*1</f>
        <v>6.2500000000000001E-5</v>
      </c>
      <c r="K2">
        <f>F2/G2</f>
        <v>7.8539816339744828E-2</v>
      </c>
      <c r="L2">
        <f>H2/J2</f>
        <v>0.16666666666666666</v>
      </c>
      <c r="M2">
        <v>2.8</v>
      </c>
      <c r="N2">
        <f>M2/L2^2*K2^2</f>
        <v>0.62178507726862953</v>
      </c>
      <c r="O2" s="17" t="s">
        <v>55</v>
      </c>
      <c r="P2">
        <f>1.225*I2*A2/0.000017894</f>
        <v>363.1846900033006</v>
      </c>
      <c r="Q2">
        <f>64/P2*C2/A2</f>
        <v>0.35243776382434167</v>
      </c>
      <c r="S2">
        <f>Q2+$N$7+$N$14+1</f>
        <v>2.6373033331859501</v>
      </c>
      <c r="T2">
        <f>2*S2</f>
        <v>5.2746066663719002</v>
      </c>
    </row>
    <row r="3" spans="1:21">
      <c r="A3" s="19">
        <v>2.5000000000000001E-3</v>
      </c>
      <c r="B3" s="5">
        <v>2.5000000000000001E-2</v>
      </c>
      <c r="C3" s="5">
        <v>5.0000000000000001E-3</v>
      </c>
      <c r="D3" s="5">
        <f>E3/A3</f>
        <v>3</v>
      </c>
      <c r="E3" s="5">
        <v>7.4999999999999997E-3</v>
      </c>
      <c r="F3">
        <f t="shared" ref="F3:F5" si="0">PI()/4*A3^2</f>
        <v>4.9087385212340517E-6</v>
      </c>
      <c r="G3">
        <f t="shared" ref="G3:G5" si="1">B3*A3</f>
        <v>6.2500000000000001E-5</v>
      </c>
      <c r="H3">
        <f t="shared" ref="H3:H5" si="2">F3*I3</f>
        <v>2.0833333333333333E-5</v>
      </c>
      <c r="I3">
        <f t="shared" ref="I3:I5" si="3">G3*1/D3/F3</f>
        <v>4.2441318157838754</v>
      </c>
      <c r="J3">
        <f t="shared" ref="J3:J5" si="4">G3*1</f>
        <v>6.2500000000000001E-5</v>
      </c>
      <c r="K3">
        <f t="shared" ref="K3:K5" si="5">F3/G3</f>
        <v>7.8539816339744828E-2</v>
      </c>
      <c r="L3">
        <f t="shared" ref="L3:L5" si="6">H3/J3</f>
        <v>0.33333333333333331</v>
      </c>
      <c r="M3">
        <v>2.8</v>
      </c>
      <c r="N3">
        <f>M3/L3^2*K3^2</f>
        <v>0.15544626931715738</v>
      </c>
      <c r="P3">
        <f t="shared" ref="P3:P5" si="7">1.225*I3*A3/0.000017894</f>
        <v>726.3693800066012</v>
      </c>
      <c r="Q3">
        <f t="shared" ref="Q3:Q5" si="8">64/P3*C3/A3</f>
        <v>0.17621888191217083</v>
      </c>
      <c r="S3">
        <f>Q3+$N$7+$N$14+1</f>
        <v>2.4610844512737797</v>
      </c>
      <c r="T3">
        <f t="shared" ref="T3:T5" si="9">2*S3</f>
        <v>4.9221689025475595</v>
      </c>
    </row>
    <row r="4" spans="1:21">
      <c r="A4" s="19">
        <v>3.3300000000000001E-3</v>
      </c>
      <c r="B4" s="5">
        <v>2.5000000000000001E-2</v>
      </c>
      <c r="C4" s="5">
        <v>5.0000000000000001E-3</v>
      </c>
      <c r="D4" s="5">
        <f>E4/A4</f>
        <v>3.0030030030030028</v>
      </c>
      <c r="E4" s="5">
        <v>0.01</v>
      </c>
      <c r="F4">
        <f t="shared" si="0"/>
        <v>8.7092016940979644E-6</v>
      </c>
      <c r="G4">
        <f t="shared" si="1"/>
        <v>8.3250000000000004E-5</v>
      </c>
      <c r="H4">
        <f t="shared" si="2"/>
        <v>2.7722250000000004E-5</v>
      </c>
      <c r="I4">
        <f t="shared" si="3"/>
        <v>3.183098861837907</v>
      </c>
      <c r="J4">
        <f t="shared" si="4"/>
        <v>8.3250000000000004E-5</v>
      </c>
      <c r="K4">
        <f t="shared" si="5"/>
        <v>0.1046150353645401</v>
      </c>
      <c r="L4">
        <f t="shared" si="6"/>
        <v>0.33300000000000002</v>
      </c>
      <c r="M4">
        <v>2.8</v>
      </c>
      <c r="N4">
        <f>M4/L4^2*K4^2</f>
        <v>0.27634892323050192</v>
      </c>
      <c r="P4">
        <f t="shared" si="7"/>
        <v>725.64301062659467</v>
      </c>
      <c r="Q4">
        <f t="shared" si="8"/>
        <v>0.13242888677879894</v>
      </c>
      <c r="S4">
        <f>Q4+$N$7+$N$14+1</f>
        <v>2.4172944561404073</v>
      </c>
      <c r="T4">
        <f t="shared" si="9"/>
        <v>4.8345889122808146</v>
      </c>
    </row>
    <row r="5" spans="1:21">
      <c r="A5" s="19">
        <f>5/3000</f>
        <v>1.6666666666666668E-3</v>
      </c>
      <c r="B5" s="5">
        <v>2.5000000000000001E-2</v>
      </c>
      <c r="C5" s="5">
        <v>5.0000000000000001E-3</v>
      </c>
      <c r="D5" s="5">
        <f>E5/A5</f>
        <v>6</v>
      </c>
      <c r="E5" s="5">
        <v>0.01</v>
      </c>
      <c r="F5">
        <f t="shared" si="0"/>
        <v>2.1816615649929125E-6</v>
      </c>
      <c r="G5">
        <f t="shared" si="1"/>
        <v>4.1666666666666672E-5</v>
      </c>
      <c r="H5">
        <f t="shared" si="2"/>
        <v>6.9444444444444456E-6</v>
      </c>
      <c r="I5">
        <f t="shared" si="3"/>
        <v>3.1830988618379066</v>
      </c>
      <c r="J5">
        <f t="shared" si="4"/>
        <v>4.1666666666666672E-5</v>
      </c>
      <c r="K5">
        <f t="shared" si="5"/>
        <v>5.235987755982989E-2</v>
      </c>
      <c r="L5">
        <f t="shared" si="6"/>
        <v>0.16666666666666669</v>
      </c>
      <c r="P5">
        <f t="shared" si="7"/>
        <v>363.1846900033006</v>
      </c>
      <c r="Q5">
        <f t="shared" si="8"/>
        <v>0.5286566457365125</v>
      </c>
      <c r="S5">
        <f>Q5+$N$7+$N$14+1</f>
        <v>2.8135222150981214</v>
      </c>
      <c r="T5">
        <f t="shared" si="9"/>
        <v>5.6270444301962428</v>
      </c>
    </row>
    <row r="6" spans="1:21">
      <c r="A6" s="5"/>
      <c r="B6" s="5"/>
      <c r="C6" s="5"/>
      <c r="D6" s="5"/>
      <c r="E6" s="5"/>
    </row>
    <row r="7" spans="1:21">
      <c r="A7" s="5"/>
      <c r="B7" s="5"/>
      <c r="C7" s="5"/>
      <c r="D7" s="5"/>
      <c r="E7" s="5"/>
      <c r="N7">
        <f>AVERAGE(N2:N4)</f>
        <v>0.35119342327209629</v>
      </c>
    </row>
    <row r="9" spans="1:21" ht="30">
      <c r="A9" s="17" t="s">
        <v>0</v>
      </c>
      <c r="B9" s="17" t="s">
        <v>14</v>
      </c>
      <c r="C9" s="17" t="s">
        <v>1</v>
      </c>
      <c r="D9" s="17" t="s">
        <v>12</v>
      </c>
      <c r="E9" s="17" t="s">
        <v>2</v>
      </c>
      <c r="F9" s="17" t="s">
        <v>44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54</v>
      </c>
      <c r="P9" s="17" t="s">
        <v>56</v>
      </c>
      <c r="Q9" s="17" t="s">
        <v>57</v>
      </c>
      <c r="R9" s="17"/>
    </row>
    <row r="10" spans="1:21">
      <c r="A10" s="19">
        <v>2.5000000000000001E-3</v>
      </c>
      <c r="B10" s="5">
        <v>2.5000000000000001E-2</v>
      </c>
      <c r="C10" s="5">
        <v>5.0000000000000001E-3</v>
      </c>
      <c r="D10" s="5">
        <f>E10/A10</f>
        <v>6</v>
      </c>
      <c r="E10" s="5">
        <v>1.4999999999999999E-2</v>
      </c>
      <c r="F10">
        <f>PI()/4*A10^2</f>
        <v>4.9087385212340517E-6</v>
      </c>
      <c r="G10">
        <f>B10*A10</f>
        <v>6.2500000000000001E-5</v>
      </c>
      <c r="H10">
        <f>F10*I10</f>
        <v>1.0416666666666666E-5</v>
      </c>
      <c r="I10">
        <f>G10*1/D10/F10</f>
        <v>2.1220659078919377</v>
      </c>
      <c r="J10">
        <f>G10*1</f>
        <v>6.2500000000000001E-5</v>
      </c>
      <c r="K10">
        <f>F10/G10</f>
        <v>7.8539816339744828E-2</v>
      </c>
      <c r="L10">
        <f>H10/J10</f>
        <v>0.16666666666666666</v>
      </c>
      <c r="M10">
        <f t="shared" ref="M10:M11" si="10">1+(L10/K10)^2-2*(1-L10)</f>
        <v>3.8364970507705669</v>
      </c>
      <c r="N10">
        <f t="shared" ref="N10:N11" si="11">M10/L10^2*K10^2</f>
        <v>0.85195593398365943</v>
      </c>
      <c r="O10" s="17" t="s">
        <v>55</v>
      </c>
      <c r="P10">
        <f>1.225*I10*A10/0.000017894</f>
        <v>363.1846900033006</v>
      </c>
      <c r="Q10">
        <f>64/P10*C10/A10</f>
        <v>0.35243776382434167</v>
      </c>
    </row>
    <row r="11" spans="1:21">
      <c r="A11" s="19">
        <v>2.5000000000000001E-3</v>
      </c>
      <c r="B11" s="5">
        <v>2.5000000000000001E-2</v>
      </c>
      <c r="C11" s="5">
        <v>5.0000000000000001E-3</v>
      </c>
      <c r="D11" s="5">
        <f>E11/A11</f>
        <v>3</v>
      </c>
      <c r="E11" s="5">
        <v>7.4999999999999997E-3</v>
      </c>
      <c r="F11">
        <f t="shared" ref="F11:F13" si="12">PI()/4*A11^2</f>
        <v>4.9087385212340517E-6</v>
      </c>
      <c r="G11">
        <f t="shared" ref="G11:G13" si="13">B11*A11</f>
        <v>6.2500000000000001E-5</v>
      </c>
      <c r="H11">
        <f t="shared" ref="H11:H13" si="14">F11*I11</f>
        <v>2.0833333333333333E-5</v>
      </c>
      <c r="I11">
        <f t="shared" ref="I11:I13" si="15">G11*1/D11/F11</f>
        <v>4.2441318157838754</v>
      </c>
      <c r="J11">
        <f t="shared" ref="J11:J13" si="16">G11*1</f>
        <v>6.2500000000000001E-5</v>
      </c>
      <c r="K11">
        <f t="shared" ref="K11:K13" si="17">F11/G11</f>
        <v>7.8539816339744828E-2</v>
      </c>
      <c r="L11">
        <f t="shared" ref="L11:L13" si="18">H11/J11</f>
        <v>0.33333333333333331</v>
      </c>
      <c r="M11">
        <f t="shared" si="10"/>
        <v>17.679321536415603</v>
      </c>
      <c r="N11">
        <f t="shared" si="11"/>
        <v>0.98149449174795733</v>
      </c>
      <c r="P11">
        <f t="shared" ref="P11:P13" si="19">1.225*I11*A11/0.000017894</f>
        <v>726.3693800066012</v>
      </c>
      <c r="Q11">
        <f t="shared" ref="Q11:Q13" si="20">64/P11*C11/A11</f>
        <v>0.17621888191217083</v>
      </c>
    </row>
    <row r="12" spans="1:21">
      <c r="A12" s="19">
        <v>3.3300000000000001E-3</v>
      </c>
      <c r="B12" s="5">
        <v>2.5000000000000001E-2</v>
      </c>
      <c r="C12" s="5">
        <v>5.0000000000000001E-3</v>
      </c>
      <c r="D12" s="5">
        <f>E12/A12</f>
        <v>3.0030030030030028</v>
      </c>
      <c r="E12" s="5">
        <v>0.01</v>
      </c>
      <c r="F12">
        <f t="shared" si="12"/>
        <v>8.7092016940979644E-6</v>
      </c>
      <c r="G12">
        <f t="shared" si="13"/>
        <v>8.3250000000000004E-5</v>
      </c>
      <c r="H12">
        <f t="shared" si="14"/>
        <v>2.7722250000000004E-5</v>
      </c>
      <c r="I12">
        <f t="shared" si="15"/>
        <v>3.183098861837907</v>
      </c>
      <c r="J12">
        <f t="shared" si="16"/>
        <v>8.3250000000000004E-5</v>
      </c>
      <c r="K12">
        <f t="shared" si="17"/>
        <v>0.1046150353645401</v>
      </c>
      <c r="L12">
        <f t="shared" si="18"/>
        <v>0.33300000000000002</v>
      </c>
      <c r="M12">
        <f>1+(L12/K12)^2-2*(1-L12)</f>
        <v>9.7981183642337815</v>
      </c>
      <c r="N12">
        <f>M12/L12^2*K12^2</f>
        <v>0.96703552130036152</v>
      </c>
      <c r="P12">
        <f t="shared" si="19"/>
        <v>725.64301062659467</v>
      </c>
      <c r="Q12">
        <f t="shared" si="20"/>
        <v>0.13242888677879894</v>
      </c>
    </row>
    <row r="13" spans="1:21">
      <c r="A13" s="19">
        <f>5/3000</f>
        <v>1.6666666666666668E-3</v>
      </c>
      <c r="B13" s="5">
        <v>2.5000000000000001E-2</v>
      </c>
      <c r="C13" s="5">
        <v>5.0000000000000001E-3</v>
      </c>
      <c r="D13" s="5">
        <f>E13/A13</f>
        <v>6</v>
      </c>
      <c r="E13" s="5">
        <v>0.01</v>
      </c>
      <c r="F13">
        <f t="shared" si="12"/>
        <v>2.1816615649929125E-6</v>
      </c>
      <c r="G13">
        <f t="shared" si="13"/>
        <v>4.1666666666666672E-5</v>
      </c>
      <c r="H13">
        <f t="shared" si="14"/>
        <v>6.9444444444444456E-6</v>
      </c>
      <c r="I13">
        <f t="shared" si="15"/>
        <v>3.1830988618379066</v>
      </c>
      <c r="J13">
        <f t="shared" si="16"/>
        <v>4.1666666666666672E-5</v>
      </c>
      <c r="K13">
        <f t="shared" si="17"/>
        <v>5.235987755982989E-2</v>
      </c>
      <c r="L13">
        <f t="shared" si="18"/>
        <v>0.16666666666666669</v>
      </c>
      <c r="M13">
        <f>1+(L13/K13)^2-2*(1-L13)</f>
        <v>9.4654516975671132</v>
      </c>
      <c r="N13">
        <f>M13/L13^2*K13^2</f>
        <v>0.93420263732607101</v>
      </c>
      <c r="P13">
        <f t="shared" si="19"/>
        <v>363.1846900033006</v>
      </c>
      <c r="Q13">
        <f t="shared" si="20"/>
        <v>0.5286566457365125</v>
      </c>
    </row>
    <row r="14" spans="1:21">
      <c r="N14">
        <f>AVERAGE(N10:N13)</f>
        <v>0.93367214608951232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SAKSHAM GAKHAR</cp:lastModifiedBy>
  <dcterms:created xsi:type="dcterms:W3CDTF">2017-05-17T14:55:41Z</dcterms:created>
  <dcterms:modified xsi:type="dcterms:W3CDTF">2017-06-13T16:07:43Z</dcterms:modified>
</cp:coreProperties>
</file>