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.xml" ContentType="application/vnd.openxmlformats-officedocument.drawingml.chartshapes+xml"/>
  <Override PartName="/xl/charts/chart40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2\Desktop\"/>
    </mc:Choice>
  </mc:AlternateContent>
  <xr:revisionPtr revIDLastSave="0" documentId="8_{AB93D90D-871A-44E6-B0FA-FE377E16DBD5}" xr6:coauthVersionLast="47" xr6:coauthVersionMax="47" xr10:uidLastSave="{00000000-0000-0000-0000-000000000000}"/>
  <bookViews>
    <workbookView xWindow="1840" yWindow="1490" windowWidth="34530" windowHeight="18940" xr2:uid="{00000000-000D-0000-FFFF-FFFF00000000}"/>
  </bookViews>
  <sheets>
    <sheet name="Scaling" sheetId="7" r:id="rId1"/>
    <sheet name="Design Point Performance" sheetId="2" r:id="rId2"/>
    <sheet name="Ann Perf at Site" sheetId="10" r:id="rId3"/>
    <sheet name="Annual Performance Details" sheetId="5" r:id="rId4"/>
    <sheet name="Design Point Calcs" sheetId="1" r:id="rId5"/>
    <sheet name="Daggett" sheetId="8" r:id="rId6"/>
    <sheet name="ASHRAE Clear Day" sheetId="9" r:id="rId7"/>
  </sheets>
  <externalReferences>
    <externalReference r:id="rId8"/>
  </externalReferences>
  <definedNames>
    <definedName name="delta">[1]Secondary!$E$24</definedName>
    <definedName name="Hours">'Annual Performance Details'!$DD$7:$DD$21</definedName>
    <definedName name="solver_adj" localSheetId="3" hidden="1">'Annual Performance Details'!$O$27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'Annual Performance Details'!$S$27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7" l="1"/>
  <c r="E36" i="7" s="1"/>
  <c r="E34" i="7"/>
  <c r="E10" i="7"/>
  <c r="E12" i="7"/>
  <c r="E14" i="7" s="1"/>
  <c r="C34" i="2"/>
  <c r="C13" i="2"/>
  <c r="P8" i="2"/>
  <c r="C41" i="2"/>
  <c r="M54" i="8"/>
  <c r="L54" i="8"/>
  <c r="K54" i="8"/>
  <c r="J54" i="8"/>
  <c r="I54" i="8"/>
  <c r="H54" i="8"/>
  <c r="G54" i="8"/>
  <c r="F54" i="8"/>
  <c r="E54" i="8"/>
  <c r="D54" i="8"/>
  <c r="C54" i="8"/>
  <c r="B54" i="8"/>
  <c r="M26" i="8"/>
  <c r="M27" i="8" s="1"/>
  <c r="L26" i="8"/>
  <c r="L27" i="8" s="1"/>
  <c r="K26" i="8"/>
  <c r="K27" i="8" s="1"/>
  <c r="J26" i="8"/>
  <c r="J27" i="8" s="1"/>
  <c r="I26" i="8"/>
  <c r="I27" i="8" s="1"/>
  <c r="H26" i="8"/>
  <c r="H27" i="8" s="1"/>
  <c r="G26" i="8"/>
  <c r="G27" i="8" s="1"/>
  <c r="F26" i="8"/>
  <c r="F27" i="8" s="1"/>
  <c r="E26" i="8"/>
  <c r="E27" i="8" s="1"/>
  <c r="D26" i="8"/>
  <c r="D27" i="8" s="1"/>
  <c r="C26" i="8"/>
  <c r="C27" i="8" s="1"/>
  <c r="B26" i="8"/>
  <c r="B27" i="8" s="1"/>
  <c r="M23" i="8"/>
  <c r="L23" i="8"/>
  <c r="K23" i="8"/>
  <c r="J23" i="8"/>
  <c r="I23" i="8"/>
  <c r="H23" i="8"/>
  <c r="G23" i="8"/>
  <c r="F23" i="8"/>
  <c r="E23" i="8"/>
  <c r="D23" i="8"/>
  <c r="C23" i="8"/>
  <c r="B23" i="8"/>
  <c r="I6" i="2"/>
  <c r="H5" i="5"/>
  <c r="C49" i="10"/>
  <c r="B24" i="8" l="1"/>
  <c r="B25" i="8" s="1"/>
  <c r="B55" i="8"/>
  <c r="B56" i="8" s="1"/>
  <c r="B28" i="8"/>
  <c r="B29" i="8" s="1"/>
  <c r="BG22" i="5" l="1"/>
  <c r="BG21" i="5"/>
  <c r="AE22" i="5"/>
  <c r="AE21" i="5"/>
  <c r="C21" i="5"/>
  <c r="AP35" i="5"/>
  <c r="AO35" i="5"/>
  <c r="AO175" i="5" s="1"/>
  <c r="BP43" i="5"/>
  <c r="BP183" i="5" s="1"/>
  <c r="BO43" i="5"/>
  <c r="BO183" i="5" s="1"/>
  <c r="BR183" i="5" s="1"/>
  <c r="AM35" i="5"/>
  <c r="AM175" i="5" s="1"/>
  <c r="AL35" i="5"/>
  <c r="BL43" i="5"/>
  <c r="BL183" i="5" s="1"/>
  <c r="AJ35" i="5"/>
  <c r="AJ175" i="5" s="1"/>
  <c r="AI35" i="5"/>
  <c r="BJ43" i="5"/>
  <c r="BJ183" i="5" s="1"/>
  <c r="BI43" i="5"/>
  <c r="BI183" i="5"/>
  <c r="BG43" i="5"/>
  <c r="BH43" i="5" s="1"/>
  <c r="BH183" i="5" s="1"/>
  <c r="BG183" i="5"/>
  <c r="AP36" i="5"/>
  <c r="AO36" i="5"/>
  <c r="BP42" i="5" s="1"/>
  <c r="BP182" i="5" s="1"/>
  <c r="BO42" i="5"/>
  <c r="BR42" i="5" s="1"/>
  <c r="BO182" i="5"/>
  <c r="AM36" i="5"/>
  <c r="AL36" i="5"/>
  <c r="BM42" i="5" s="1"/>
  <c r="BM182" i="5" s="1"/>
  <c r="BL42" i="5"/>
  <c r="BL182" i="5" s="1"/>
  <c r="AJ36" i="5"/>
  <c r="AI36" i="5"/>
  <c r="AI176" i="5" s="1"/>
  <c r="BI42" i="5"/>
  <c r="BI182" i="5" s="1"/>
  <c r="BG42" i="5"/>
  <c r="AP37" i="5"/>
  <c r="AO37" i="5"/>
  <c r="AO177" i="5" s="1"/>
  <c r="BO41" i="5"/>
  <c r="BR41" i="5" s="1"/>
  <c r="BO181" i="5"/>
  <c r="BR181" i="5" s="1"/>
  <c r="AM37" i="5"/>
  <c r="AL37" i="5"/>
  <c r="BM41" i="5" s="1"/>
  <c r="BM181" i="5" s="1"/>
  <c r="BL41" i="5"/>
  <c r="BL181" i="5" s="1"/>
  <c r="AJ37" i="5"/>
  <c r="AJ177" i="5" s="1"/>
  <c r="AI37" i="5"/>
  <c r="AI177" i="5" s="1"/>
  <c r="BJ41" i="5"/>
  <c r="BJ181" i="5" s="1"/>
  <c r="BI41" i="5"/>
  <c r="BI181" i="5" s="1"/>
  <c r="BG41" i="5"/>
  <c r="BH41" i="5" s="1"/>
  <c r="BH181" i="5" s="1"/>
  <c r="AP38" i="5"/>
  <c r="AO38" i="5"/>
  <c r="AO178" i="5" s="1"/>
  <c r="BP40" i="5"/>
  <c r="BP180" i="5" s="1"/>
  <c r="BO40" i="5"/>
  <c r="BO180" i="5" s="1"/>
  <c r="BR180" i="5" s="1"/>
  <c r="AM38" i="5"/>
  <c r="BN40" i="5" s="1"/>
  <c r="BN180" i="5" s="1"/>
  <c r="AL38" i="5"/>
  <c r="BM40" i="5" s="1"/>
  <c r="BM180" i="5" s="1"/>
  <c r="BL40" i="5"/>
  <c r="BL180" i="5" s="1"/>
  <c r="AJ38" i="5"/>
  <c r="AI38" i="5"/>
  <c r="BJ40" i="5" s="1"/>
  <c r="BJ180" i="5" s="1"/>
  <c r="BI40" i="5"/>
  <c r="BI180" i="5" s="1"/>
  <c r="BG40" i="5"/>
  <c r="AP39" i="5"/>
  <c r="AO39" i="5"/>
  <c r="AO179" i="5" s="1"/>
  <c r="BO39" i="5"/>
  <c r="BO179" i="5"/>
  <c r="AM39" i="5"/>
  <c r="AM179" i="5" s="1"/>
  <c r="AL39" i="5"/>
  <c r="BL39" i="5"/>
  <c r="BL179" i="5" s="1"/>
  <c r="AJ39" i="5"/>
  <c r="AJ179" i="5" s="1"/>
  <c r="AI39" i="5"/>
  <c r="BJ39" i="5" s="1"/>
  <c r="BJ179" i="5" s="1"/>
  <c r="BI39" i="5"/>
  <c r="BI179" i="5" s="1"/>
  <c r="BG39" i="5"/>
  <c r="AP40" i="5"/>
  <c r="BQ38" i="5" s="1"/>
  <c r="AO40" i="5"/>
  <c r="AO180" i="5" s="1"/>
  <c r="BP38" i="5"/>
  <c r="BP178" i="5" s="1"/>
  <c r="BO38" i="5"/>
  <c r="BR38" i="5" s="1"/>
  <c r="AM40" i="5"/>
  <c r="BN38" i="5" s="1"/>
  <c r="BN178" i="5" s="1"/>
  <c r="AL40" i="5"/>
  <c r="BM38" i="5" s="1"/>
  <c r="BM178" i="5" s="1"/>
  <c r="BL38" i="5"/>
  <c r="BL178" i="5" s="1"/>
  <c r="AJ40" i="5"/>
  <c r="AI40" i="5"/>
  <c r="BJ38" i="5"/>
  <c r="BJ178" i="5" s="1"/>
  <c r="BI38" i="5"/>
  <c r="BI178" i="5" s="1"/>
  <c r="BG38" i="5"/>
  <c r="AP41" i="5"/>
  <c r="AO41" i="5"/>
  <c r="AO181" i="5" s="1"/>
  <c r="BO37" i="5"/>
  <c r="AM41" i="5"/>
  <c r="AM181" i="5" s="1"/>
  <c r="AL41" i="5"/>
  <c r="BL37" i="5"/>
  <c r="BL177" i="5" s="1"/>
  <c r="AJ41" i="5"/>
  <c r="AI41" i="5"/>
  <c r="BJ37" i="5" s="1"/>
  <c r="BJ177" i="5" s="1"/>
  <c r="BI37" i="5"/>
  <c r="BI177" i="5" s="1"/>
  <c r="BG37" i="5"/>
  <c r="BG177" i="5" s="1"/>
  <c r="BH37" i="5"/>
  <c r="BH177" i="5" s="1"/>
  <c r="AP42" i="5"/>
  <c r="BQ36" i="5" s="1"/>
  <c r="BQ176" i="5" s="1"/>
  <c r="AO42" i="5"/>
  <c r="BO36" i="5"/>
  <c r="BO176" i="5"/>
  <c r="AM42" i="5"/>
  <c r="AL42" i="5"/>
  <c r="BM36" i="5"/>
  <c r="BM176" i="5" s="1"/>
  <c r="BL36" i="5"/>
  <c r="BL176" i="5" s="1"/>
  <c r="AJ42" i="5"/>
  <c r="AI42" i="5"/>
  <c r="BJ36" i="5" s="1"/>
  <c r="BJ176" i="5" s="1"/>
  <c r="BI36" i="5"/>
  <c r="BI176" i="5" s="1"/>
  <c r="BG36" i="5"/>
  <c r="AP43" i="5"/>
  <c r="BQ35" i="5" s="1"/>
  <c r="BQ175" i="5" s="1"/>
  <c r="AO43" i="5"/>
  <c r="AO183" i="5" s="1"/>
  <c r="BO35" i="5"/>
  <c r="BO175" i="5" s="1"/>
  <c r="BR175" i="5" s="1"/>
  <c r="AM43" i="5"/>
  <c r="AM183" i="5" s="1"/>
  <c r="BN35" i="5"/>
  <c r="AL43" i="5"/>
  <c r="BL35" i="5"/>
  <c r="BL175" i="5" s="1"/>
  <c r="AJ43" i="5"/>
  <c r="AI43" i="5"/>
  <c r="BJ35" i="5" s="1"/>
  <c r="BJ175" i="5" s="1"/>
  <c r="BI35" i="5"/>
  <c r="BI175" i="5"/>
  <c r="BG35" i="5"/>
  <c r="AN183" i="5"/>
  <c r="AK183" i="5"/>
  <c r="AI183" i="5"/>
  <c r="AH183" i="5"/>
  <c r="AG43" i="5"/>
  <c r="AG183" i="5" s="1"/>
  <c r="AF183" i="5"/>
  <c r="AN182" i="5"/>
  <c r="AQ182" i="5" s="1"/>
  <c r="AL182" i="5"/>
  <c r="AK182" i="5"/>
  <c r="AI182" i="5"/>
  <c r="AH182" i="5"/>
  <c r="AG42" i="5"/>
  <c r="AG182" i="5" s="1"/>
  <c r="AF182" i="5"/>
  <c r="AN181" i="5"/>
  <c r="AK181" i="5"/>
  <c r="AI181" i="5"/>
  <c r="AH181" i="5"/>
  <c r="AG41" i="5"/>
  <c r="AG181" i="5" s="1"/>
  <c r="AF181" i="5"/>
  <c r="AN180" i="5"/>
  <c r="AM180" i="5"/>
  <c r="AL180" i="5"/>
  <c r="AK180" i="5"/>
  <c r="AI180" i="5"/>
  <c r="AH180" i="5"/>
  <c r="AG40" i="5"/>
  <c r="AG180" i="5" s="1"/>
  <c r="AF180" i="5"/>
  <c r="AN179" i="5"/>
  <c r="AK179" i="5"/>
  <c r="AI179" i="5"/>
  <c r="AH179" i="5"/>
  <c r="AG39" i="5"/>
  <c r="AG179" i="5" s="1"/>
  <c r="AF179" i="5"/>
  <c r="AN178" i="5"/>
  <c r="AK178" i="5"/>
  <c r="AI178" i="5"/>
  <c r="AH178" i="5"/>
  <c r="AG38" i="5"/>
  <c r="AG178" i="5" s="1"/>
  <c r="AF178" i="5"/>
  <c r="AN177" i="5"/>
  <c r="AL177" i="5"/>
  <c r="AK177" i="5"/>
  <c r="AH177" i="5"/>
  <c r="AG37" i="5"/>
  <c r="AG177" i="5" s="1"/>
  <c r="AF177" i="5"/>
  <c r="AO176" i="5"/>
  <c r="AN176" i="5"/>
  <c r="AL176" i="5"/>
  <c r="AK176" i="5"/>
  <c r="AH176" i="5"/>
  <c r="AG36" i="5"/>
  <c r="AG176" i="5" s="1"/>
  <c r="AF176" i="5"/>
  <c r="AN175" i="5"/>
  <c r="AK175" i="5"/>
  <c r="AI175" i="5"/>
  <c r="AH175" i="5"/>
  <c r="AG35" i="5"/>
  <c r="AG175" i="5" s="1"/>
  <c r="AF175" i="5"/>
  <c r="E176" i="5"/>
  <c r="G176" i="5"/>
  <c r="J176" i="5"/>
  <c r="L36" i="5"/>
  <c r="L176" i="5"/>
  <c r="M176" i="5"/>
  <c r="P176" i="5" s="1"/>
  <c r="P182" i="5" s="1"/>
  <c r="O36" i="5"/>
  <c r="O42" i="5" s="1"/>
  <c r="O182" i="5" s="1"/>
  <c r="O176" i="5"/>
  <c r="E177" i="5"/>
  <c r="G177" i="5"/>
  <c r="J177" i="5"/>
  <c r="L37" i="5"/>
  <c r="L177" i="5" s="1"/>
  <c r="M177" i="5"/>
  <c r="O37" i="5"/>
  <c r="E178" i="5"/>
  <c r="G178" i="5"/>
  <c r="J178" i="5"/>
  <c r="L38" i="5"/>
  <c r="M178" i="5"/>
  <c r="O38" i="5"/>
  <c r="O178" i="5" s="1"/>
  <c r="E179" i="5"/>
  <c r="G179" i="5"/>
  <c r="J179" i="5"/>
  <c r="L39" i="5"/>
  <c r="L179" i="5"/>
  <c r="M179" i="5"/>
  <c r="O39" i="5"/>
  <c r="O179" i="5" s="1"/>
  <c r="O40" i="5"/>
  <c r="O180" i="5"/>
  <c r="L41" i="5"/>
  <c r="L181" i="5" s="1"/>
  <c r="L42" i="5"/>
  <c r="L182" i="5" s="1"/>
  <c r="L35" i="5"/>
  <c r="L175" i="5" s="1"/>
  <c r="O35" i="5"/>
  <c r="O43" i="5" s="1"/>
  <c r="O183" i="5" s="1"/>
  <c r="G175" i="5"/>
  <c r="J175" i="5"/>
  <c r="M175" i="5"/>
  <c r="P175" i="5" s="1"/>
  <c r="P183" i="5" s="1"/>
  <c r="E175" i="5"/>
  <c r="AP47" i="5"/>
  <c r="BQ55" i="5" s="1"/>
  <c r="BQ170" i="5" s="1"/>
  <c r="AO47" i="5"/>
  <c r="BP55" i="5" s="1"/>
  <c r="BP170" i="5" s="1"/>
  <c r="BO55" i="5"/>
  <c r="BO170" i="5" s="1"/>
  <c r="BR170" i="5" s="1"/>
  <c r="AM47" i="5"/>
  <c r="BN55" i="5" s="1"/>
  <c r="BN170" i="5" s="1"/>
  <c r="AL47" i="5"/>
  <c r="BL55" i="5"/>
  <c r="BL170" i="5" s="1"/>
  <c r="AJ47" i="5"/>
  <c r="BK55" i="5" s="1"/>
  <c r="BK170" i="5" s="1"/>
  <c r="AI47" i="5"/>
  <c r="AI162" i="5" s="1"/>
  <c r="BI55" i="5"/>
  <c r="BI170" i="5" s="1"/>
  <c r="BG55" i="5"/>
  <c r="BH55" i="5" s="1"/>
  <c r="BH170" i="5" s="1"/>
  <c r="AP48" i="5"/>
  <c r="AO48" i="5"/>
  <c r="BO54" i="5"/>
  <c r="BO169" i="5" s="1"/>
  <c r="BR169" i="5" s="1"/>
  <c r="AM48" i="5"/>
  <c r="BN54" i="5" s="1"/>
  <c r="BN169" i="5" s="1"/>
  <c r="AL48" i="5"/>
  <c r="BL54" i="5"/>
  <c r="BL169" i="5" s="1"/>
  <c r="AJ48" i="5"/>
  <c r="BK54" i="5" s="1"/>
  <c r="BK169" i="5" s="1"/>
  <c r="AI48" i="5"/>
  <c r="BI54" i="5"/>
  <c r="BI169" i="5"/>
  <c r="BG54" i="5"/>
  <c r="BG169" i="5" s="1"/>
  <c r="BH54" i="5"/>
  <c r="BH169" i="5" s="1"/>
  <c r="AP49" i="5"/>
  <c r="BQ53" i="5" s="1"/>
  <c r="BQ168" i="5" s="1"/>
  <c r="AO49" i="5"/>
  <c r="BO53" i="5"/>
  <c r="BO168" i="5" s="1"/>
  <c r="BR168" i="5" s="1"/>
  <c r="AM49" i="5"/>
  <c r="BN53" i="5" s="1"/>
  <c r="BN168" i="5" s="1"/>
  <c r="AL49" i="5"/>
  <c r="AL164" i="5" s="1"/>
  <c r="BM53" i="5"/>
  <c r="BM168" i="5" s="1"/>
  <c r="BL53" i="5"/>
  <c r="BL168" i="5" s="1"/>
  <c r="AJ49" i="5"/>
  <c r="AI49" i="5"/>
  <c r="BJ53" i="5" s="1"/>
  <c r="BJ168" i="5" s="1"/>
  <c r="BI53" i="5"/>
  <c r="BI168" i="5" s="1"/>
  <c r="BG53" i="5"/>
  <c r="BH53" i="5" s="1"/>
  <c r="BH168" i="5" s="1"/>
  <c r="AP50" i="5"/>
  <c r="AO50" i="5"/>
  <c r="BO52" i="5"/>
  <c r="AM50" i="5"/>
  <c r="AL50" i="5"/>
  <c r="BL52" i="5"/>
  <c r="BL167" i="5"/>
  <c r="AJ50" i="5"/>
  <c r="AJ165" i="5" s="1"/>
  <c r="AI50" i="5"/>
  <c r="BI52" i="5"/>
  <c r="BI167" i="5"/>
  <c r="BG52" i="5"/>
  <c r="BH52" i="5" s="1"/>
  <c r="BH167" i="5" s="1"/>
  <c r="AP51" i="5"/>
  <c r="BQ51" i="5" s="1"/>
  <c r="BQ166" i="5" s="1"/>
  <c r="AO51" i="5"/>
  <c r="AO166" i="5" s="1"/>
  <c r="BO51" i="5"/>
  <c r="BO166" i="5" s="1"/>
  <c r="BR166" i="5" s="1"/>
  <c r="AM51" i="5"/>
  <c r="BN51" i="5" s="1"/>
  <c r="BN166" i="5" s="1"/>
  <c r="AL51" i="5"/>
  <c r="BL51" i="5"/>
  <c r="BL166" i="5" s="1"/>
  <c r="AJ51" i="5"/>
  <c r="AI51" i="5"/>
  <c r="AI166" i="5" s="1"/>
  <c r="BI51" i="5"/>
  <c r="BI166" i="5" s="1"/>
  <c r="BG51" i="5"/>
  <c r="BH51" i="5" s="1"/>
  <c r="BH166" i="5" s="1"/>
  <c r="AP52" i="5"/>
  <c r="AP167" i="5" s="1"/>
  <c r="AO52" i="5"/>
  <c r="BO50" i="5"/>
  <c r="BR50" i="5" s="1"/>
  <c r="AM52" i="5"/>
  <c r="BN50" i="5" s="1"/>
  <c r="BN165" i="5" s="1"/>
  <c r="AL52" i="5"/>
  <c r="BM50" i="5" s="1"/>
  <c r="BM165" i="5" s="1"/>
  <c r="BL50" i="5"/>
  <c r="BL165" i="5"/>
  <c r="AJ52" i="5"/>
  <c r="BK50" i="5" s="1"/>
  <c r="BK165" i="5"/>
  <c r="AI52" i="5"/>
  <c r="BI50" i="5"/>
  <c r="BI165" i="5" s="1"/>
  <c r="BG50" i="5"/>
  <c r="BG165" i="5" s="1"/>
  <c r="AP53" i="5"/>
  <c r="BQ49" i="5" s="1"/>
  <c r="BQ164" i="5" s="1"/>
  <c r="AO53" i="5"/>
  <c r="BO49" i="5"/>
  <c r="AM53" i="5"/>
  <c r="BN49" i="5" s="1"/>
  <c r="BN164" i="5" s="1"/>
  <c r="AL53" i="5"/>
  <c r="AL168" i="5" s="1"/>
  <c r="BL49" i="5"/>
  <c r="BL164" i="5" s="1"/>
  <c r="AJ53" i="5"/>
  <c r="AJ168" i="5" s="1"/>
  <c r="AI53" i="5"/>
  <c r="BI49" i="5"/>
  <c r="BG49" i="5"/>
  <c r="BH49" i="5" s="1"/>
  <c r="BH164" i="5" s="1"/>
  <c r="AP54" i="5"/>
  <c r="AP169" i="5" s="1"/>
  <c r="BQ48" i="5"/>
  <c r="BQ163" i="5" s="1"/>
  <c r="AO54" i="5"/>
  <c r="BO48" i="5"/>
  <c r="AM54" i="5"/>
  <c r="BN48" i="5" s="1"/>
  <c r="BN163" i="5" s="1"/>
  <c r="AL54" i="5"/>
  <c r="BL48" i="5"/>
  <c r="BL163" i="5"/>
  <c r="AJ54" i="5"/>
  <c r="AJ169" i="5" s="1"/>
  <c r="BK48" i="5"/>
  <c r="BK163" i="5" s="1"/>
  <c r="AI54" i="5"/>
  <c r="BJ48" i="5" s="1"/>
  <c r="BJ163" i="5" s="1"/>
  <c r="BI48" i="5"/>
  <c r="BI163" i="5"/>
  <c r="BG48" i="5"/>
  <c r="AP55" i="5"/>
  <c r="BQ47" i="5" s="1"/>
  <c r="BQ162" i="5" s="1"/>
  <c r="AO55" i="5"/>
  <c r="AO170" i="5" s="1"/>
  <c r="BO47" i="5"/>
  <c r="AM55" i="5"/>
  <c r="BN47" i="5" s="1"/>
  <c r="BN162" i="5" s="1"/>
  <c r="AL55" i="5"/>
  <c r="BL47" i="5"/>
  <c r="BL162" i="5" s="1"/>
  <c r="AJ55" i="5"/>
  <c r="AJ170" i="5" s="1"/>
  <c r="AI55" i="5"/>
  <c r="BJ47" i="5" s="1"/>
  <c r="BJ162" i="5" s="1"/>
  <c r="BI47" i="5"/>
  <c r="BI162" i="5" s="1"/>
  <c r="BG47" i="5"/>
  <c r="BH47" i="5" s="1"/>
  <c r="BH162" i="5" s="1"/>
  <c r="AP170" i="5"/>
  <c r="AN170" i="5"/>
  <c r="AQ170" i="5" s="1"/>
  <c r="AM170" i="5"/>
  <c r="AK170" i="5"/>
  <c r="AH170" i="5"/>
  <c r="AG55" i="5"/>
  <c r="AG170" i="5" s="1"/>
  <c r="AF170" i="5"/>
  <c r="AN169" i="5"/>
  <c r="AM169" i="5"/>
  <c r="AK169" i="5"/>
  <c r="AI169" i="5"/>
  <c r="AH169" i="5"/>
  <c r="AG54" i="5"/>
  <c r="AG169" i="5" s="1"/>
  <c r="AF169" i="5"/>
  <c r="AN168" i="5"/>
  <c r="AK168" i="5"/>
  <c r="AH168" i="5"/>
  <c r="AG53" i="5"/>
  <c r="AG168" i="5" s="1"/>
  <c r="AF168" i="5"/>
  <c r="AN167" i="5"/>
  <c r="AM167" i="5"/>
  <c r="AL167" i="5"/>
  <c r="AK167" i="5"/>
  <c r="AH167" i="5"/>
  <c r="AG52" i="5"/>
  <c r="AG167" i="5" s="1"/>
  <c r="AF167" i="5"/>
  <c r="AN166" i="5"/>
  <c r="AQ166" i="5" s="1"/>
  <c r="AK166" i="5"/>
  <c r="AH166" i="5"/>
  <c r="AG51" i="5"/>
  <c r="AG166" i="5" s="1"/>
  <c r="AF166" i="5"/>
  <c r="AN165" i="5"/>
  <c r="AQ165" i="5" s="1"/>
  <c r="AK165" i="5"/>
  <c r="AH165" i="5"/>
  <c r="AG50" i="5"/>
  <c r="AG165" i="5"/>
  <c r="AF165" i="5"/>
  <c r="AP164" i="5"/>
  <c r="AN164" i="5"/>
  <c r="AQ164" i="5" s="1"/>
  <c r="AM164" i="5"/>
  <c r="AK164" i="5"/>
  <c r="AI164" i="5"/>
  <c r="AH164" i="5"/>
  <c r="AG49" i="5"/>
  <c r="AG164" i="5" s="1"/>
  <c r="AF164" i="5"/>
  <c r="AN163" i="5"/>
  <c r="AM163" i="5"/>
  <c r="AK163" i="5"/>
  <c r="AJ163" i="5"/>
  <c r="AH163" i="5"/>
  <c r="AG48" i="5"/>
  <c r="AG163" i="5" s="1"/>
  <c r="AF163" i="5"/>
  <c r="AP162" i="5"/>
  <c r="AO162" i="5"/>
  <c r="AN162" i="5"/>
  <c r="AQ162" i="5" s="1"/>
  <c r="AK162" i="5"/>
  <c r="AJ162" i="5"/>
  <c r="AH162" i="5"/>
  <c r="AG47" i="5"/>
  <c r="AG162" i="5" s="1"/>
  <c r="AF162" i="5"/>
  <c r="E163" i="5"/>
  <c r="G163" i="5"/>
  <c r="J163" i="5"/>
  <c r="L48" i="5"/>
  <c r="L163" i="5" s="1"/>
  <c r="M163" i="5"/>
  <c r="O48" i="5"/>
  <c r="O54" i="5" s="1"/>
  <c r="O169" i="5" s="1"/>
  <c r="E164" i="5"/>
  <c r="G164" i="5"/>
  <c r="J164" i="5"/>
  <c r="L49" i="5"/>
  <c r="L164" i="5" s="1"/>
  <c r="M164" i="5"/>
  <c r="O49" i="5"/>
  <c r="O164" i="5" s="1"/>
  <c r="E165" i="5"/>
  <c r="G165" i="5"/>
  <c r="J165" i="5"/>
  <c r="L50" i="5"/>
  <c r="M165" i="5"/>
  <c r="P165" i="5" s="1"/>
  <c r="O50" i="5"/>
  <c r="O165" i="5" s="1"/>
  <c r="E166" i="5"/>
  <c r="G166" i="5"/>
  <c r="J166" i="5"/>
  <c r="L51" i="5"/>
  <c r="L166" i="5" s="1"/>
  <c r="M166" i="5"/>
  <c r="P166" i="5" s="1"/>
  <c r="O51" i="5"/>
  <c r="O166" i="5"/>
  <c r="L47" i="5"/>
  <c r="L162" i="5" s="1"/>
  <c r="O47" i="5"/>
  <c r="O162" i="5" s="1"/>
  <c r="G162" i="5"/>
  <c r="J162" i="5"/>
  <c r="M162" i="5"/>
  <c r="E162" i="5"/>
  <c r="F188" i="5"/>
  <c r="H188" i="5"/>
  <c r="I188" i="5"/>
  <c r="K188" i="5"/>
  <c r="L188" i="5"/>
  <c r="N188" i="5"/>
  <c r="O188" i="5"/>
  <c r="AP61" i="5"/>
  <c r="BQ71" i="5" s="1"/>
  <c r="BQ158" i="5" s="1"/>
  <c r="AO61" i="5"/>
  <c r="AO148" i="5" s="1"/>
  <c r="BP71" i="5"/>
  <c r="BP158" i="5" s="1"/>
  <c r="BO71" i="5"/>
  <c r="BO158" i="5" s="1"/>
  <c r="AM61" i="5"/>
  <c r="BN71" i="5" s="1"/>
  <c r="BN158" i="5" s="1"/>
  <c r="AL61" i="5"/>
  <c r="BM71" i="5" s="1"/>
  <c r="BM158" i="5" s="1"/>
  <c r="BL71" i="5"/>
  <c r="BL158" i="5" s="1"/>
  <c r="AJ61" i="5"/>
  <c r="BK71" i="5" s="1"/>
  <c r="BK158" i="5" s="1"/>
  <c r="AI61" i="5"/>
  <c r="BJ71" i="5" s="1"/>
  <c r="BJ158" i="5" s="1"/>
  <c r="BI71" i="5"/>
  <c r="BI158" i="5"/>
  <c r="BG71" i="5"/>
  <c r="AP62" i="5"/>
  <c r="BQ70" i="5" s="1"/>
  <c r="BQ157" i="5" s="1"/>
  <c r="AO62" i="5"/>
  <c r="AO149" i="5" s="1"/>
  <c r="BP70" i="5"/>
  <c r="BP157" i="5" s="1"/>
  <c r="BO70" i="5"/>
  <c r="AM62" i="5"/>
  <c r="AL62" i="5"/>
  <c r="BM70" i="5" s="1"/>
  <c r="BM157" i="5"/>
  <c r="BL70" i="5"/>
  <c r="BL157" i="5" s="1"/>
  <c r="AJ62" i="5"/>
  <c r="AI62" i="5"/>
  <c r="BI70" i="5"/>
  <c r="BI157" i="5" s="1"/>
  <c r="BG70" i="5"/>
  <c r="BH70" i="5" s="1"/>
  <c r="BH157" i="5" s="1"/>
  <c r="AP63" i="5"/>
  <c r="BQ69" i="5" s="1"/>
  <c r="BQ156" i="5" s="1"/>
  <c r="AO63" i="5"/>
  <c r="BP69" i="5"/>
  <c r="BP156" i="5" s="1"/>
  <c r="BO69" i="5"/>
  <c r="AM63" i="5"/>
  <c r="BN69" i="5" s="1"/>
  <c r="BN156" i="5" s="1"/>
  <c r="AL63" i="5"/>
  <c r="BM69" i="5" s="1"/>
  <c r="BM156" i="5" s="1"/>
  <c r="BL69" i="5"/>
  <c r="BL156" i="5" s="1"/>
  <c r="AJ63" i="5"/>
  <c r="AI63" i="5"/>
  <c r="BJ69" i="5"/>
  <c r="BJ156" i="5" s="1"/>
  <c r="BI69" i="5"/>
  <c r="BI156" i="5" s="1"/>
  <c r="BG69" i="5"/>
  <c r="AP64" i="5"/>
  <c r="AP151" i="5" s="1"/>
  <c r="AO64" i="5"/>
  <c r="AO151" i="5" s="1"/>
  <c r="BO68" i="5"/>
  <c r="BO155" i="5" s="1"/>
  <c r="BR155" i="5" s="1"/>
  <c r="AM64" i="5"/>
  <c r="AM151" i="5" s="1"/>
  <c r="AL64" i="5"/>
  <c r="AL151" i="5" s="1"/>
  <c r="BL68" i="5"/>
  <c r="BL155" i="5"/>
  <c r="AJ64" i="5"/>
  <c r="AI64" i="5"/>
  <c r="BJ68" i="5" s="1"/>
  <c r="BJ155" i="5" s="1"/>
  <c r="BI68" i="5"/>
  <c r="BI155" i="5" s="1"/>
  <c r="BG68" i="5"/>
  <c r="BH68" i="5" s="1"/>
  <c r="BH155" i="5" s="1"/>
  <c r="AP65" i="5"/>
  <c r="BQ67" i="5" s="1"/>
  <c r="BQ154" i="5" s="1"/>
  <c r="AO65" i="5"/>
  <c r="BP67" i="5" s="1"/>
  <c r="BP154" i="5" s="1"/>
  <c r="BO67" i="5"/>
  <c r="BO154" i="5" s="1"/>
  <c r="BR154" i="5" s="1"/>
  <c r="AM65" i="5"/>
  <c r="AL65" i="5"/>
  <c r="AL152" i="5" s="1"/>
  <c r="BM67" i="5"/>
  <c r="BM154" i="5"/>
  <c r="BL67" i="5"/>
  <c r="BL154" i="5"/>
  <c r="AJ65" i="5"/>
  <c r="AI65" i="5"/>
  <c r="BJ67" i="5"/>
  <c r="BJ154" i="5" s="1"/>
  <c r="BI67" i="5"/>
  <c r="BI154" i="5" s="1"/>
  <c r="BG67" i="5"/>
  <c r="AP66" i="5"/>
  <c r="AP153" i="5" s="1"/>
  <c r="AO66" i="5"/>
  <c r="AO153" i="5" s="1"/>
  <c r="BO66" i="5"/>
  <c r="BR66" i="5" s="1"/>
  <c r="AM66" i="5"/>
  <c r="AM153" i="5" s="1"/>
  <c r="AL66" i="5"/>
  <c r="AL153" i="5" s="1"/>
  <c r="BL66" i="5"/>
  <c r="BL153" i="5"/>
  <c r="AJ66" i="5"/>
  <c r="AI66" i="5"/>
  <c r="BJ66" i="5" s="1"/>
  <c r="BJ153" i="5" s="1"/>
  <c r="BI66" i="5"/>
  <c r="BI153" i="5" s="1"/>
  <c r="BG66" i="5"/>
  <c r="BH66" i="5" s="1"/>
  <c r="BH153" i="5" s="1"/>
  <c r="AP67" i="5"/>
  <c r="BQ65" i="5" s="1"/>
  <c r="BQ152" i="5" s="1"/>
  <c r="AO67" i="5"/>
  <c r="BP65" i="5" s="1"/>
  <c r="BP152" i="5" s="1"/>
  <c r="BO65" i="5"/>
  <c r="BO152" i="5" s="1"/>
  <c r="BR152" i="5" s="1"/>
  <c r="AM67" i="5"/>
  <c r="BN65" i="5" s="1"/>
  <c r="BN152" i="5" s="1"/>
  <c r="AL67" i="5"/>
  <c r="AL154" i="5" s="1"/>
  <c r="BM65" i="5"/>
  <c r="BM152" i="5" s="1"/>
  <c r="BL65" i="5"/>
  <c r="BL152" i="5"/>
  <c r="AJ67" i="5"/>
  <c r="AI67" i="5"/>
  <c r="BJ65" i="5" s="1"/>
  <c r="BJ152" i="5" s="1"/>
  <c r="BI65" i="5"/>
  <c r="BI152" i="5" s="1"/>
  <c r="BG65" i="5"/>
  <c r="AP68" i="5"/>
  <c r="BQ64" i="5" s="1"/>
  <c r="BQ151" i="5" s="1"/>
  <c r="AO68" i="5"/>
  <c r="BO64" i="5"/>
  <c r="BO151" i="5" s="1"/>
  <c r="AM68" i="5"/>
  <c r="AM155" i="5" s="1"/>
  <c r="AL68" i="5"/>
  <c r="AL155" i="5" s="1"/>
  <c r="BL64" i="5"/>
  <c r="BL151" i="5"/>
  <c r="AJ68" i="5"/>
  <c r="AJ155" i="5" s="1"/>
  <c r="AI68" i="5"/>
  <c r="AI155" i="5" s="1"/>
  <c r="BI64" i="5"/>
  <c r="BI151" i="5"/>
  <c r="BG64" i="5"/>
  <c r="BG151" i="5"/>
  <c r="AP69" i="5"/>
  <c r="AO69" i="5"/>
  <c r="BP63" i="5"/>
  <c r="BP150" i="5" s="1"/>
  <c r="BO63" i="5"/>
  <c r="BR63" i="5" s="1"/>
  <c r="AM69" i="5"/>
  <c r="AL69" i="5"/>
  <c r="BM63" i="5" s="1"/>
  <c r="BM150" i="5" s="1"/>
  <c r="BL63" i="5"/>
  <c r="BL150" i="5" s="1"/>
  <c r="AJ69" i="5"/>
  <c r="AI69" i="5"/>
  <c r="AI156" i="5" s="1"/>
  <c r="BI63" i="5"/>
  <c r="BI150" i="5" s="1"/>
  <c r="BG63" i="5"/>
  <c r="AP70" i="5"/>
  <c r="AP157" i="5" s="1"/>
  <c r="AO70" i="5"/>
  <c r="BO62" i="5"/>
  <c r="BR62" i="5" s="1"/>
  <c r="AM70" i="5"/>
  <c r="AM157" i="5" s="1"/>
  <c r="AL70" i="5"/>
  <c r="BM62" i="5" s="1"/>
  <c r="BM149" i="5" s="1"/>
  <c r="BL62" i="5"/>
  <c r="BL149" i="5" s="1"/>
  <c r="AJ70" i="5"/>
  <c r="AJ157" i="5" s="1"/>
  <c r="BK62" i="5"/>
  <c r="BK149" i="5" s="1"/>
  <c r="AI70" i="5"/>
  <c r="BJ62" i="5" s="1"/>
  <c r="BJ149" i="5" s="1"/>
  <c r="BI62" i="5"/>
  <c r="BI149" i="5" s="1"/>
  <c r="BG62" i="5"/>
  <c r="BG149" i="5" s="1"/>
  <c r="AP71" i="5"/>
  <c r="BQ61" i="5" s="1"/>
  <c r="BQ148" i="5" s="1"/>
  <c r="AO71" i="5"/>
  <c r="AO158" i="5" s="1"/>
  <c r="BO61" i="5"/>
  <c r="AM71" i="5"/>
  <c r="BN61" i="5" s="1"/>
  <c r="BN148" i="5" s="1"/>
  <c r="AL71" i="5"/>
  <c r="BM61" i="5" s="1"/>
  <c r="BM148" i="5"/>
  <c r="BL61" i="5"/>
  <c r="BL148" i="5" s="1"/>
  <c r="AJ71" i="5"/>
  <c r="AI71" i="5"/>
  <c r="AI158" i="5" s="1"/>
  <c r="BI61" i="5"/>
  <c r="BI148" i="5" s="1"/>
  <c r="BG61" i="5"/>
  <c r="AP158" i="5"/>
  <c r="AN158" i="5"/>
  <c r="AL158" i="5"/>
  <c r="AK158" i="5"/>
  <c r="AH158" i="5"/>
  <c r="AG71" i="5"/>
  <c r="AG158" i="5" s="1"/>
  <c r="AF158" i="5"/>
  <c r="AN157" i="5"/>
  <c r="AL157" i="5"/>
  <c r="AK157" i="5"/>
  <c r="AH157" i="5"/>
  <c r="AG70" i="5"/>
  <c r="AG157" i="5" s="1"/>
  <c r="AF157" i="5"/>
  <c r="AO156" i="5"/>
  <c r="AN156" i="5"/>
  <c r="AQ156" i="5" s="1"/>
  <c r="AL156" i="5"/>
  <c r="AK156" i="5"/>
  <c r="AH156" i="5"/>
  <c r="AG69" i="5"/>
  <c r="AG156" i="5" s="1"/>
  <c r="AF156" i="5"/>
  <c r="AN155" i="5"/>
  <c r="AK155" i="5"/>
  <c r="AH155" i="5"/>
  <c r="AG68" i="5"/>
  <c r="AG155" i="5" s="1"/>
  <c r="AF155" i="5"/>
  <c r="AN154" i="5"/>
  <c r="AM154" i="5"/>
  <c r="AK154" i="5"/>
  <c r="AI154" i="5"/>
  <c r="AH154" i="5"/>
  <c r="AG67" i="5"/>
  <c r="AG154" i="5" s="1"/>
  <c r="AF154" i="5"/>
  <c r="AN153" i="5"/>
  <c r="AK153" i="5"/>
  <c r="AH153" i="5"/>
  <c r="AG66" i="5"/>
  <c r="AG153" i="5" s="1"/>
  <c r="AF153" i="5"/>
  <c r="AP152" i="5"/>
  <c r="AN152" i="5"/>
  <c r="AK152" i="5"/>
  <c r="AI152" i="5"/>
  <c r="AH152" i="5"/>
  <c r="AG65" i="5"/>
  <c r="AG152" i="5" s="1"/>
  <c r="AF152" i="5"/>
  <c r="AN151" i="5"/>
  <c r="AQ151" i="5" s="1"/>
  <c r="AK151" i="5"/>
  <c r="AI151" i="5"/>
  <c r="AH151" i="5"/>
  <c r="AG64" i="5"/>
  <c r="AG151" i="5" s="1"/>
  <c r="AF151" i="5"/>
  <c r="AP150" i="5"/>
  <c r="AO150" i="5"/>
  <c r="AN150" i="5"/>
  <c r="AQ150" i="5" s="1"/>
  <c r="AM150" i="5"/>
  <c r="AL150" i="5"/>
  <c r="AK150" i="5"/>
  <c r="AI150" i="5"/>
  <c r="AH150" i="5"/>
  <c r="AG63" i="5"/>
  <c r="AG150" i="5" s="1"/>
  <c r="AF150" i="5"/>
  <c r="AP149" i="5"/>
  <c r="AN149" i="5"/>
  <c r="AL149" i="5"/>
  <c r="AK149" i="5"/>
  <c r="AH149" i="5"/>
  <c r="AG62" i="5"/>
  <c r="AG149" i="5" s="1"/>
  <c r="AF149" i="5"/>
  <c r="AP148" i="5"/>
  <c r="AN148" i="5"/>
  <c r="AM148" i="5"/>
  <c r="AL148" i="5"/>
  <c r="AK148" i="5"/>
  <c r="AI148" i="5"/>
  <c r="AH148" i="5"/>
  <c r="AG61" i="5"/>
  <c r="AG148" i="5" s="1"/>
  <c r="AF148" i="5"/>
  <c r="G148" i="5"/>
  <c r="J148" i="5"/>
  <c r="L61" i="5"/>
  <c r="L148" i="5" s="1"/>
  <c r="M148" i="5"/>
  <c r="P148" i="5" s="1"/>
  <c r="P158" i="5" s="1"/>
  <c r="O61" i="5"/>
  <c r="O148" i="5"/>
  <c r="G149" i="5"/>
  <c r="J149" i="5"/>
  <c r="L62" i="5"/>
  <c r="L70" i="5" s="1"/>
  <c r="L157" i="5" s="1"/>
  <c r="M149" i="5"/>
  <c r="P149" i="5" s="1"/>
  <c r="P157" i="5" s="1"/>
  <c r="O62" i="5"/>
  <c r="O70" i="5" s="1"/>
  <c r="O157" i="5" s="1"/>
  <c r="G150" i="5"/>
  <c r="J150" i="5"/>
  <c r="L63" i="5"/>
  <c r="L150" i="5"/>
  <c r="M150" i="5"/>
  <c r="P150" i="5" s="1"/>
  <c r="P156" i="5" s="1"/>
  <c r="O63" i="5"/>
  <c r="O150" i="5" s="1"/>
  <c r="G151" i="5"/>
  <c r="J151" i="5"/>
  <c r="L64" i="5"/>
  <c r="M151" i="5"/>
  <c r="P151" i="5" s="1"/>
  <c r="P155" i="5" s="1"/>
  <c r="O64" i="5"/>
  <c r="O151" i="5" s="1"/>
  <c r="G152" i="5"/>
  <c r="J152" i="5"/>
  <c r="L65" i="5"/>
  <c r="L152" i="5"/>
  <c r="M152" i="5"/>
  <c r="P152" i="5" s="1"/>
  <c r="P154" i="5" s="1"/>
  <c r="O65" i="5"/>
  <c r="G153" i="5"/>
  <c r="J153" i="5"/>
  <c r="L66" i="5"/>
  <c r="L153" i="5" s="1"/>
  <c r="M153" i="5"/>
  <c r="P153" i="5" s="1"/>
  <c r="O66" i="5"/>
  <c r="O153" i="5"/>
  <c r="L67" i="5"/>
  <c r="L154" i="5" s="1"/>
  <c r="O68" i="5"/>
  <c r="O155" i="5" s="1"/>
  <c r="L69" i="5"/>
  <c r="L156" i="5" s="1"/>
  <c r="O69" i="5"/>
  <c r="O156" i="5" s="1"/>
  <c r="L71" i="5"/>
  <c r="L158" i="5" s="1"/>
  <c r="O71" i="5"/>
  <c r="O158" i="5" s="1"/>
  <c r="E149" i="5"/>
  <c r="E150" i="5"/>
  <c r="E151" i="5"/>
  <c r="E152" i="5"/>
  <c r="E153" i="5"/>
  <c r="E148" i="5"/>
  <c r="AP76" i="5"/>
  <c r="AP134" i="5" s="1"/>
  <c r="AO76" i="5"/>
  <c r="BP86" i="5" s="1"/>
  <c r="BP144" i="5" s="1"/>
  <c r="BO86" i="5"/>
  <c r="BO144" i="5" s="1"/>
  <c r="BR144" i="5" s="1"/>
  <c r="AM76" i="5"/>
  <c r="AL76" i="5"/>
  <c r="BM86" i="5" s="1"/>
  <c r="BM144" i="5" s="1"/>
  <c r="BL86" i="5"/>
  <c r="BL144" i="5" s="1"/>
  <c r="AJ76" i="5"/>
  <c r="AI76" i="5"/>
  <c r="BJ86" i="5" s="1"/>
  <c r="BJ144" i="5" s="1"/>
  <c r="BI86" i="5"/>
  <c r="BI144" i="5" s="1"/>
  <c r="BG86" i="5"/>
  <c r="BG144" i="5" s="1"/>
  <c r="AP77" i="5"/>
  <c r="AP135" i="5" s="1"/>
  <c r="AO77" i="5"/>
  <c r="BO85" i="5"/>
  <c r="BO143" i="5" s="1"/>
  <c r="AM77" i="5"/>
  <c r="BN85" i="5"/>
  <c r="BN143" i="5" s="1"/>
  <c r="AL77" i="5"/>
  <c r="AL135" i="5" s="1"/>
  <c r="BL85" i="5"/>
  <c r="BL143" i="5" s="1"/>
  <c r="AJ77" i="5"/>
  <c r="BK85" i="5" s="1"/>
  <c r="BK143" i="5" s="1"/>
  <c r="AI77" i="5"/>
  <c r="BJ85" i="5"/>
  <c r="BJ143" i="5" s="1"/>
  <c r="BI85" i="5"/>
  <c r="BI143" i="5"/>
  <c r="BG85" i="5"/>
  <c r="AP78" i="5"/>
  <c r="AP136" i="5" s="1"/>
  <c r="AO78" i="5"/>
  <c r="BP84" i="5" s="1"/>
  <c r="BP142" i="5" s="1"/>
  <c r="BO84" i="5"/>
  <c r="AM78" i="5"/>
  <c r="AM136" i="5" s="1"/>
  <c r="AL78" i="5"/>
  <c r="BM84" i="5" s="1"/>
  <c r="BM142" i="5"/>
  <c r="BL84" i="5"/>
  <c r="BL142" i="5" s="1"/>
  <c r="AJ78" i="5"/>
  <c r="AJ136" i="5" s="1"/>
  <c r="BK84" i="5"/>
  <c r="BK142" i="5" s="1"/>
  <c r="AI78" i="5"/>
  <c r="BI84" i="5"/>
  <c r="BI142" i="5" s="1"/>
  <c r="BG84" i="5"/>
  <c r="BG142" i="5" s="1"/>
  <c r="AP79" i="5"/>
  <c r="BQ83" i="5" s="1"/>
  <c r="BQ141" i="5"/>
  <c r="AO79" i="5"/>
  <c r="BP83" i="5" s="1"/>
  <c r="BP141" i="5" s="1"/>
  <c r="BO83" i="5"/>
  <c r="BO141" i="5" s="1"/>
  <c r="BR141" i="5" s="1"/>
  <c r="AM79" i="5"/>
  <c r="BN83" i="5" s="1"/>
  <c r="BN141" i="5"/>
  <c r="AL79" i="5"/>
  <c r="AL137" i="5" s="1"/>
  <c r="BM83" i="5"/>
  <c r="BM141" i="5" s="1"/>
  <c r="BL83" i="5"/>
  <c r="BL141" i="5" s="1"/>
  <c r="AJ79" i="5"/>
  <c r="BK83" i="5" s="1"/>
  <c r="BK141" i="5" s="1"/>
  <c r="AI79" i="5"/>
  <c r="AI137" i="5" s="1"/>
  <c r="BJ83" i="5"/>
  <c r="BJ141" i="5" s="1"/>
  <c r="BI83" i="5"/>
  <c r="BI141" i="5"/>
  <c r="BG83" i="5"/>
  <c r="BG141" i="5" s="1"/>
  <c r="AP80" i="5"/>
  <c r="AP138" i="5" s="1"/>
  <c r="AO80" i="5"/>
  <c r="BP82" i="5" s="1"/>
  <c r="BP140" i="5" s="1"/>
  <c r="BO82" i="5"/>
  <c r="BO140" i="5" s="1"/>
  <c r="BR140" i="5" s="1"/>
  <c r="AM80" i="5"/>
  <c r="AM138" i="5" s="1"/>
  <c r="BN82" i="5"/>
  <c r="BN140" i="5" s="1"/>
  <c r="AL80" i="5"/>
  <c r="AL138" i="5" s="1"/>
  <c r="BL82" i="5"/>
  <c r="BL140" i="5" s="1"/>
  <c r="AJ80" i="5"/>
  <c r="AJ138" i="5" s="1"/>
  <c r="AI80" i="5"/>
  <c r="BJ82" i="5" s="1"/>
  <c r="BJ140" i="5" s="1"/>
  <c r="BI82" i="5"/>
  <c r="BI140" i="5" s="1"/>
  <c r="BG82" i="5"/>
  <c r="AP81" i="5"/>
  <c r="BQ81" i="5" s="1"/>
  <c r="BQ139" i="5" s="1"/>
  <c r="AO81" i="5"/>
  <c r="BP81" i="5" s="1"/>
  <c r="BP139" i="5" s="1"/>
  <c r="BO81" i="5"/>
  <c r="BO139" i="5"/>
  <c r="AM81" i="5"/>
  <c r="BN81" i="5" s="1"/>
  <c r="BN139" i="5" s="1"/>
  <c r="AL81" i="5"/>
  <c r="BM81" i="5" s="1"/>
  <c r="BM139" i="5" s="1"/>
  <c r="BL81" i="5"/>
  <c r="BL139" i="5" s="1"/>
  <c r="AJ81" i="5"/>
  <c r="BK81" i="5" s="1"/>
  <c r="BK139" i="5" s="1"/>
  <c r="AI81" i="5"/>
  <c r="BJ81" i="5"/>
  <c r="BJ139" i="5" s="1"/>
  <c r="BI81" i="5"/>
  <c r="BI139" i="5" s="1"/>
  <c r="BG81" i="5"/>
  <c r="BG139" i="5" s="1"/>
  <c r="AP82" i="5"/>
  <c r="AP140" i="5" s="1"/>
  <c r="AO82" i="5"/>
  <c r="BP80" i="5" s="1"/>
  <c r="BP138" i="5" s="1"/>
  <c r="BO80" i="5"/>
  <c r="BO138" i="5" s="1"/>
  <c r="BR138" i="5" s="1"/>
  <c r="AM82" i="5"/>
  <c r="AL82" i="5"/>
  <c r="AL140" i="5" s="1"/>
  <c r="BM80" i="5"/>
  <c r="BM138" i="5" s="1"/>
  <c r="BL80" i="5"/>
  <c r="BL138" i="5" s="1"/>
  <c r="AJ82" i="5"/>
  <c r="AJ140" i="5" s="1"/>
  <c r="AI82" i="5"/>
  <c r="BJ80" i="5"/>
  <c r="BJ138" i="5" s="1"/>
  <c r="BI80" i="5"/>
  <c r="BI138" i="5" s="1"/>
  <c r="BG80" i="5"/>
  <c r="BG138" i="5" s="1"/>
  <c r="AP83" i="5"/>
  <c r="BQ79" i="5" s="1"/>
  <c r="BQ137" i="5" s="1"/>
  <c r="AO83" i="5"/>
  <c r="BP79" i="5" s="1"/>
  <c r="BP137" i="5" s="1"/>
  <c r="BO79" i="5"/>
  <c r="BR79" i="5" s="1"/>
  <c r="AM83" i="5"/>
  <c r="AM141" i="5" s="1"/>
  <c r="BN79" i="5"/>
  <c r="BN137" i="5" s="1"/>
  <c r="AL83" i="5"/>
  <c r="BM79" i="5" s="1"/>
  <c r="BM137" i="5" s="1"/>
  <c r="BL79" i="5"/>
  <c r="BL137" i="5" s="1"/>
  <c r="AJ83" i="5"/>
  <c r="AJ141" i="5" s="1"/>
  <c r="AI83" i="5"/>
  <c r="BJ79" i="5" s="1"/>
  <c r="BJ137" i="5" s="1"/>
  <c r="BI79" i="5"/>
  <c r="BI137" i="5" s="1"/>
  <c r="BG79" i="5"/>
  <c r="BG137" i="5" s="1"/>
  <c r="BH79" i="5"/>
  <c r="BH137" i="5" s="1"/>
  <c r="AP84" i="5"/>
  <c r="AP142" i="5" s="1"/>
  <c r="BQ78" i="5"/>
  <c r="BQ136" i="5" s="1"/>
  <c r="AO84" i="5"/>
  <c r="BP78" i="5" s="1"/>
  <c r="BP136" i="5" s="1"/>
  <c r="BO78" i="5"/>
  <c r="BO136" i="5" s="1"/>
  <c r="BR136" i="5" s="1"/>
  <c r="AM84" i="5"/>
  <c r="AM142" i="5" s="1"/>
  <c r="AL84" i="5"/>
  <c r="BM78" i="5"/>
  <c r="BM136" i="5"/>
  <c r="BL78" i="5"/>
  <c r="BL136" i="5" s="1"/>
  <c r="AJ84" i="5"/>
  <c r="AI84" i="5"/>
  <c r="BJ78" i="5" s="1"/>
  <c r="BJ136" i="5" s="1"/>
  <c r="BI78" i="5"/>
  <c r="BI136" i="5" s="1"/>
  <c r="BG78" i="5"/>
  <c r="BG136" i="5" s="1"/>
  <c r="AP85" i="5"/>
  <c r="AO85" i="5"/>
  <c r="BP77" i="5" s="1"/>
  <c r="BP135" i="5"/>
  <c r="BO77" i="5"/>
  <c r="BR77" i="5" s="1"/>
  <c r="BO135" i="5"/>
  <c r="AM85" i="5"/>
  <c r="AL85" i="5"/>
  <c r="BM77" i="5" s="1"/>
  <c r="BM135" i="5" s="1"/>
  <c r="BL77" i="5"/>
  <c r="BL135" i="5" s="1"/>
  <c r="AJ85" i="5"/>
  <c r="AI85" i="5"/>
  <c r="BJ77" i="5" s="1"/>
  <c r="BJ135" i="5" s="1"/>
  <c r="BI77" i="5"/>
  <c r="BI135" i="5" s="1"/>
  <c r="BG77" i="5"/>
  <c r="AP86" i="5"/>
  <c r="AO86" i="5"/>
  <c r="BP76" i="5"/>
  <c r="BP134" i="5"/>
  <c r="BO76" i="5"/>
  <c r="BO134" i="5" s="1"/>
  <c r="BR134" i="5" s="1"/>
  <c r="AM86" i="5"/>
  <c r="AL86" i="5"/>
  <c r="BM76" i="5" s="1"/>
  <c r="BM134" i="5" s="1"/>
  <c r="BL76" i="5"/>
  <c r="BL134" i="5" s="1"/>
  <c r="AJ86" i="5"/>
  <c r="AJ144" i="5" s="1"/>
  <c r="AI86" i="5"/>
  <c r="AI144" i="5" s="1"/>
  <c r="BJ76" i="5"/>
  <c r="BJ134" i="5" s="1"/>
  <c r="BI76" i="5"/>
  <c r="BI134" i="5" s="1"/>
  <c r="BG76" i="5"/>
  <c r="BG134" i="5" s="1"/>
  <c r="AO144" i="5"/>
  <c r="AN144" i="5"/>
  <c r="AQ144" i="5" s="1"/>
  <c r="AL144" i="5"/>
  <c r="AK144" i="5"/>
  <c r="AH144" i="5"/>
  <c r="AG86" i="5"/>
  <c r="AG144" i="5" s="1"/>
  <c r="AF144" i="5"/>
  <c r="AO143" i="5"/>
  <c r="AN143" i="5"/>
  <c r="AK143" i="5"/>
  <c r="AH143" i="5"/>
  <c r="AG85" i="5"/>
  <c r="AG143" i="5" s="1"/>
  <c r="AF143" i="5"/>
  <c r="AN142" i="5"/>
  <c r="AQ142" i="5" s="1"/>
  <c r="AL142" i="5"/>
  <c r="AK142" i="5"/>
  <c r="AI142" i="5"/>
  <c r="AH142" i="5"/>
  <c r="AG84" i="5"/>
  <c r="AG142" i="5" s="1"/>
  <c r="AF142" i="5"/>
  <c r="AP141" i="5"/>
  <c r="AO141" i="5"/>
  <c r="AN141" i="5"/>
  <c r="AL141" i="5"/>
  <c r="AK141" i="5"/>
  <c r="AI141" i="5"/>
  <c r="AH141" i="5"/>
  <c r="AG83" i="5"/>
  <c r="AG141" i="5" s="1"/>
  <c r="AF141" i="5"/>
  <c r="AO140" i="5"/>
  <c r="AN140" i="5"/>
  <c r="AQ140" i="5" s="1"/>
  <c r="AK140" i="5"/>
  <c r="AI140" i="5"/>
  <c r="AH140" i="5"/>
  <c r="AG82" i="5"/>
  <c r="AG140" i="5"/>
  <c r="AF140" i="5"/>
  <c r="AP139" i="5"/>
  <c r="AO139" i="5"/>
  <c r="AN139" i="5"/>
  <c r="AL139" i="5"/>
  <c r="AK139" i="5"/>
  <c r="AJ139" i="5"/>
  <c r="AI139" i="5"/>
  <c r="AH139" i="5"/>
  <c r="AG81" i="5"/>
  <c r="AG139" i="5" s="1"/>
  <c r="AF139" i="5"/>
  <c r="AN138" i="5"/>
  <c r="AQ138" i="5" s="1"/>
  <c r="AK138" i="5"/>
  <c r="AI138" i="5"/>
  <c r="AH138" i="5"/>
  <c r="AG80" i="5"/>
  <c r="AG138" i="5" s="1"/>
  <c r="AF138" i="5"/>
  <c r="AP137" i="5"/>
  <c r="AN137" i="5"/>
  <c r="AQ137" i="5" s="1"/>
  <c r="AM137" i="5"/>
  <c r="AK137" i="5"/>
  <c r="AJ137" i="5"/>
  <c r="AH137" i="5"/>
  <c r="AG79" i="5"/>
  <c r="AG137" i="5" s="1"/>
  <c r="AF137" i="5"/>
  <c r="AO136" i="5"/>
  <c r="AN136" i="5"/>
  <c r="AL136" i="5"/>
  <c r="AK136" i="5"/>
  <c r="AH136" i="5"/>
  <c r="AG78" i="5"/>
  <c r="AG136" i="5" s="1"/>
  <c r="AF136" i="5"/>
  <c r="AN135" i="5"/>
  <c r="AM135" i="5"/>
  <c r="AK135" i="5"/>
  <c r="AJ135" i="5"/>
  <c r="AI135" i="5"/>
  <c r="AH135" i="5"/>
  <c r="AG77" i="5"/>
  <c r="AG135" i="5" s="1"/>
  <c r="AF135" i="5"/>
  <c r="AO134" i="5"/>
  <c r="AN134" i="5"/>
  <c r="AN200" i="5" s="1"/>
  <c r="AL134" i="5"/>
  <c r="AK134" i="5"/>
  <c r="AI134" i="5"/>
  <c r="AH134" i="5"/>
  <c r="AG76" i="5"/>
  <c r="AG134" i="5" s="1"/>
  <c r="AF134" i="5"/>
  <c r="G134" i="5"/>
  <c r="J134" i="5"/>
  <c r="L76" i="5"/>
  <c r="M134" i="5"/>
  <c r="P134" i="5" s="1"/>
  <c r="P144" i="5" s="1"/>
  <c r="O76" i="5"/>
  <c r="G135" i="5"/>
  <c r="J135" i="5"/>
  <c r="L77" i="5"/>
  <c r="L85" i="5" s="1"/>
  <c r="L143" i="5" s="1"/>
  <c r="M135" i="5"/>
  <c r="P135" i="5" s="1"/>
  <c r="P143" i="5" s="1"/>
  <c r="O77" i="5"/>
  <c r="O135" i="5" s="1"/>
  <c r="G136" i="5"/>
  <c r="J136" i="5"/>
  <c r="L78" i="5"/>
  <c r="L136" i="5" s="1"/>
  <c r="M136" i="5"/>
  <c r="P136" i="5" s="1"/>
  <c r="P142" i="5" s="1"/>
  <c r="O78" i="5"/>
  <c r="O84" i="5" s="1"/>
  <c r="O142" i="5" s="1"/>
  <c r="O136" i="5"/>
  <c r="G137" i="5"/>
  <c r="J137" i="5"/>
  <c r="L79" i="5"/>
  <c r="L137" i="5"/>
  <c r="M137" i="5"/>
  <c r="P137" i="5" s="1"/>
  <c r="P141" i="5" s="1"/>
  <c r="O79" i="5"/>
  <c r="O137" i="5" s="1"/>
  <c r="G138" i="5"/>
  <c r="J138" i="5"/>
  <c r="L80" i="5"/>
  <c r="M138" i="5"/>
  <c r="P138" i="5" s="1"/>
  <c r="O80" i="5"/>
  <c r="O82" i="5" s="1"/>
  <c r="O140" i="5" s="1"/>
  <c r="O138" i="5"/>
  <c r="G139" i="5"/>
  <c r="J139" i="5"/>
  <c r="L81" i="5"/>
  <c r="L139" i="5" s="1"/>
  <c r="M139" i="5"/>
  <c r="P139" i="5" s="1"/>
  <c r="O81" i="5"/>
  <c r="O139" i="5" s="1"/>
  <c r="L83" i="5"/>
  <c r="L141" i="5" s="1"/>
  <c r="O83" i="5"/>
  <c r="O141" i="5" s="1"/>
  <c r="O85" i="5"/>
  <c r="O143" i="5" s="1"/>
  <c r="E135" i="5"/>
  <c r="E136" i="5"/>
  <c r="E137" i="5"/>
  <c r="E138" i="5"/>
  <c r="E139" i="5"/>
  <c r="E134" i="5"/>
  <c r="K26" i="1"/>
  <c r="O26" i="1" s="1"/>
  <c r="P26" i="1" s="1"/>
  <c r="Q26" i="1" s="1"/>
  <c r="AQ35" i="5"/>
  <c r="BR35" i="5"/>
  <c r="AQ36" i="5"/>
  <c r="BR36" i="5"/>
  <c r="AQ37" i="5"/>
  <c r="AQ38" i="5"/>
  <c r="AQ39" i="5"/>
  <c r="BR39" i="5"/>
  <c r="AQ40" i="5"/>
  <c r="AQ41" i="5"/>
  <c r="AQ42" i="5"/>
  <c r="AQ43" i="5"/>
  <c r="BR43" i="5"/>
  <c r="AQ47" i="5"/>
  <c r="BR47" i="5"/>
  <c r="AQ48" i="5"/>
  <c r="AQ49" i="5"/>
  <c r="AQ50" i="5"/>
  <c r="AQ51" i="5"/>
  <c r="BR51" i="5"/>
  <c r="AQ52" i="5"/>
  <c r="AQ53" i="5"/>
  <c r="AQ54" i="5"/>
  <c r="BR54" i="5"/>
  <c r="AQ55" i="5"/>
  <c r="BR55" i="5"/>
  <c r="AQ61" i="5"/>
  <c r="AQ62" i="5"/>
  <c r="AQ63" i="5"/>
  <c r="AQ64" i="5"/>
  <c r="BR64" i="5"/>
  <c r="AQ65" i="5"/>
  <c r="BR65" i="5"/>
  <c r="AQ66" i="5"/>
  <c r="AQ67" i="5"/>
  <c r="BR67" i="5"/>
  <c r="AQ68" i="5"/>
  <c r="BR68" i="5"/>
  <c r="AQ69" i="5"/>
  <c r="AQ70" i="5"/>
  <c r="AQ71" i="5"/>
  <c r="BR71" i="5"/>
  <c r="AQ76" i="5"/>
  <c r="AQ77" i="5"/>
  <c r="AQ78" i="5"/>
  <c r="BR78" i="5"/>
  <c r="AQ79" i="5"/>
  <c r="AQ80" i="5"/>
  <c r="AQ81" i="5"/>
  <c r="BR81" i="5"/>
  <c r="AQ82" i="5"/>
  <c r="AQ83" i="5"/>
  <c r="BR83" i="5"/>
  <c r="AQ84" i="5"/>
  <c r="AQ85" i="5"/>
  <c r="BR85" i="5"/>
  <c r="AQ86" i="5"/>
  <c r="AQ89" i="5"/>
  <c r="BO89" i="5"/>
  <c r="BR89" i="5" s="1"/>
  <c r="AQ90" i="5"/>
  <c r="BO90" i="5"/>
  <c r="BR90" i="5" s="1"/>
  <c r="AQ91" i="5"/>
  <c r="BO91" i="5"/>
  <c r="BR91" i="5" s="1"/>
  <c r="AQ92" i="5"/>
  <c r="BO92" i="5"/>
  <c r="BR92" i="5" s="1"/>
  <c r="AQ93" i="5"/>
  <c r="BO93" i="5"/>
  <c r="BR93" i="5"/>
  <c r="AQ94" i="5"/>
  <c r="BO94" i="5"/>
  <c r="BR94" i="5" s="1"/>
  <c r="AQ95" i="5"/>
  <c r="BO95" i="5"/>
  <c r="BR95" i="5" s="1"/>
  <c r="AQ96" i="5"/>
  <c r="BO96" i="5"/>
  <c r="BR96" i="5" s="1"/>
  <c r="AQ97" i="5"/>
  <c r="BO97" i="5"/>
  <c r="BR97" i="5"/>
  <c r="AQ98" i="5"/>
  <c r="BO98" i="5"/>
  <c r="BR98" i="5" s="1"/>
  <c r="AQ99" i="5"/>
  <c r="BO99" i="5"/>
  <c r="BR99" i="5" s="1"/>
  <c r="AQ100" i="5"/>
  <c r="BO100" i="5"/>
  <c r="BR100" i="5" s="1"/>
  <c r="AQ101" i="5"/>
  <c r="BO101" i="5"/>
  <c r="BR101" i="5" s="1"/>
  <c r="AQ104" i="5"/>
  <c r="BO104" i="5"/>
  <c r="BR104" i="5" s="1"/>
  <c r="AQ105" i="5"/>
  <c r="BO105" i="5"/>
  <c r="BR105" i="5" s="1"/>
  <c r="AQ106" i="5"/>
  <c r="BO106" i="5"/>
  <c r="BR106" i="5" s="1"/>
  <c r="AQ107" i="5"/>
  <c r="BO107" i="5"/>
  <c r="BR107" i="5" s="1"/>
  <c r="AQ108" i="5"/>
  <c r="BO108" i="5"/>
  <c r="BR108" i="5" s="1"/>
  <c r="AQ109" i="5"/>
  <c r="BO109" i="5"/>
  <c r="BR109" i="5" s="1"/>
  <c r="AQ110" i="5"/>
  <c r="BO110" i="5"/>
  <c r="BR110" i="5" s="1"/>
  <c r="AQ111" i="5"/>
  <c r="BO111" i="5"/>
  <c r="BR111" i="5"/>
  <c r="AQ112" i="5"/>
  <c r="BO112" i="5"/>
  <c r="BR112" i="5" s="1"/>
  <c r="AQ113" i="5"/>
  <c r="BO113" i="5"/>
  <c r="BR113" i="5" s="1"/>
  <c r="AQ114" i="5"/>
  <c r="BO114" i="5"/>
  <c r="BR114" i="5" s="1"/>
  <c r="AQ115" i="5"/>
  <c r="BO115" i="5"/>
  <c r="BR115" i="5" s="1"/>
  <c r="AQ116" i="5"/>
  <c r="BO116" i="5"/>
  <c r="BR116" i="5" s="1"/>
  <c r="AQ119" i="5"/>
  <c r="BO119" i="5"/>
  <c r="BR119" i="5" s="1"/>
  <c r="AQ120" i="5"/>
  <c r="BO120" i="5"/>
  <c r="BR120" i="5" s="1"/>
  <c r="AQ121" i="5"/>
  <c r="BO121" i="5"/>
  <c r="BR121" i="5" s="1"/>
  <c r="AQ122" i="5"/>
  <c r="BO122" i="5"/>
  <c r="BR122" i="5" s="1"/>
  <c r="AQ123" i="5"/>
  <c r="BO123" i="5"/>
  <c r="BR123" i="5" s="1"/>
  <c r="AQ124" i="5"/>
  <c r="BO124" i="5"/>
  <c r="BR124" i="5"/>
  <c r="AQ125" i="5"/>
  <c r="BO125" i="5"/>
  <c r="BR125" i="5" s="1"/>
  <c r="AQ126" i="5"/>
  <c r="BO126" i="5"/>
  <c r="BR126" i="5" s="1"/>
  <c r="AQ127" i="5"/>
  <c r="BO127" i="5"/>
  <c r="BR127" i="5" s="1"/>
  <c r="AQ128" i="5"/>
  <c r="BO128" i="5"/>
  <c r="BR128" i="5" s="1"/>
  <c r="AQ129" i="5"/>
  <c r="BO129" i="5"/>
  <c r="BR129" i="5" s="1"/>
  <c r="AQ130" i="5"/>
  <c r="BO130" i="5"/>
  <c r="BR130" i="5" s="1"/>
  <c r="AQ131" i="5"/>
  <c r="BO131" i="5"/>
  <c r="BR131" i="5" s="1"/>
  <c r="AQ135" i="5"/>
  <c r="BR135" i="5"/>
  <c r="AQ136" i="5"/>
  <c r="AQ139" i="5"/>
  <c r="BR139" i="5"/>
  <c r="P140" i="5"/>
  <c r="AQ141" i="5"/>
  <c r="AQ143" i="5"/>
  <c r="BR143" i="5"/>
  <c r="AQ148" i="5"/>
  <c r="AQ149" i="5"/>
  <c r="BR151" i="5"/>
  <c r="AQ152" i="5"/>
  <c r="AQ153" i="5"/>
  <c r="AQ154" i="5"/>
  <c r="AQ155" i="5"/>
  <c r="AQ157" i="5"/>
  <c r="AQ158" i="5"/>
  <c r="BR158" i="5"/>
  <c r="P162" i="5"/>
  <c r="P170" i="5" s="1"/>
  <c r="P163" i="5"/>
  <c r="AQ163" i="5"/>
  <c r="P164" i="5"/>
  <c r="P168" i="5" s="1"/>
  <c r="P167" i="5"/>
  <c r="AQ167" i="5"/>
  <c r="AQ168" i="5"/>
  <c r="P169" i="5"/>
  <c r="AQ169" i="5"/>
  <c r="AQ175" i="5"/>
  <c r="AQ176" i="5"/>
  <c r="BR176" i="5"/>
  <c r="P177" i="5"/>
  <c r="P181" i="5" s="1"/>
  <c r="AQ177" i="5"/>
  <c r="P178" i="5"/>
  <c r="P180" i="5" s="1"/>
  <c r="AQ178" i="5"/>
  <c r="P179" i="5"/>
  <c r="AQ179" i="5"/>
  <c r="BR179" i="5"/>
  <c r="AQ180" i="5"/>
  <c r="AQ181" i="5"/>
  <c r="BR182" i="5"/>
  <c r="AQ183" i="5"/>
  <c r="P188" i="5"/>
  <c r="AQ188" i="5"/>
  <c r="BO188" i="5"/>
  <c r="BR188" i="5" s="1"/>
  <c r="AQ189" i="5"/>
  <c r="BO189" i="5"/>
  <c r="BR189" i="5"/>
  <c r="AQ190" i="5"/>
  <c r="BO190" i="5"/>
  <c r="BR190" i="5" s="1"/>
  <c r="AQ191" i="5"/>
  <c r="BO191" i="5"/>
  <c r="BR191" i="5" s="1"/>
  <c r="AQ192" i="5"/>
  <c r="BO192" i="5"/>
  <c r="BR192" i="5" s="1"/>
  <c r="AQ193" i="5"/>
  <c r="BO193" i="5"/>
  <c r="BR193" i="5" s="1"/>
  <c r="AQ194" i="5"/>
  <c r="BO194" i="5"/>
  <c r="BR194" i="5" s="1"/>
  <c r="AQ195" i="5"/>
  <c r="BO195" i="5"/>
  <c r="BR195" i="5" s="1"/>
  <c r="M196" i="5"/>
  <c r="P196" i="5"/>
  <c r="AQ196" i="5"/>
  <c r="BO196" i="5"/>
  <c r="BR196" i="5" s="1"/>
  <c r="I15" i="2"/>
  <c r="C22" i="5"/>
  <c r="C26" i="2" s="1"/>
  <c r="C30" i="2" s="1"/>
  <c r="AP101" i="5"/>
  <c r="BQ89" i="5" s="1"/>
  <c r="AP100" i="5"/>
  <c r="BQ90" i="5" s="1"/>
  <c r="AP99" i="5"/>
  <c r="BQ91" i="5" s="1"/>
  <c r="AP98" i="5"/>
  <c r="BQ92" i="5"/>
  <c r="AP97" i="5"/>
  <c r="BQ93" i="5" s="1"/>
  <c r="AP96" i="5"/>
  <c r="BQ94" i="5" s="1"/>
  <c r="AP95" i="5"/>
  <c r="BQ95" i="5" s="1"/>
  <c r="AP94" i="5"/>
  <c r="BQ96" i="5"/>
  <c r="AP93" i="5"/>
  <c r="BQ97" i="5" s="1"/>
  <c r="AP92" i="5"/>
  <c r="BQ98" i="5" s="1"/>
  <c r="AP91" i="5"/>
  <c r="BQ99" i="5"/>
  <c r="AP90" i="5"/>
  <c r="BQ100" i="5" s="1"/>
  <c r="AP89" i="5"/>
  <c r="BQ101" i="5"/>
  <c r="AP116" i="5"/>
  <c r="BQ104" i="5" s="1"/>
  <c r="AP115" i="5"/>
  <c r="BQ105" i="5" s="1"/>
  <c r="AP114" i="5"/>
  <c r="BQ106" i="5" s="1"/>
  <c r="AP113" i="5"/>
  <c r="BQ107" i="5"/>
  <c r="AP112" i="5"/>
  <c r="BQ108" i="5" s="1"/>
  <c r="AP111" i="5"/>
  <c r="BQ109" i="5" s="1"/>
  <c r="AP110" i="5"/>
  <c r="BQ110" i="5"/>
  <c r="AP109" i="5"/>
  <c r="BQ111" i="5" s="1"/>
  <c r="AP108" i="5"/>
  <c r="BQ112" i="5" s="1"/>
  <c r="AP107" i="5"/>
  <c r="BQ113" i="5" s="1"/>
  <c r="AP106" i="5"/>
  <c r="BQ114" i="5" s="1"/>
  <c r="AP105" i="5"/>
  <c r="BQ115" i="5"/>
  <c r="AP104" i="5"/>
  <c r="BQ116" i="5" s="1"/>
  <c r="AP131" i="5"/>
  <c r="BQ119" i="5" s="1"/>
  <c r="AP130" i="5"/>
  <c r="BQ120" i="5" s="1"/>
  <c r="AP129" i="5"/>
  <c r="BQ121" i="5"/>
  <c r="AP128" i="5"/>
  <c r="BQ122" i="5" s="1"/>
  <c r="AP127" i="5"/>
  <c r="BQ123" i="5" s="1"/>
  <c r="AP126" i="5"/>
  <c r="BQ124" i="5"/>
  <c r="AP125" i="5"/>
  <c r="BQ125" i="5"/>
  <c r="AP124" i="5"/>
  <c r="BQ126" i="5" s="1"/>
  <c r="AP123" i="5"/>
  <c r="BQ127" i="5" s="1"/>
  <c r="AP122" i="5"/>
  <c r="BQ128" i="5" s="1"/>
  <c r="AP121" i="5"/>
  <c r="BQ129" i="5"/>
  <c r="AP120" i="5"/>
  <c r="BQ130" i="5" s="1"/>
  <c r="AP119" i="5"/>
  <c r="BQ131" i="5" s="1"/>
  <c r="AP196" i="5"/>
  <c r="BQ188" i="5"/>
  <c r="AP195" i="5"/>
  <c r="BQ189" i="5" s="1"/>
  <c r="AP194" i="5"/>
  <c r="BQ190" i="5" s="1"/>
  <c r="AP193" i="5"/>
  <c r="BQ191" i="5" s="1"/>
  <c r="AP192" i="5"/>
  <c r="BQ192" i="5" s="1"/>
  <c r="AP191" i="5"/>
  <c r="BQ193" i="5"/>
  <c r="AP190" i="5"/>
  <c r="BQ194" i="5" s="1"/>
  <c r="AP189" i="5"/>
  <c r="BQ195" i="5" s="1"/>
  <c r="AP188" i="5"/>
  <c r="BQ196" i="5" s="1"/>
  <c r="AO101" i="5"/>
  <c r="BP89" i="5" s="1"/>
  <c r="AO100" i="5"/>
  <c r="BP90" i="5" s="1"/>
  <c r="AO99" i="5"/>
  <c r="BP91" i="5" s="1"/>
  <c r="AO98" i="5"/>
  <c r="BP92" i="5" s="1"/>
  <c r="AO97" i="5"/>
  <c r="BP93" i="5" s="1"/>
  <c r="AO96" i="5"/>
  <c r="BP94" i="5" s="1"/>
  <c r="AO95" i="5"/>
  <c r="BP95" i="5" s="1"/>
  <c r="AO94" i="5"/>
  <c r="BP96" i="5" s="1"/>
  <c r="AO93" i="5"/>
  <c r="BP97" i="5"/>
  <c r="AO92" i="5"/>
  <c r="BP98" i="5"/>
  <c r="AO91" i="5"/>
  <c r="BP99" i="5" s="1"/>
  <c r="AO90" i="5"/>
  <c r="BP100" i="5" s="1"/>
  <c r="AO89" i="5"/>
  <c r="BP101" i="5" s="1"/>
  <c r="AO116" i="5"/>
  <c r="BP104" i="5" s="1"/>
  <c r="AO115" i="5"/>
  <c r="BP105" i="5" s="1"/>
  <c r="AO114" i="5"/>
  <c r="BP106" i="5" s="1"/>
  <c r="AO113" i="5"/>
  <c r="BP107" i="5" s="1"/>
  <c r="AO112" i="5"/>
  <c r="BP108" i="5"/>
  <c r="AO111" i="5"/>
  <c r="BP109" i="5" s="1"/>
  <c r="AO110" i="5"/>
  <c r="BP110" i="5" s="1"/>
  <c r="AO109" i="5"/>
  <c r="BP111" i="5"/>
  <c r="AO108" i="5"/>
  <c r="BP112" i="5" s="1"/>
  <c r="AO107" i="5"/>
  <c r="BP113" i="5" s="1"/>
  <c r="AO106" i="5"/>
  <c r="BP114" i="5" s="1"/>
  <c r="AO105" i="5"/>
  <c r="BP115" i="5"/>
  <c r="AO104" i="5"/>
  <c r="BP116" i="5" s="1"/>
  <c r="AO131" i="5"/>
  <c r="BP119" i="5" s="1"/>
  <c r="AO130" i="5"/>
  <c r="BP120" i="5" s="1"/>
  <c r="AO129" i="5"/>
  <c r="BP121" i="5"/>
  <c r="AO128" i="5"/>
  <c r="BP122" i="5"/>
  <c r="AO127" i="5"/>
  <c r="BP123" i="5"/>
  <c r="AO126" i="5"/>
  <c r="BP124" i="5" s="1"/>
  <c r="AO125" i="5"/>
  <c r="BP125" i="5"/>
  <c r="AO124" i="5"/>
  <c r="BP126" i="5" s="1"/>
  <c r="AO123" i="5"/>
  <c r="BP127" i="5" s="1"/>
  <c r="AO122" i="5"/>
  <c r="BP128" i="5" s="1"/>
  <c r="AO121" i="5"/>
  <c r="BP129" i="5" s="1"/>
  <c r="AO120" i="5"/>
  <c r="BP130" i="5" s="1"/>
  <c r="AO119" i="5"/>
  <c r="BP131" i="5"/>
  <c r="AO196" i="5"/>
  <c r="BP188" i="5" s="1"/>
  <c r="AO195" i="5"/>
  <c r="BP189" i="5" s="1"/>
  <c r="AO194" i="5"/>
  <c r="BP190" i="5" s="1"/>
  <c r="AO193" i="5"/>
  <c r="BP191" i="5" s="1"/>
  <c r="AO192" i="5"/>
  <c r="BP192" i="5" s="1"/>
  <c r="AO191" i="5"/>
  <c r="BP193" i="5"/>
  <c r="AO190" i="5"/>
  <c r="BP194" i="5" s="1"/>
  <c r="AO189" i="5"/>
  <c r="BP195" i="5" s="1"/>
  <c r="AO188" i="5"/>
  <c r="BP196" i="5" s="1"/>
  <c r="AM101" i="5"/>
  <c r="BN89" i="5" s="1"/>
  <c r="AM100" i="5"/>
  <c r="BN90" i="5" s="1"/>
  <c r="AM99" i="5"/>
  <c r="BN91" i="5" s="1"/>
  <c r="AM98" i="5"/>
  <c r="BN92" i="5" s="1"/>
  <c r="AM97" i="5"/>
  <c r="BN93" i="5" s="1"/>
  <c r="AM96" i="5"/>
  <c r="BN94" i="5" s="1"/>
  <c r="AM95" i="5"/>
  <c r="BN95" i="5" s="1"/>
  <c r="AM94" i="5"/>
  <c r="BN96" i="5" s="1"/>
  <c r="AM93" i="5"/>
  <c r="BN97" i="5" s="1"/>
  <c r="AM92" i="5"/>
  <c r="BN98" i="5" s="1"/>
  <c r="AM91" i="5"/>
  <c r="BN99" i="5" s="1"/>
  <c r="AM90" i="5"/>
  <c r="BN100" i="5"/>
  <c r="AM89" i="5"/>
  <c r="BN101" i="5" s="1"/>
  <c r="AM116" i="5"/>
  <c r="BN104" i="5" s="1"/>
  <c r="AM115" i="5"/>
  <c r="BN105" i="5" s="1"/>
  <c r="AM114" i="5"/>
  <c r="BN106" i="5"/>
  <c r="AM113" i="5"/>
  <c r="BN107" i="5"/>
  <c r="AM112" i="5"/>
  <c r="BN108" i="5" s="1"/>
  <c r="AM111" i="5"/>
  <c r="BN109" i="5" s="1"/>
  <c r="AM110" i="5"/>
  <c r="BN110" i="5" s="1"/>
  <c r="AM109" i="5"/>
  <c r="BN111" i="5" s="1"/>
  <c r="AM108" i="5"/>
  <c r="BN112" i="5" s="1"/>
  <c r="AM107" i="5"/>
  <c r="BN113" i="5" s="1"/>
  <c r="AM106" i="5"/>
  <c r="BN114" i="5" s="1"/>
  <c r="AM105" i="5"/>
  <c r="BN115" i="5"/>
  <c r="AM104" i="5"/>
  <c r="BN116" i="5" s="1"/>
  <c r="AM131" i="5"/>
  <c r="BN119" i="5" s="1"/>
  <c r="AM130" i="5"/>
  <c r="BN120" i="5" s="1"/>
  <c r="AM129" i="5"/>
  <c r="BN121" i="5" s="1"/>
  <c r="AM128" i="5"/>
  <c r="BN122" i="5" s="1"/>
  <c r="AM127" i="5"/>
  <c r="BN123" i="5" s="1"/>
  <c r="AM126" i="5"/>
  <c r="BN124" i="5"/>
  <c r="AM125" i="5"/>
  <c r="BN125" i="5"/>
  <c r="AM124" i="5"/>
  <c r="BN126" i="5" s="1"/>
  <c r="AM123" i="5"/>
  <c r="BN127" i="5" s="1"/>
  <c r="AM122" i="5"/>
  <c r="BN128" i="5"/>
  <c r="AM121" i="5"/>
  <c r="BN129" i="5"/>
  <c r="AM120" i="5"/>
  <c r="BN130" i="5" s="1"/>
  <c r="AM119" i="5"/>
  <c r="BN131" i="5" s="1"/>
  <c r="AM196" i="5"/>
  <c r="BN188" i="5" s="1"/>
  <c r="AM195" i="5"/>
  <c r="BN189" i="5" s="1"/>
  <c r="AM194" i="5"/>
  <c r="BN190" i="5" s="1"/>
  <c r="AM193" i="5"/>
  <c r="BN191" i="5" s="1"/>
  <c r="AM192" i="5"/>
  <c r="BN192" i="5"/>
  <c r="AM191" i="5"/>
  <c r="BN193" i="5" s="1"/>
  <c r="AM190" i="5"/>
  <c r="BN194" i="5" s="1"/>
  <c r="AM189" i="5"/>
  <c r="BN195" i="5" s="1"/>
  <c r="AM188" i="5"/>
  <c r="BN196" i="5"/>
  <c r="AL101" i="5"/>
  <c r="BM89" i="5" s="1"/>
  <c r="AL100" i="5"/>
  <c r="BM90" i="5" s="1"/>
  <c r="AL99" i="5"/>
  <c r="BM91" i="5" s="1"/>
  <c r="AL98" i="5"/>
  <c r="BM92" i="5" s="1"/>
  <c r="AL97" i="5"/>
  <c r="BM93" i="5" s="1"/>
  <c r="AL96" i="5"/>
  <c r="BM94" i="5" s="1"/>
  <c r="AL95" i="5"/>
  <c r="BM95" i="5" s="1"/>
  <c r="AL94" i="5"/>
  <c r="BM96" i="5" s="1"/>
  <c r="AL93" i="5"/>
  <c r="BM97" i="5" s="1"/>
  <c r="AL92" i="5"/>
  <c r="BM98" i="5" s="1"/>
  <c r="AL91" i="5"/>
  <c r="BM99" i="5" s="1"/>
  <c r="AL90" i="5"/>
  <c r="BM100" i="5" s="1"/>
  <c r="AL89" i="5"/>
  <c r="BM101" i="5" s="1"/>
  <c r="AL116" i="5"/>
  <c r="BM104" i="5" s="1"/>
  <c r="AL115" i="5"/>
  <c r="BM105" i="5" s="1"/>
  <c r="AL114" i="5"/>
  <c r="BM106" i="5" s="1"/>
  <c r="AL113" i="5"/>
  <c r="BM107" i="5" s="1"/>
  <c r="AL112" i="5"/>
  <c r="BM108" i="5" s="1"/>
  <c r="AL111" i="5"/>
  <c r="BM109" i="5" s="1"/>
  <c r="AL110" i="5"/>
  <c r="BM110" i="5" s="1"/>
  <c r="AL109" i="5"/>
  <c r="BM111" i="5"/>
  <c r="AL108" i="5"/>
  <c r="BM112" i="5" s="1"/>
  <c r="AL107" i="5"/>
  <c r="BM113" i="5" s="1"/>
  <c r="AL106" i="5"/>
  <c r="BM114" i="5" s="1"/>
  <c r="AL105" i="5"/>
  <c r="BM115" i="5" s="1"/>
  <c r="AL104" i="5"/>
  <c r="BM116" i="5" s="1"/>
  <c r="AL131" i="5"/>
  <c r="BM119" i="5" s="1"/>
  <c r="AL130" i="5"/>
  <c r="BM120" i="5" s="1"/>
  <c r="AL129" i="5"/>
  <c r="BM121" i="5" s="1"/>
  <c r="AL128" i="5"/>
  <c r="BM122" i="5" s="1"/>
  <c r="AL127" i="5"/>
  <c r="BM123" i="5" s="1"/>
  <c r="AL126" i="5"/>
  <c r="BM124" i="5" s="1"/>
  <c r="AL125" i="5"/>
  <c r="BM125" i="5" s="1"/>
  <c r="AL124" i="5"/>
  <c r="BM126" i="5" s="1"/>
  <c r="AL123" i="5"/>
  <c r="BM127" i="5" s="1"/>
  <c r="AL122" i="5"/>
  <c r="BM128" i="5" s="1"/>
  <c r="AL121" i="5"/>
  <c r="BM129" i="5" s="1"/>
  <c r="AL120" i="5"/>
  <c r="BM130" i="5" s="1"/>
  <c r="AL119" i="5"/>
  <c r="BM131" i="5" s="1"/>
  <c r="AL196" i="5"/>
  <c r="BM188" i="5" s="1"/>
  <c r="AL195" i="5"/>
  <c r="BM189" i="5" s="1"/>
  <c r="AL194" i="5"/>
  <c r="BM190" i="5"/>
  <c r="AL193" i="5"/>
  <c r="BM191" i="5" s="1"/>
  <c r="AL192" i="5"/>
  <c r="BM192" i="5" s="1"/>
  <c r="AL191" i="5"/>
  <c r="BM193" i="5" s="1"/>
  <c r="AL190" i="5"/>
  <c r="BM194" i="5" s="1"/>
  <c r="AL189" i="5"/>
  <c r="BM195" i="5" s="1"/>
  <c r="AL188" i="5"/>
  <c r="BM196" i="5" s="1"/>
  <c r="BL89" i="5"/>
  <c r="BL90" i="5"/>
  <c r="BL91" i="5"/>
  <c r="BL92" i="5"/>
  <c r="BL93" i="5"/>
  <c r="BL94" i="5"/>
  <c r="BL95" i="5"/>
  <c r="BL96" i="5"/>
  <c r="BL97" i="5"/>
  <c r="BL98" i="5"/>
  <c r="BL99" i="5"/>
  <c r="BL100" i="5"/>
  <c r="BL101" i="5"/>
  <c r="BL104" i="5"/>
  <c r="BL105" i="5"/>
  <c r="BL106" i="5"/>
  <c r="BL107" i="5"/>
  <c r="BL108" i="5"/>
  <c r="BL109" i="5"/>
  <c r="BL110" i="5"/>
  <c r="BL111" i="5"/>
  <c r="BL112" i="5"/>
  <c r="BL113" i="5"/>
  <c r="BL114" i="5"/>
  <c r="BL115" i="5"/>
  <c r="BL116" i="5"/>
  <c r="BL119" i="5"/>
  <c r="BL120" i="5"/>
  <c r="BL121" i="5"/>
  <c r="BL122" i="5"/>
  <c r="BL123" i="5"/>
  <c r="BL124" i="5"/>
  <c r="BL125" i="5"/>
  <c r="BL126" i="5"/>
  <c r="BL127" i="5"/>
  <c r="BL128" i="5"/>
  <c r="BL129" i="5"/>
  <c r="BL130" i="5"/>
  <c r="BL131" i="5"/>
  <c r="BL188" i="5"/>
  <c r="BL189" i="5"/>
  <c r="BL190" i="5"/>
  <c r="BL191" i="5"/>
  <c r="BL192" i="5"/>
  <c r="BL193" i="5"/>
  <c r="BL194" i="5"/>
  <c r="BL195" i="5"/>
  <c r="BL196" i="5"/>
  <c r="AJ101" i="5"/>
  <c r="BK89" i="5" s="1"/>
  <c r="AJ100" i="5"/>
  <c r="BK90" i="5" s="1"/>
  <c r="AJ99" i="5"/>
  <c r="BK91" i="5" s="1"/>
  <c r="AJ98" i="5"/>
  <c r="BK92" i="5" s="1"/>
  <c r="AJ97" i="5"/>
  <c r="BK93" i="5" s="1"/>
  <c r="AJ96" i="5"/>
  <c r="BK94" i="5" s="1"/>
  <c r="AJ95" i="5"/>
  <c r="BK95" i="5" s="1"/>
  <c r="AJ94" i="5"/>
  <c r="BK96" i="5" s="1"/>
  <c r="AJ93" i="5"/>
  <c r="BK97" i="5" s="1"/>
  <c r="AJ92" i="5"/>
  <c r="BK98" i="5" s="1"/>
  <c r="AJ91" i="5"/>
  <c r="BK99" i="5" s="1"/>
  <c r="AJ90" i="5"/>
  <c r="BK100" i="5" s="1"/>
  <c r="AJ89" i="5"/>
  <c r="BK101" i="5" s="1"/>
  <c r="AE8" i="5"/>
  <c r="AJ112" i="5" s="1"/>
  <c r="BK108" i="5" s="1"/>
  <c r="AJ115" i="5"/>
  <c r="BK105" i="5" s="1"/>
  <c r="AJ111" i="5"/>
  <c r="BK109" i="5" s="1"/>
  <c r="AJ131" i="5"/>
  <c r="BK119" i="5" s="1"/>
  <c r="AJ130" i="5"/>
  <c r="BK120" i="5" s="1"/>
  <c r="AJ129" i="5"/>
  <c r="BK121" i="5" s="1"/>
  <c r="AJ128" i="5"/>
  <c r="BK122" i="5" s="1"/>
  <c r="AJ127" i="5"/>
  <c r="BK123" i="5" s="1"/>
  <c r="AJ126" i="5"/>
  <c r="BK124" i="5" s="1"/>
  <c r="AJ125" i="5"/>
  <c r="BK125" i="5" s="1"/>
  <c r="AJ124" i="5"/>
  <c r="BK126" i="5" s="1"/>
  <c r="AJ123" i="5"/>
  <c r="BK127" i="5" s="1"/>
  <c r="AJ122" i="5"/>
  <c r="BK128" i="5" s="1"/>
  <c r="AJ121" i="5"/>
  <c r="BK129" i="5" s="1"/>
  <c r="AJ120" i="5"/>
  <c r="BK130" i="5" s="1"/>
  <c r="AJ119" i="5"/>
  <c r="BK131" i="5" s="1"/>
  <c r="AJ196" i="5"/>
  <c r="BK188" i="5" s="1"/>
  <c r="AJ195" i="5"/>
  <c r="BK189" i="5"/>
  <c r="AJ194" i="5"/>
  <c r="BK190" i="5" s="1"/>
  <c r="AJ193" i="5"/>
  <c r="BK191" i="5" s="1"/>
  <c r="AJ192" i="5"/>
  <c r="BK192" i="5" s="1"/>
  <c r="AJ191" i="5"/>
  <c r="BK193" i="5" s="1"/>
  <c r="AJ190" i="5"/>
  <c r="BK194" i="5" s="1"/>
  <c r="AJ189" i="5"/>
  <c r="BK195" i="5" s="1"/>
  <c r="AJ188" i="5"/>
  <c r="BK196" i="5" s="1"/>
  <c r="AI101" i="5"/>
  <c r="BJ89" i="5" s="1"/>
  <c r="AI100" i="5"/>
  <c r="BJ90" i="5" s="1"/>
  <c r="AI99" i="5"/>
  <c r="BJ91" i="5" s="1"/>
  <c r="AI98" i="5"/>
  <c r="BJ92" i="5" s="1"/>
  <c r="AI97" i="5"/>
  <c r="BJ93" i="5"/>
  <c r="AI96" i="5"/>
  <c r="BJ94" i="5" s="1"/>
  <c r="AI95" i="5"/>
  <c r="BJ95" i="5" s="1"/>
  <c r="AI94" i="5"/>
  <c r="BJ96" i="5" s="1"/>
  <c r="AI93" i="5"/>
  <c r="BJ97" i="5" s="1"/>
  <c r="AI92" i="5"/>
  <c r="BJ98" i="5"/>
  <c r="AI91" i="5"/>
  <c r="BJ99" i="5"/>
  <c r="AI90" i="5"/>
  <c r="BJ100" i="5" s="1"/>
  <c r="AI89" i="5"/>
  <c r="BJ101" i="5" s="1"/>
  <c r="AI116" i="5"/>
  <c r="BJ104" i="5" s="1"/>
  <c r="AI115" i="5"/>
  <c r="BJ105" i="5" s="1"/>
  <c r="AI114" i="5"/>
  <c r="BJ106" i="5" s="1"/>
  <c r="AI113" i="5"/>
  <c r="BJ107" i="5" s="1"/>
  <c r="AI112" i="5"/>
  <c r="BJ108" i="5" s="1"/>
  <c r="AI111" i="5"/>
  <c r="BJ109" i="5" s="1"/>
  <c r="AI110" i="5"/>
  <c r="BJ110" i="5" s="1"/>
  <c r="AI109" i="5"/>
  <c r="BJ111" i="5" s="1"/>
  <c r="AI108" i="5"/>
  <c r="BJ112" i="5"/>
  <c r="AI107" i="5"/>
  <c r="BJ113" i="5" s="1"/>
  <c r="AI106" i="5"/>
  <c r="BJ114" i="5" s="1"/>
  <c r="AI105" i="5"/>
  <c r="BJ115" i="5" s="1"/>
  <c r="AI104" i="5"/>
  <c r="BJ116" i="5" s="1"/>
  <c r="AI131" i="5"/>
  <c r="BJ119" i="5" s="1"/>
  <c r="AI130" i="5"/>
  <c r="BJ120" i="5" s="1"/>
  <c r="AI129" i="5"/>
  <c r="BJ121" i="5" s="1"/>
  <c r="AI128" i="5"/>
  <c r="BJ122" i="5" s="1"/>
  <c r="AI127" i="5"/>
  <c r="BJ123" i="5" s="1"/>
  <c r="AI126" i="5"/>
  <c r="BJ124" i="5" s="1"/>
  <c r="AI125" i="5"/>
  <c r="BJ125" i="5" s="1"/>
  <c r="AI124" i="5"/>
  <c r="BJ126" i="5" s="1"/>
  <c r="AI123" i="5"/>
  <c r="BJ127" i="5"/>
  <c r="AI122" i="5"/>
  <c r="BJ128" i="5" s="1"/>
  <c r="AI121" i="5"/>
  <c r="BJ129" i="5" s="1"/>
  <c r="AI120" i="5"/>
  <c r="BJ130" i="5" s="1"/>
  <c r="AI119" i="5"/>
  <c r="BJ131" i="5" s="1"/>
  <c r="AI196" i="5"/>
  <c r="BJ188" i="5" s="1"/>
  <c r="AI195" i="5"/>
  <c r="BJ189" i="5" s="1"/>
  <c r="AI194" i="5"/>
  <c r="BJ190" i="5" s="1"/>
  <c r="AI193" i="5"/>
  <c r="BJ191" i="5" s="1"/>
  <c r="AI192" i="5"/>
  <c r="BJ192" i="5" s="1"/>
  <c r="AI191" i="5"/>
  <c r="BJ193" i="5" s="1"/>
  <c r="AI190" i="5"/>
  <c r="BJ194" i="5" s="1"/>
  <c r="AI189" i="5"/>
  <c r="BJ195" i="5" s="1"/>
  <c r="AI188" i="5"/>
  <c r="BJ196" i="5" s="1"/>
  <c r="BI89" i="5"/>
  <c r="BI90" i="5"/>
  <c r="BI91" i="5"/>
  <c r="BI92" i="5"/>
  <c r="BI93" i="5"/>
  <c r="BI94" i="5"/>
  <c r="BI95" i="5"/>
  <c r="BI96" i="5"/>
  <c r="BI97" i="5"/>
  <c r="BI98" i="5"/>
  <c r="BI99" i="5"/>
  <c r="BI100" i="5"/>
  <c r="BI101" i="5"/>
  <c r="BI104" i="5"/>
  <c r="BI105" i="5"/>
  <c r="BI106" i="5"/>
  <c r="BI107" i="5"/>
  <c r="BI108" i="5"/>
  <c r="BI109" i="5"/>
  <c r="BI110" i="5"/>
  <c r="BI111" i="5"/>
  <c r="BI112" i="5"/>
  <c r="BI113" i="5"/>
  <c r="BI114" i="5"/>
  <c r="BI115" i="5"/>
  <c r="BI116" i="5"/>
  <c r="BI119" i="5"/>
  <c r="BI120" i="5"/>
  <c r="BI121" i="5"/>
  <c r="BI122" i="5"/>
  <c r="BI123" i="5"/>
  <c r="BI124" i="5"/>
  <c r="BI125" i="5"/>
  <c r="BI126" i="5"/>
  <c r="BI127" i="5"/>
  <c r="BI128" i="5"/>
  <c r="BI129" i="5"/>
  <c r="BI130" i="5"/>
  <c r="BI131" i="5"/>
  <c r="BI188" i="5"/>
  <c r="BI189" i="5"/>
  <c r="BI190" i="5"/>
  <c r="BI191" i="5"/>
  <c r="BI192" i="5"/>
  <c r="BI193" i="5"/>
  <c r="BI194" i="5"/>
  <c r="BI195" i="5"/>
  <c r="BI196" i="5"/>
  <c r="BG89" i="5"/>
  <c r="BH89" i="5" s="1"/>
  <c r="BG90" i="5"/>
  <c r="BH90" i="5" s="1"/>
  <c r="BG91" i="5"/>
  <c r="BH91" i="5" s="1"/>
  <c r="BG92" i="5"/>
  <c r="BH92" i="5" s="1"/>
  <c r="BG93" i="5"/>
  <c r="BH93" i="5" s="1"/>
  <c r="BG94" i="5"/>
  <c r="BH94" i="5" s="1"/>
  <c r="BG95" i="5"/>
  <c r="BH95" i="5" s="1"/>
  <c r="BG96" i="5"/>
  <c r="BH96" i="5"/>
  <c r="BG97" i="5"/>
  <c r="BH97" i="5" s="1"/>
  <c r="BG98" i="5"/>
  <c r="BH98" i="5" s="1"/>
  <c r="BG99" i="5"/>
  <c r="BH99" i="5" s="1"/>
  <c r="BG100" i="5"/>
  <c r="BH100" i="5" s="1"/>
  <c r="BG101" i="5"/>
  <c r="BH101" i="5" s="1"/>
  <c r="BG104" i="5"/>
  <c r="BH104" i="5" s="1"/>
  <c r="BG105" i="5"/>
  <c r="BH105" i="5" s="1"/>
  <c r="BG106" i="5"/>
  <c r="BH106" i="5" s="1"/>
  <c r="BG107" i="5"/>
  <c r="BH107" i="5"/>
  <c r="BG108" i="5"/>
  <c r="BH108" i="5"/>
  <c r="BG109" i="5"/>
  <c r="BH109" i="5" s="1"/>
  <c r="BG110" i="5"/>
  <c r="BH110" i="5" s="1"/>
  <c r="BG111" i="5"/>
  <c r="BH111" i="5" s="1"/>
  <c r="BG112" i="5"/>
  <c r="BH112" i="5" s="1"/>
  <c r="BG113" i="5"/>
  <c r="BH113" i="5" s="1"/>
  <c r="BG114" i="5"/>
  <c r="BH114" i="5" s="1"/>
  <c r="BG115" i="5"/>
  <c r="BH115" i="5"/>
  <c r="BG116" i="5"/>
  <c r="BH116" i="5"/>
  <c r="BG119" i="5"/>
  <c r="BH119" i="5" s="1"/>
  <c r="BG120" i="5"/>
  <c r="BH120" i="5" s="1"/>
  <c r="BG121" i="5"/>
  <c r="BH121" i="5"/>
  <c r="BG122" i="5"/>
  <c r="BH122" i="5" s="1"/>
  <c r="BG123" i="5"/>
  <c r="BH123" i="5" s="1"/>
  <c r="BG124" i="5"/>
  <c r="BH124" i="5"/>
  <c r="BG125" i="5"/>
  <c r="BH125" i="5" s="1"/>
  <c r="BG126" i="5"/>
  <c r="BH126" i="5" s="1"/>
  <c r="BG127" i="5"/>
  <c r="BH127" i="5" s="1"/>
  <c r="BG128" i="5"/>
  <c r="BH128" i="5" s="1"/>
  <c r="BG129" i="5"/>
  <c r="BH129" i="5" s="1"/>
  <c r="BG130" i="5"/>
  <c r="BH130" i="5" s="1"/>
  <c r="BG131" i="5"/>
  <c r="BH131" i="5" s="1"/>
  <c r="BG188" i="5"/>
  <c r="BH188" i="5" s="1"/>
  <c r="BG189" i="5"/>
  <c r="BH189" i="5"/>
  <c r="BG190" i="5"/>
  <c r="BH190" i="5" s="1"/>
  <c r="BG191" i="5"/>
  <c r="BH191" i="5" s="1"/>
  <c r="BG192" i="5"/>
  <c r="BH192" i="5" s="1"/>
  <c r="BG193" i="5"/>
  <c r="BH193" i="5" s="1"/>
  <c r="BG194" i="5"/>
  <c r="BH194" i="5" s="1"/>
  <c r="BG195" i="5"/>
  <c r="BH195" i="5" s="1"/>
  <c r="BG196" i="5"/>
  <c r="BH196" i="5" s="1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88" i="5"/>
  <c r="AG189" i="5"/>
  <c r="AG190" i="5"/>
  <c r="AG191" i="5"/>
  <c r="AG192" i="5"/>
  <c r="AG193" i="5"/>
  <c r="AG194" i="5"/>
  <c r="AG195" i="5"/>
  <c r="AG196" i="5"/>
  <c r="O89" i="5"/>
  <c r="O90" i="5"/>
  <c r="O100" i="5" s="1"/>
  <c r="O91" i="5"/>
  <c r="O99" i="5" s="1"/>
  <c r="O92" i="5"/>
  <c r="O98" i="5" s="1"/>
  <c r="O93" i="5"/>
  <c r="O97" i="5" s="1"/>
  <c r="O94" i="5"/>
  <c r="O96" i="5" s="1"/>
  <c r="O95" i="5"/>
  <c r="O101" i="5"/>
  <c r="O104" i="5"/>
  <c r="O116" i="5" s="1"/>
  <c r="O105" i="5"/>
  <c r="O115" i="5" s="1"/>
  <c r="O106" i="5"/>
  <c r="O114" i="5" s="1"/>
  <c r="O107" i="5"/>
  <c r="O108" i="5"/>
  <c r="O112" i="5" s="1"/>
  <c r="O109" i="5"/>
  <c r="O111" i="5" s="1"/>
  <c r="O110" i="5"/>
  <c r="O113" i="5"/>
  <c r="O119" i="5"/>
  <c r="O131" i="5" s="1"/>
  <c r="O120" i="5"/>
  <c r="O130" i="5" s="1"/>
  <c r="O121" i="5"/>
  <c r="O122" i="5"/>
  <c r="O123" i="5"/>
  <c r="O127" i="5" s="1"/>
  <c r="O124" i="5"/>
  <c r="O126" i="5" s="1"/>
  <c r="O125" i="5"/>
  <c r="O128" i="5"/>
  <c r="O129" i="5"/>
  <c r="O189" i="5"/>
  <c r="O195" i="5" s="1"/>
  <c r="O190" i="5"/>
  <c r="O194" i="5" s="1"/>
  <c r="O191" i="5"/>
  <c r="O192" i="5"/>
  <c r="O193" i="5"/>
  <c r="O196" i="5"/>
  <c r="E196" i="5"/>
  <c r="F196" i="5" s="1"/>
  <c r="G196" i="5"/>
  <c r="H196" i="5"/>
  <c r="I196" i="5"/>
  <c r="J196" i="5"/>
  <c r="K196" i="5"/>
  <c r="L196" i="5"/>
  <c r="L89" i="5"/>
  <c r="L101" i="5" s="1"/>
  <c r="L90" i="5"/>
  <c r="L100" i="5" s="1"/>
  <c r="L91" i="5"/>
  <c r="L99" i="5" s="1"/>
  <c r="L92" i="5"/>
  <c r="L93" i="5"/>
  <c r="L97" i="5" s="1"/>
  <c r="L94" i="5"/>
  <c r="L96" i="5" s="1"/>
  <c r="L95" i="5"/>
  <c r="L98" i="5"/>
  <c r="L104" i="5"/>
  <c r="L116" i="5" s="1"/>
  <c r="L105" i="5"/>
  <c r="L115" i="5" s="1"/>
  <c r="L106" i="5"/>
  <c r="L114" i="5" s="1"/>
  <c r="L107" i="5"/>
  <c r="L113" i="5" s="1"/>
  <c r="L108" i="5"/>
  <c r="L112" i="5" s="1"/>
  <c r="L109" i="5"/>
  <c r="L111" i="5" s="1"/>
  <c r="L110" i="5"/>
  <c r="L119" i="5"/>
  <c r="L131" i="5" s="1"/>
  <c r="L120" i="5"/>
  <c r="L121" i="5"/>
  <c r="L129" i="5" s="1"/>
  <c r="L122" i="5"/>
  <c r="L128" i="5" s="1"/>
  <c r="L123" i="5"/>
  <c r="L127" i="5" s="1"/>
  <c r="L124" i="5"/>
  <c r="L126" i="5" s="1"/>
  <c r="L125" i="5"/>
  <c r="L130" i="5"/>
  <c r="L189" i="5"/>
  <c r="L195" i="5" s="1"/>
  <c r="L190" i="5"/>
  <c r="L194" i="5" s="1"/>
  <c r="L191" i="5"/>
  <c r="L193" i="5" s="1"/>
  <c r="L192" i="5"/>
  <c r="N196" i="5"/>
  <c r="I41" i="2"/>
  <c r="Q35" i="5"/>
  <c r="Q47" i="5"/>
  <c r="Q61" i="5"/>
  <c r="Q76" i="5"/>
  <c r="Q89" i="5"/>
  <c r="Q104" i="5"/>
  <c r="Q119" i="5"/>
  <c r="Q134" i="5"/>
  <c r="Q148" i="5"/>
  <c r="Q162" i="5"/>
  <c r="Q183" i="5"/>
  <c r="Q175" i="5"/>
  <c r="Q188" i="5"/>
  <c r="AR162" i="5"/>
  <c r="Q176" i="5"/>
  <c r="Q177" i="5"/>
  <c r="Q178" i="5"/>
  <c r="Q179" i="5"/>
  <c r="Q180" i="5"/>
  <c r="Q181" i="5"/>
  <c r="Q182" i="5"/>
  <c r="BS76" i="5"/>
  <c r="F36" i="5"/>
  <c r="F176" i="5" s="1"/>
  <c r="F37" i="5"/>
  <c r="F177" i="5" s="1"/>
  <c r="F38" i="5"/>
  <c r="F178" i="5" s="1"/>
  <c r="F39" i="5"/>
  <c r="F179" i="5" s="1"/>
  <c r="BS62" i="5"/>
  <c r="BS63" i="5"/>
  <c r="BS64" i="5"/>
  <c r="BS65" i="5"/>
  <c r="BS66" i="5"/>
  <c r="BS67" i="5"/>
  <c r="BS68" i="5"/>
  <c r="BS69" i="5"/>
  <c r="BS70" i="5"/>
  <c r="BS71" i="5"/>
  <c r="B23" i="9"/>
  <c r="C23" i="9"/>
  <c r="D23" i="9"/>
  <c r="E23" i="9"/>
  <c r="F23" i="9"/>
  <c r="G23" i="9"/>
  <c r="H23" i="9"/>
  <c r="I23" i="9"/>
  <c r="J23" i="9"/>
  <c r="K23" i="9"/>
  <c r="L23" i="9"/>
  <c r="M23" i="9"/>
  <c r="AF6" i="1"/>
  <c r="V12" i="1"/>
  <c r="AG6" i="1"/>
  <c r="C7" i="1"/>
  <c r="AF7" i="1"/>
  <c r="V13" i="1"/>
  <c r="AG7" i="1"/>
  <c r="E8" i="1"/>
  <c r="AF8" i="1"/>
  <c r="V14" i="1"/>
  <c r="AG8" i="1"/>
  <c r="AF9" i="1"/>
  <c r="V15" i="1"/>
  <c r="AG9" i="1" s="1"/>
  <c r="C12" i="1"/>
  <c r="H12" i="1"/>
  <c r="I12" i="1"/>
  <c r="J12" i="1"/>
  <c r="U12" i="1" s="1"/>
  <c r="K12" i="1"/>
  <c r="O12" i="1" s="1"/>
  <c r="T12" i="1"/>
  <c r="W12" i="1" s="1"/>
  <c r="Y12" i="1"/>
  <c r="C13" i="1"/>
  <c r="H13" i="1"/>
  <c r="I13" i="1"/>
  <c r="J13" i="1"/>
  <c r="U13" i="1" s="1"/>
  <c r="K13" i="1"/>
  <c r="O13" i="1" s="1"/>
  <c r="N13" i="1"/>
  <c r="T13" i="1"/>
  <c r="W13" i="1" s="1"/>
  <c r="Y13" i="1"/>
  <c r="AF13" i="1"/>
  <c r="V26" i="1"/>
  <c r="AG13" i="1"/>
  <c r="C14" i="1"/>
  <c r="H14" i="1"/>
  <c r="I14" i="1"/>
  <c r="J14" i="1"/>
  <c r="U14" i="1" s="1"/>
  <c r="K14" i="1"/>
  <c r="O14" i="1" s="1"/>
  <c r="N14" i="1"/>
  <c r="P14" i="1"/>
  <c r="Q14" i="1" s="1"/>
  <c r="T14" i="1"/>
  <c r="W14" i="1" s="1"/>
  <c r="Y14" i="1"/>
  <c r="AF14" i="1"/>
  <c r="V27" i="1"/>
  <c r="AG14" i="1" s="1"/>
  <c r="C15" i="1"/>
  <c r="H15" i="1"/>
  <c r="I15" i="1"/>
  <c r="J15" i="1"/>
  <c r="U15" i="1" s="1"/>
  <c r="K15" i="1"/>
  <c r="O15" i="1" s="1"/>
  <c r="T15" i="1"/>
  <c r="W15" i="1" s="1"/>
  <c r="Y15" i="1"/>
  <c r="AF15" i="1"/>
  <c r="V28" i="1"/>
  <c r="AG15" i="1" s="1"/>
  <c r="C21" i="1"/>
  <c r="AF21" i="1"/>
  <c r="V39" i="1"/>
  <c r="AG21" i="1"/>
  <c r="E22" i="1"/>
  <c r="C26" i="1"/>
  <c r="H26" i="1"/>
  <c r="I26" i="1"/>
  <c r="J26" i="1"/>
  <c r="U26" i="1" s="1"/>
  <c r="N26" i="1"/>
  <c r="T26" i="1"/>
  <c r="W26" i="1" s="1"/>
  <c r="Y26" i="1"/>
  <c r="C27" i="1"/>
  <c r="H27" i="1"/>
  <c r="I27" i="1"/>
  <c r="J27" i="1"/>
  <c r="U27" i="1" s="1"/>
  <c r="K27" i="1"/>
  <c r="O27" i="1" s="1"/>
  <c r="N27" i="1"/>
  <c r="T27" i="1"/>
  <c r="W27" i="1" s="1"/>
  <c r="Y27" i="1"/>
  <c r="C28" i="1"/>
  <c r="H28" i="1"/>
  <c r="I28" i="1"/>
  <c r="K28" i="1"/>
  <c r="T28" i="1"/>
  <c r="W28" i="1" s="1"/>
  <c r="U28" i="1"/>
  <c r="Y28" i="1"/>
  <c r="C34" i="1"/>
  <c r="E35" i="1"/>
  <c r="C39" i="1"/>
  <c r="H39" i="1"/>
  <c r="I39" i="1"/>
  <c r="J39" i="1"/>
  <c r="K39" i="1"/>
  <c r="N39" i="1"/>
  <c r="O39" i="1"/>
  <c r="P39" i="1"/>
  <c r="Q39" i="1" s="1"/>
  <c r="T39" i="1"/>
  <c r="W39" i="1" s="1"/>
  <c r="U39" i="1"/>
  <c r="Y39" i="1"/>
  <c r="AE4" i="5"/>
  <c r="BG4" i="5"/>
  <c r="AE6" i="5"/>
  <c r="H7" i="5"/>
  <c r="BG6" i="5"/>
  <c r="C7" i="5"/>
  <c r="BG7" i="5" s="1"/>
  <c r="AE7" i="5"/>
  <c r="I64" i="5"/>
  <c r="J14" i="5"/>
  <c r="K64" i="5"/>
  <c r="K151" i="5" s="1"/>
  <c r="N64" i="5"/>
  <c r="N151" i="5" s="1"/>
  <c r="BG8" i="5"/>
  <c r="AE9" i="5"/>
  <c r="BG9" i="5"/>
  <c r="AE10" i="5"/>
  <c r="BG10" i="5"/>
  <c r="AE11" i="5"/>
  <c r="BG11" i="5"/>
  <c r="C12" i="5"/>
  <c r="BG12" i="5" s="1"/>
  <c r="Q64" i="5"/>
  <c r="AR64" i="5"/>
  <c r="AE13" i="5"/>
  <c r="BG13" i="5"/>
  <c r="P61" i="5"/>
  <c r="P71" i="5"/>
  <c r="M71" i="5"/>
  <c r="M158" i="5" s="1"/>
  <c r="F35" i="5"/>
  <c r="F175" i="5" s="1"/>
  <c r="H35" i="5"/>
  <c r="I35" i="5"/>
  <c r="I43" i="5" s="1"/>
  <c r="I183" i="5" s="1"/>
  <c r="K35" i="5"/>
  <c r="K175" i="5" s="1"/>
  <c r="N35" i="5"/>
  <c r="N175" i="5" s="1"/>
  <c r="P35" i="5"/>
  <c r="AR35" i="5"/>
  <c r="BS35" i="5"/>
  <c r="H36" i="5"/>
  <c r="H176" i="5" s="1"/>
  <c r="I36" i="5"/>
  <c r="K36" i="5"/>
  <c r="K176" i="5" s="1"/>
  <c r="N36" i="5"/>
  <c r="N176" i="5" s="1"/>
  <c r="P36" i="5"/>
  <c r="P42" i="5" s="1"/>
  <c r="Q36" i="5"/>
  <c r="AR36" i="5"/>
  <c r="BS36" i="5"/>
  <c r="H37" i="5"/>
  <c r="H177" i="5" s="1"/>
  <c r="I37" i="5"/>
  <c r="K37" i="5"/>
  <c r="K177" i="5" s="1"/>
  <c r="N37" i="5"/>
  <c r="P37" i="5"/>
  <c r="P41" i="5" s="1"/>
  <c r="Q37" i="5"/>
  <c r="AR37" i="5"/>
  <c r="BS37" i="5"/>
  <c r="BS119" i="5"/>
  <c r="P89" i="5"/>
  <c r="P101" i="5" s="1"/>
  <c r="AR89" i="5"/>
  <c r="BS50" i="5"/>
  <c r="P104" i="5"/>
  <c r="AR104" i="5"/>
  <c r="H38" i="5"/>
  <c r="I38" i="5"/>
  <c r="I178" i="5" s="1"/>
  <c r="K38" i="5"/>
  <c r="K178" i="5" s="1"/>
  <c r="N38" i="5"/>
  <c r="P38" i="5"/>
  <c r="P40" i="5" s="1"/>
  <c r="Q38" i="5"/>
  <c r="AR38" i="5"/>
  <c r="BS38" i="5"/>
  <c r="AR61" i="5"/>
  <c r="BS105" i="5"/>
  <c r="P76" i="5"/>
  <c r="P86" i="5" s="1"/>
  <c r="AR76" i="5"/>
  <c r="BS120" i="5"/>
  <c r="Q90" i="5"/>
  <c r="P90" i="5"/>
  <c r="AR90" i="5"/>
  <c r="BS51" i="5"/>
  <c r="Q105" i="5"/>
  <c r="P105" i="5"/>
  <c r="P115" i="5" s="1"/>
  <c r="AR105" i="5"/>
  <c r="H39" i="5"/>
  <c r="H179" i="5" s="1"/>
  <c r="I39" i="5"/>
  <c r="I179" i="5" s="1"/>
  <c r="K39" i="5"/>
  <c r="K179" i="5" s="1"/>
  <c r="N39" i="5"/>
  <c r="N179" i="5" s="1"/>
  <c r="P39" i="5"/>
  <c r="Q39" i="5"/>
  <c r="AR39" i="5"/>
  <c r="BS39" i="5"/>
  <c r="BS79" i="5"/>
  <c r="BS92" i="5"/>
  <c r="P47" i="5"/>
  <c r="P55" i="5" s="1"/>
  <c r="AR47" i="5"/>
  <c r="Q62" i="5"/>
  <c r="P62" i="5"/>
  <c r="P70" i="5" s="1"/>
  <c r="AR62" i="5"/>
  <c r="BS106" i="5"/>
  <c r="Q77" i="5"/>
  <c r="P77" i="5"/>
  <c r="P85" i="5" s="1"/>
  <c r="AR77" i="5"/>
  <c r="BS121" i="5"/>
  <c r="Q91" i="5"/>
  <c r="P91" i="5"/>
  <c r="P99" i="5" s="1"/>
  <c r="AR91" i="5"/>
  <c r="BS52" i="5"/>
  <c r="Q106" i="5"/>
  <c r="P106" i="5"/>
  <c r="P114" i="5" s="1"/>
  <c r="AR106" i="5"/>
  <c r="AR188" i="5"/>
  <c r="E40" i="5"/>
  <c r="G40" i="5"/>
  <c r="G180" i="5" s="1"/>
  <c r="J40" i="5"/>
  <c r="K40" i="5"/>
  <c r="K180" i="5" s="1"/>
  <c r="M40" i="5"/>
  <c r="M180" i="5" s="1"/>
  <c r="Q40" i="5"/>
  <c r="AR40" i="5"/>
  <c r="BS40" i="5"/>
  <c r="BS80" i="5"/>
  <c r="BS93" i="5"/>
  <c r="Q48" i="5"/>
  <c r="P48" i="5"/>
  <c r="P54" i="5" s="1"/>
  <c r="AR48" i="5"/>
  <c r="Q63" i="5"/>
  <c r="P63" i="5"/>
  <c r="P69" i="5" s="1"/>
  <c r="AR63" i="5"/>
  <c r="BS107" i="5"/>
  <c r="Q78" i="5"/>
  <c r="P78" i="5"/>
  <c r="AR78" i="5"/>
  <c r="BS122" i="5"/>
  <c r="Q92" i="5"/>
  <c r="P92" i="5"/>
  <c r="P98" i="5" s="1"/>
  <c r="AR92" i="5"/>
  <c r="BS53" i="5"/>
  <c r="Q107" i="5"/>
  <c r="P107" i="5"/>
  <c r="P113" i="5" s="1"/>
  <c r="AR107" i="5"/>
  <c r="Q189" i="5"/>
  <c r="P189" i="5"/>
  <c r="P195" i="5" s="1"/>
  <c r="AR189" i="5"/>
  <c r="E41" i="5"/>
  <c r="E181" i="5" s="1"/>
  <c r="G41" i="5"/>
  <c r="G181" i="5" s="1"/>
  <c r="J41" i="5"/>
  <c r="J181" i="5" s="1"/>
  <c r="M41" i="5"/>
  <c r="Q41" i="5"/>
  <c r="AR41" i="5"/>
  <c r="BS41" i="5"/>
  <c r="BS81" i="5"/>
  <c r="BS94" i="5"/>
  <c r="Q49" i="5"/>
  <c r="P49" i="5"/>
  <c r="AR49" i="5"/>
  <c r="P64" i="5"/>
  <c r="BS108" i="5"/>
  <c r="Q79" i="5"/>
  <c r="P79" i="5"/>
  <c r="AR79" i="5"/>
  <c r="BS123" i="5"/>
  <c r="Q93" i="5"/>
  <c r="P93" i="5"/>
  <c r="P97" i="5" s="1"/>
  <c r="AR93" i="5"/>
  <c r="BS54" i="5"/>
  <c r="Q108" i="5"/>
  <c r="P108" i="5"/>
  <c r="P112" i="5" s="1"/>
  <c r="AR108" i="5"/>
  <c r="Q190" i="5"/>
  <c r="P190" i="5"/>
  <c r="P194" i="5" s="1"/>
  <c r="AR190" i="5"/>
  <c r="E42" i="5"/>
  <c r="E182" i="5" s="1"/>
  <c r="G42" i="5"/>
  <c r="G182" i="5" s="1"/>
  <c r="J42" i="5"/>
  <c r="J182" i="5" s="1"/>
  <c r="M42" i="5"/>
  <c r="M182" i="5" s="1"/>
  <c r="Q42" i="5"/>
  <c r="AR42" i="5"/>
  <c r="BS42" i="5"/>
  <c r="BS82" i="5"/>
  <c r="BS95" i="5"/>
  <c r="Q50" i="5"/>
  <c r="P50" i="5"/>
  <c r="P52" i="5" s="1"/>
  <c r="AR50" i="5"/>
  <c r="Q65" i="5"/>
  <c r="P65" i="5"/>
  <c r="P67" i="5" s="1"/>
  <c r="AR65" i="5"/>
  <c r="BS109" i="5"/>
  <c r="Q80" i="5"/>
  <c r="P80" i="5"/>
  <c r="P82" i="5" s="1"/>
  <c r="AR80" i="5"/>
  <c r="BS124" i="5"/>
  <c r="Q94" i="5"/>
  <c r="P94" i="5"/>
  <c r="P96" i="5" s="1"/>
  <c r="AR94" i="5"/>
  <c r="BS55" i="5"/>
  <c r="Q109" i="5"/>
  <c r="P109" i="5"/>
  <c r="P111" i="5" s="1"/>
  <c r="AR109" i="5"/>
  <c r="Q191" i="5"/>
  <c r="P191" i="5"/>
  <c r="P193" i="5" s="1"/>
  <c r="AR191" i="5"/>
  <c r="C43" i="5"/>
  <c r="E43" i="5"/>
  <c r="E183" i="5" s="1"/>
  <c r="G43" i="5"/>
  <c r="G183" i="5" s="1"/>
  <c r="J43" i="5"/>
  <c r="J183" i="5" s="1"/>
  <c r="M43" i="5"/>
  <c r="M183" i="5" s="1"/>
  <c r="P43" i="5"/>
  <c r="Q43" i="5"/>
  <c r="AD43" i="5"/>
  <c r="AR43" i="5"/>
  <c r="BE43" i="5"/>
  <c r="BS43" i="5"/>
  <c r="BS83" i="5"/>
  <c r="BS96" i="5"/>
  <c r="Q51" i="5"/>
  <c r="P51" i="5"/>
  <c r="AR51" i="5"/>
  <c r="Q66" i="5"/>
  <c r="P66" i="5"/>
  <c r="AR66" i="5"/>
  <c r="BS110" i="5"/>
  <c r="Q81" i="5"/>
  <c r="P81" i="5"/>
  <c r="AR81" i="5"/>
  <c r="BS125" i="5"/>
  <c r="Q95" i="5"/>
  <c r="P95" i="5"/>
  <c r="AR95" i="5"/>
  <c r="Q110" i="5"/>
  <c r="P110" i="5"/>
  <c r="AR110" i="5"/>
  <c r="Q192" i="5"/>
  <c r="P192" i="5"/>
  <c r="AR192" i="5"/>
  <c r="BS84" i="5"/>
  <c r="BS97" i="5"/>
  <c r="M52" i="5"/>
  <c r="M167" i="5" s="1"/>
  <c r="Q52" i="5"/>
  <c r="AR52" i="5"/>
  <c r="M67" i="5"/>
  <c r="M154" i="5" s="1"/>
  <c r="Q67" i="5"/>
  <c r="AR67" i="5"/>
  <c r="BS111" i="5"/>
  <c r="M82" i="5"/>
  <c r="M140" i="5" s="1"/>
  <c r="Q82" i="5"/>
  <c r="AR82" i="5"/>
  <c r="BS126" i="5"/>
  <c r="M96" i="5"/>
  <c r="Q96" i="5"/>
  <c r="AR96" i="5"/>
  <c r="M111" i="5"/>
  <c r="Q111" i="5"/>
  <c r="AR111" i="5"/>
  <c r="M193" i="5"/>
  <c r="Q193" i="5"/>
  <c r="AR193" i="5"/>
  <c r="BS85" i="5"/>
  <c r="BS98" i="5"/>
  <c r="M53" i="5"/>
  <c r="M168" i="5" s="1"/>
  <c r="Q53" i="5"/>
  <c r="P53" i="5"/>
  <c r="AR53" i="5"/>
  <c r="M68" i="5"/>
  <c r="M155" i="5" s="1"/>
  <c r="Q68" i="5"/>
  <c r="AR68" i="5"/>
  <c r="BS112" i="5"/>
  <c r="M83" i="5"/>
  <c r="M141" i="5" s="1"/>
  <c r="Q83" i="5"/>
  <c r="P83" i="5"/>
  <c r="AR83" i="5"/>
  <c r="BS127" i="5"/>
  <c r="M97" i="5"/>
  <c r="Q97" i="5"/>
  <c r="AR97" i="5"/>
  <c r="M112" i="5"/>
  <c r="Q112" i="5"/>
  <c r="AR112" i="5"/>
  <c r="M194" i="5"/>
  <c r="Q194" i="5"/>
  <c r="AR194" i="5"/>
  <c r="BS86" i="5"/>
  <c r="BS99" i="5"/>
  <c r="M54" i="5"/>
  <c r="M169" i="5" s="1"/>
  <c r="Q54" i="5"/>
  <c r="AR54" i="5"/>
  <c r="M69" i="5"/>
  <c r="M156" i="5" s="1"/>
  <c r="Q69" i="5"/>
  <c r="AR69" i="5"/>
  <c r="BS113" i="5"/>
  <c r="M84" i="5"/>
  <c r="M142" i="5" s="1"/>
  <c r="Q84" i="5"/>
  <c r="P84" i="5"/>
  <c r="AR84" i="5"/>
  <c r="BS128" i="5"/>
  <c r="M98" i="5"/>
  <c r="Q98" i="5"/>
  <c r="AR98" i="5"/>
  <c r="M113" i="5"/>
  <c r="Q113" i="5"/>
  <c r="AR113" i="5"/>
  <c r="M195" i="5"/>
  <c r="Q195" i="5"/>
  <c r="AR195" i="5"/>
  <c r="F47" i="5"/>
  <c r="F162" i="5" s="1"/>
  <c r="H47" i="5"/>
  <c r="H162" i="5" s="1"/>
  <c r="I47" i="5"/>
  <c r="I162" i="5" s="1"/>
  <c r="K47" i="5"/>
  <c r="K55" i="5" s="1"/>
  <c r="K170" i="5" s="1"/>
  <c r="N47" i="5"/>
  <c r="BS47" i="5"/>
  <c r="BS100" i="5"/>
  <c r="M55" i="5"/>
  <c r="M170" i="5" s="1"/>
  <c r="Q55" i="5"/>
  <c r="AR55" i="5"/>
  <c r="M70" i="5"/>
  <c r="M157" i="5" s="1"/>
  <c r="Q70" i="5"/>
  <c r="AR70" i="5"/>
  <c r="BS114" i="5"/>
  <c r="M85" i="5"/>
  <c r="M143" i="5" s="1"/>
  <c r="Q85" i="5"/>
  <c r="AR85" i="5"/>
  <c r="BS129" i="5"/>
  <c r="M99" i="5"/>
  <c r="Q99" i="5"/>
  <c r="AR99" i="5"/>
  <c r="M114" i="5"/>
  <c r="Q114" i="5"/>
  <c r="AR114" i="5"/>
  <c r="Q196" i="5"/>
  <c r="AR196" i="5"/>
  <c r="F48" i="5"/>
  <c r="F163" i="5" s="1"/>
  <c r="H48" i="5"/>
  <c r="H54" i="5" s="1"/>
  <c r="H169" i="5" s="1"/>
  <c r="I48" i="5"/>
  <c r="I163" i="5" s="1"/>
  <c r="K48" i="5"/>
  <c r="K163" i="5" s="1"/>
  <c r="N48" i="5"/>
  <c r="BS48" i="5"/>
  <c r="Q71" i="5"/>
  <c r="AR71" i="5"/>
  <c r="BS115" i="5"/>
  <c r="M86" i="5"/>
  <c r="M144" i="5" s="1"/>
  <c r="Q86" i="5"/>
  <c r="AR86" i="5"/>
  <c r="BS130" i="5"/>
  <c r="M100" i="5"/>
  <c r="Q100" i="5"/>
  <c r="P100" i="5"/>
  <c r="AR100" i="5"/>
  <c r="BS61" i="5"/>
  <c r="M115" i="5"/>
  <c r="Q115" i="5"/>
  <c r="AR115" i="5"/>
  <c r="F49" i="5"/>
  <c r="F164" i="5" s="1"/>
  <c r="H49" i="5"/>
  <c r="H164" i="5" s="1"/>
  <c r="I49" i="5"/>
  <c r="I164" i="5" s="1"/>
  <c r="K49" i="5"/>
  <c r="K164" i="5" s="1"/>
  <c r="N49" i="5"/>
  <c r="N164" i="5" s="1"/>
  <c r="BS49" i="5"/>
  <c r="BS131" i="5"/>
  <c r="M101" i="5"/>
  <c r="Q101" i="5"/>
  <c r="AR101" i="5"/>
  <c r="M116" i="5"/>
  <c r="Q116" i="5"/>
  <c r="P116" i="5"/>
  <c r="AR116" i="5"/>
  <c r="F50" i="5"/>
  <c r="F165" i="5" s="1"/>
  <c r="H50" i="5"/>
  <c r="H165" i="5" s="1"/>
  <c r="I50" i="5"/>
  <c r="I165" i="5" s="1"/>
  <c r="K50" i="5"/>
  <c r="K52" i="5" s="1"/>
  <c r="K167" i="5" s="1"/>
  <c r="N50" i="5"/>
  <c r="N52" i="5" s="1"/>
  <c r="N167" i="5" s="1"/>
  <c r="F51" i="5"/>
  <c r="F166" i="5" s="1"/>
  <c r="H51" i="5"/>
  <c r="H166" i="5" s="1"/>
  <c r="I51" i="5"/>
  <c r="I166" i="5" s="1"/>
  <c r="K51" i="5"/>
  <c r="K166" i="5" s="1"/>
  <c r="N51" i="5"/>
  <c r="N166" i="5" s="1"/>
  <c r="E52" i="5"/>
  <c r="E167" i="5" s="1"/>
  <c r="F52" i="5"/>
  <c r="F167" i="5" s="1"/>
  <c r="G52" i="5"/>
  <c r="G167" i="5" s="1"/>
  <c r="J52" i="5"/>
  <c r="J167" i="5" s="1"/>
  <c r="E53" i="5"/>
  <c r="E168" i="5" s="1"/>
  <c r="G53" i="5"/>
  <c r="G168" i="5" s="1"/>
  <c r="J53" i="5"/>
  <c r="J168" i="5" s="1"/>
  <c r="E54" i="5"/>
  <c r="E169" i="5" s="1"/>
  <c r="G54" i="5"/>
  <c r="G169" i="5" s="1"/>
  <c r="I54" i="5"/>
  <c r="I169" i="5" s="1"/>
  <c r="J54" i="5"/>
  <c r="J169" i="5" s="1"/>
  <c r="K54" i="5"/>
  <c r="K169" i="5" s="1"/>
  <c r="C55" i="5"/>
  <c r="E55" i="5"/>
  <c r="E170" i="5" s="1"/>
  <c r="G55" i="5"/>
  <c r="G170" i="5" s="1"/>
  <c r="J55" i="5"/>
  <c r="J170" i="5" s="1"/>
  <c r="AD55" i="5"/>
  <c r="BE55" i="5"/>
  <c r="F61" i="5"/>
  <c r="F148" i="5" s="1"/>
  <c r="H61" i="5"/>
  <c r="H148" i="5" s="1"/>
  <c r="I61" i="5"/>
  <c r="K61" i="5"/>
  <c r="K148" i="5" s="1"/>
  <c r="N61" i="5"/>
  <c r="N148" i="5" s="1"/>
  <c r="F62" i="5"/>
  <c r="F149" i="5" s="1"/>
  <c r="H62" i="5"/>
  <c r="H149" i="5" s="1"/>
  <c r="I62" i="5"/>
  <c r="K62" i="5"/>
  <c r="K149" i="5" s="1"/>
  <c r="N62" i="5"/>
  <c r="N149" i="5" s="1"/>
  <c r="C71" i="5"/>
  <c r="C116" i="5"/>
  <c r="C196" i="5"/>
  <c r="C86" i="5"/>
  <c r="C101" i="5"/>
  <c r="C158" i="5"/>
  <c r="C183" i="5"/>
  <c r="C170" i="5"/>
  <c r="C144" i="5"/>
  <c r="C131" i="5"/>
  <c r="P119" i="5"/>
  <c r="P131" i="5" s="1"/>
  <c r="P120" i="5"/>
  <c r="P130" i="5" s="1"/>
  <c r="P121" i="5"/>
  <c r="P129" i="5" s="1"/>
  <c r="P122" i="5"/>
  <c r="P128" i="5" s="1"/>
  <c r="P123" i="5"/>
  <c r="P127" i="5" s="1"/>
  <c r="P124" i="5"/>
  <c r="P126" i="5" s="1"/>
  <c r="P125" i="5"/>
  <c r="CV62" i="5"/>
  <c r="Q149" i="5"/>
  <c r="Q150" i="5"/>
  <c r="Q151" i="5"/>
  <c r="Q152" i="5"/>
  <c r="Q153" i="5"/>
  <c r="Q154" i="5"/>
  <c r="Q155" i="5"/>
  <c r="Q156" i="5"/>
  <c r="Q157" i="5"/>
  <c r="Q158" i="5"/>
  <c r="Q163" i="5"/>
  <c r="Q164" i="5"/>
  <c r="Q165" i="5"/>
  <c r="Q166" i="5"/>
  <c r="Q167" i="5"/>
  <c r="Q168" i="5"/>
  <c r="Q169" i="5"/>
  <c r="Q170" i="5"/>
  <c r="Q135" i="5"/>
  <c r="Q136" i="5"/>
  <c r="Q137" i="5"/>
  <c r="Q138" i="5"/>
  <c r="Q139" i="5"/>
  <c r="Q140" i="5"/>
  <c r="Q141" i="5"/>
  <c r="Q142" i="5"/>
  <c r="Q143" i="5"/>
  <c r="Q144" i="5"/>
  <c r="Q120" i="5"/>
  <c r="Q121" i="5"/>
  <c r="Q122" i="5"/>
  <c r="Q123" i="5"/>
  <c r="Q124" i="5"/>
  <c r="Q125" i="5"/>
  <c r="M126" i="5"/>
  <c r="Q126" i="5"/>
  <c r="M127" i="5"/>
  <c r="Q127" i="5"/>
  <c r="M128" i="5"/>
  <c r="Q128" i="5"/>
  <c r="M129" i="5"/>
  <c r="Q129" i="5"/>
  <c r="M130" i="5"/>
  <c r="Q130" i="5"/>
  <c r="M131" i="5"/>
  <c r="Q131" i="5"/>
  <c r="CW62" i="5"/>
  <c r="CX62" i="5"/>
  <c r="F63" i="5"/>
  <c r="F150" i="5" s="1"/>
  <c r="H63" i="5"/>
  <c r="H150" i="5" s="1"/>
  <c r="I63" i="5"/>
  <c r="I150" i="5" s="1"/>
  <c r="K63" i="5"/>
  <c r="K150" i="5" s="1"/>
  <c r="N63" i="5"/>
  <c r="N150" i="5" s="1"/>
  <c r="F64" i="5"/>
  <c r="F151" i="5" s="1"/>
  <c r="H64" i="5"/>
  <c r="H151" i="5" s="1"/>
  <c r="F65" i="5"/>
  <c r="F152" i="5" s="1"/>
  <c r="H65" i="5"/>
  <c r="H152" i="5" s="1"/>
  <c r="I65" i="5"/>
  <c r="I152" i="5" s="1"/>
  <c r="K65" i="5"/>
  <c r="K152" i="5" s="1"/>
  <c r="N65" i="5"/>
  <c r="N152" i="5" s="1"/>
  <c r="F66" i="5"/>
  <c r="F153" i="5" s="1"/>
  <c r="H66" i="5"/>
  <c r="H153" i="5" s="1"/>
  <c r="I66" i="5"/>
  <c r="I153" i="5" s="1"/>
  <c r="K66" i="5"/>
  <c r="K153" i="5" s="1"/>
  <c r="N66" i="5"/>
  <c r="N153" i="5" s="1"/>
  <c r="E67" i="5"/>
  <c r="E154" i="5" s="1"/>
  <c r="G67" i="5"/>
  <c r="G154" i="5" s="1"/>
  <c r="J67" i="5"/>
  <c r="J154" i="5" s="1"/>
  <c r="E68" i="5"/>
  <c r="E155" i="5" s="1"/>
  <c r="F68" i="5"/>
  <c r="F155" i="5" s="1"/>
  <c r="G68" i="5"/>
  <c r="G155" i="5" s="1"/>
  <c r="J68" i="5"/>
  <c r="J155" i="5" s="1"/>
  <c r="E69" i="5"/>
  <c r="E156" i="5" s="1"/>
  <c r="F69" i="5"/>
  <c r="F156" i="5" s="1"/>
  <c r="G69" i="5"/>
  <c r="G156" i="5" s="1"/>
  <c r="J69" i="5"/>
  <c r="J156" i="5" s="1"/>
  <c r="E70" i="5"/>
  <c r="E157" i="5" s="1"/>
  <c r="F70" i="5"/>
  <c r="F157" i="5" s="1"/>
  <c r="G70" i="5"/>
  <c r="G157" i="5" s="1"/>
  <c r="J70" i="5"/>
  <c r="J157" i="5" s="1"/>
  <c r="N70" i="5"/>
  <c r="N157" i="5" s="1"/>
  <c r="E71" i="5"/>
  <c r="E158" i="5" s="1"/>
  <c r="F71" i="5"/>
  <c r="F158" i="5" s="1"/>
  <c r="G71" i="5"/>
  <c r="G158" i="5" s="1"/>
  <c r="H71" i="5"/>
  <c r="H158" i="5" s="1"/>
  <c r="J71" i="5"/>
  <c r="J158" i="5" s="1"/>
  <c r="K71" i="5"/>
  <c r="K158" i="5" s="1"/>
  <c r="N71" i="5"/>
  <c r="N158" i="5" s="1"/>
  <c r="AD71" i="5"/>
  <c r="BE71" i="5"/>
  <c r="F76" i="5"/>
  <c r="F134" i="5" s="1"/>
  <c r="H76" i="5"/>
  <c r="H134" i="5" s="1"/>
  <c r="I76" i="5"/>
  <c r="I134" i="5" s="1"/>
  <c r="K76" i="5"/>
  <c r="N76" i="5"/>
  <c r="F77" i="5"/>
  <c r="F135" i="5" s="1"/>
  <c r="H77" i="5"/>
  <c r="H135" i="5" s="1"/>
  <c r="I77" i="5"/>
  <c r="I135" i="5" s="1"/>
  <c r="K77" i="5"/>
  <c r="N77" i="5"/>
  <c r="N85" i="5" s="1"/>
  <c r="N143" i="5" s="1"/>
  <c r="BS77" i="5"/>
  <c r="F78" i="5"/>
  <c r="F136" i="5" s="1"/>
  <c r="H78" i="5"/>
  <c r="H136" i="5" s="1"/>
  <c r="I78" i="5"/>
  <c r="I136" i="5" s="1"/>
  <c r="K78" i="5"/>
  <c r="K136" i="5" s="1"/>
  <c r="N78" i="5"/>
  <c r="N136" i="5" s="1"/>
  <c r="BS78" i="5"/>
  <c r="F79" i="5"/>
  <c r="F137" i="5" s="1"/>
  <c r="H79" i="5"/>
  <c r="H137" i="5" s="1"/>
  <c r="I79" i="5"/>
  <c r="I137" i="5" s="1"/>
  <c r="K79" i="5"/>
  <c r="N79" i="5"/>
  <c r="F80" i="5"/>
  <c r="F138" i="5" s="1"/>
  <c r="H80" i="5"/>
  <c r="H138" i="5" s="1"/>
  <c r="I80" i="5"/>
  <c r="I138" i="5" s="1"/>
  <c r="K80" i="5"/>
  <c r="N80" i="5"/>
  <c r="N138" i="5" s="1"/>
  <c r="F81" i="5"/>
  <c r="F139" i="5" s="1"/>
  <c r="H81" i="5"/>
  <c r="H139" i="5" s="1"/>
  <c r="I81" i="5"/>
  <c r="I139" i="5" s="1"/>
  <c r="K81" i="5"/>
  <c r="K139" i="5" s="1"/>
  <c r="N81" i="5"/>
  <c r="N139" i="5" s="1"/>
  <c r="E82" i="5"/>
  <c r="E140" i="5" s="1"/>
  <c r="G82" i="5"/>
  <c r="G140" i="5" s="1"/>
  <c r="H82" i="5"/>
  <c r="H140" i="5" s="1"/>
  <c r="I82" i="5"/>
  <c r="I140" i="5" s="1"/>
  <c r="J82" i="5"/>
  <c r="J140" i="5" s="1"/>
  <c r="N82" i="5"/>
  <c r="N140" i="5" s="1"/>
  <c r="E83" i="5"/>
  <c r="E141" i="5" s="1"/>
  <c r="G83" i="5"/>
  <c r="G141" i="5" s="1"/>
  <c r="J83" i="5"/>
  <c r="J141" i="5" s="1"/>
  <c r="E84" i="5"/>
  <c r="E142" i="5" s="1"/>
  <c r="G84" i="5"/>
  <c r="G142" i="5" s="1"/>
  <c r="J84" i="5"/>
  <c r="J142" i="5" s="1"/>
  <c r="N84" i="5"/>
  <c r="N142" i="5" s="1"/>
  <c r="E85" i="5"/>
  <c r="E143" i="5" s="1"/>
  <c r="G85" i="5"/>
  <c r="G143" i="5" s="1"/>
  <c r="I85" i="5"/>
  <c r="I143" i="5" s="1"/>
  <c r="J85" i="5"/>
  <c r="J143" i="5" s="1"/>
  <c r="E86" i="5"/>
  <c r="E144" i="5" s="1"/>
  <c r="G86" i="5"/>
  <c r="G144" i="5" s="1"/>
  <c r="J86" i="5"/>
  <c r="J144" i="5" s="1"/>
  <c r="AD86" i="5"/>
  <c r="BE86" i="5"/>
  <c r="F89" i="5"/>
  <c r="H89" i="5"/>
  <c r="H101" i="5" s="1"/>
  <c r="I89" i="5"/>
  <c r="K89" i="5"/>
  <c r="K101" i="5" s="1"/>
  <c r="N89" i="5"/>
  <c r="N101" i="5" s="1"/>
  <c r="BS89" i="5"/>
  <c r="F90" i="5"/>
  <c r="H90" i="5"/>
  <c r="H100" i="5" s="1"/>
  <c r="I90" i="5"/>
  <c r="I100" i="5" s="1"/>
  <c r="K90" i="5"/>
  <c r="K100" i="5" s="1"/>
  <c r="N90" i="5"/>
  <c r="N100" i="5" s="1"/>
  <c r="BS90" i="5"/>
  <c r="F91" i="5"/>
  <c r="H91" i="5"/>
  <c r="I91" i="5"/>
  <c r="I99" i="5" s="1"/>
  <c r="K91" i="5"/>
  <c r="K99" i="5" s="1"/>
  <c r="N91" i="5"/>
  <c r="N99" i="5" s="1"/>
  <c r="BS91" i="5"/>
  <c r="F92" i="5"/>
  <c r="H92" i="5"/>
  <c r="H98" i="5" s="1"/>
  <c r="I92" i="5"/>
  <c r="I98" i="5" s="1"/>
  <c r="K92" i="5"/>
  <c r="K98" i="5" s="1"/>
  <c r="N92" i="5"/>
  <c r="N98" i="5" s="1"/>
  <c r="F93" i="5"/>
  <c r="H93" i="5"/>
  <c r="H97" i="5" s="1"/>
  <c r="I93" i="5"/>
  <c r="I97" i="5" s="1"/>
  <c r="K93" i="5"/>
  <c r="K97" i="5" s="1"/>
  <c r="N93" i="5"/>
  <c r="N97" i="5" s="1"/>
  <c r="F94" i="5"/>
  <c r="H94" i="5"/>
  <c r="I94" i="5"/>
  <c r="I96" i="5" s="1"/>
  <c r="K94" i="5"/>
  <c r="K96" i="5" s="1"/>
  <c r="N94" i="5"/>
  <c r="N96" i="5" s="1"/>
  <c r="F95" i="5"/>
  <c r="H95" i="5"/>
  <c r="I95" i="5"/>
  <c r="K95" i="5"/>
  <c r="N95" i="5"/>
  <c r="E96" i="5"/>
  <c r="F96" i="5" s="1"/>
  <c r="G96" i="5"/>
  <c r="H96" i="5"/>
  <c r="J96" i="5"/>
  <c r="E97" i="5"/>
  <c r="F97" i="5"/>
  <c r="G97" i="5"/>
  <c r="J97" i="5"/>
  <c r="E98" i="5"/>
  <c r="F98" i="5"/>
  <c r="G98" i="5"/>
  <c r="J98" i="5"/>
  <c r="E99" i="5"/>
  <c r="F99" i="5" s="1"/>
  <c r="G99" i="5"/>
  <c r="H99" i="5"/>
  <c r="J99" i="5"/>
  <c r="E100" i="5"/>
  <c r="F100" i="5" s="1"/>
  <c r="G100" i="5"/>
  <c r="J100" i="5"/>
  <c r="E101" i="5"/>
  <c r="F101" i="5" s="1"/>
  <c r="G101" i="5"/>
  <c r="I101" i="5"/>
  <c r="J101" i="5"/>
  <c r="AD101" i="5"/>
  <c r="BE101" i="5"/>
  <c r="BS101" i="5"/>
  <c r="F104" i="5"/>
  <c r="H104" i="5"/>
  <c r="H116" i="5" s="1"/>
  <c r="I104" i="5"/>
  <c r="I116" i="5" s="1"/>
  <c r="K104" i="5"/>
  <c r="N104" i="5"/>
  <c r="N116" i="5" s="1"/>
  <c r="BS104" i="5"/>
  <c r="F105" i="5"/>
  <c r="H105" i="5"/>
  <c r="I105" i="5"/>
  <c r="K105" i="5"/>
  <c r="K115" i="5" s="1"/>
  <c r="N105" i="5"/>
  <c r="N115" i="5" s="1"/>
  <c r="F106" i="5"/>
  <c r="H106" i="5"/>
  <c r="H114" i="5" s="1"/>
  <c r="I106" i="5"/>
  <c r="I114" i="5" s="1"/>
  <c r="K106" i="5"/>
  <c r="K114" i="5" s="1"/>
  <c r="N106" i="5"/>
  <c r="N114" i="5" s="1"/>
  <c r="F107" i="5"/>
  <c r="H107" i="5"/>
  <c r="H113" i="5" s="1"/>
  <c r="I107" i="5"/>
  <c r="I113" i="5" s="1"/>
  <c r="K107" i="5"/>
  <c r="N107" i="5"/>
  <c r="N113" i="5" s="1"/>
  <c r="F108" i="5"/>
  <c r="H108" i="5"/>
  <c r="H112" i="5" s="1"/>
  <c r="I108" i="5"/>
  <c r="I112" i="5" s="1"/>
  <c r="K108" i="5"/>
  <c r="K112" i="5" s="1"/>
  <c r="N108" i="5"/>
  <c r="N112" i="5" s="1"/>
  <c r="F109" i="5"/>
  <c r="H109" i="5"/>
  <c r="H111" i="5" s="1"/>
  <c r="I109" i="5"/>
  <c r="I111" i="5" s="1"/>
  <c r="K109" i="5"/>
  <c r="K111" i="5" s="1"/>
  <c r="N109" i="5"/>
  <c r="N111" i="5" s="1"/>
  <c r="F110" i="5"/>
  <c r="H110" i="5"/>
  <c r="I110" i="5"/>
  <c r="K110" i="5"/>
  <c r="N110" i="5"/>
  <c r="E111" i="5"/>
  <c r="F111" i="5"/>
  <c r="G111" i="5"/>
  <c r="J111" i="5"/>
  <c r="E112" i="5"/>
  <c r="F112" i="5"/>
  <c r="G112" i="5"/>
  <c r="J112" i="5"/>
  <c r="E113" i="5"/>
  <c r="F113" i="5" s="1"/>
  <c r="G113" i="5"/>
  <c r="J113" i="5"/>
  <c r="K113" i="5"/>
  <c r="E114" i="5"/>
  <c r="F114" i="5"/>
  <c r="G114" i="5"/>
  <c r="J114" i="5"/>
  <c r="E115" i="5"/>
  <c r="F115" i="5"/>
  <c r="G115" i="5"/>
  <c r="H115" i="5"/>
  <c r="I115" i="5"/>
  <c r="J115" i="5"/>
  <c r="E116" i="5"/>
  <c r="F116" i="5"/>
  <c r="G116" i="5"/>
  <c r="J116" i="5"/>
  <c r="K116" i="5"/>
  <c r="AD116" i="5"/>
  <c r="BE116" i="5"/>
  <c r="BS116" i="5"/>
  <c r="F119" i="5"/>
  <c r="H119" i="5"/>
  <c r="H131" i="5" s="1"/>
  <c r="I119" i="5"/>
  <c r="I131" i="5" s="1"/>
  <c r="K119" i="5"/>
  <c r="K131" i="5" s="1"/>
  <c r="N119" i="5"/>
  <c r="N131" i="5" s="1"/>
  <c r="AR119" i="5"/>
  <c r="F120" i="5"/>
  <c r="H120" i="5"/>
  <c r="H130" i="5" s="1"/>
  <c r="I120" i="5"/>
  <c r="K120" i="5"/>
  <c r="K130" i="5" s="1"/>
  <c r="N120" i="5"/>
  <c r="N130" i="5" s="1"/>
  <c r="AR120" i="5"/>
  <c r="F121" i="5"/>
  <c r="H121" i="5"/>
  <c r="H129" i="5" s="1"/>
  <c r="I121" i="5"/>
  <c r="I129" i="5" s="1"/>
  <c r="K121" i="5"/>
  <c r="K129" i="5" s="1"/>
  <c r="N121" i="5"/>
  <c r="AR121" i="5"/>
  <c r="F122" i="5"/>
  <c r="H122" i="5"/>
  <c r="H128" i="5" s="1"/>
  <c r="I122" i="5"/>
  <c r="I128" i="5" s="1"/>
  <c r="K122" i="5"/>
  <c r="K128" i="5" s="1"/>
  <c r="N122" i="5"/>
  <c r="N128" i="5" s="1"/>
  <c r="AR122" i="5"/>
  <c r="F123" i="5"/>
  <c r="H123" i="5"/>
  <c r="H127" i="5" s="1"/>
  <c r="I123" i="5"/>
  <c r="K123" i="5"/>
  <c r="K127" i="5" s="1"/>
  <c r="N123" i="5"/>
  <c r="AR123" i="5"/>
  <c r="F124" i="5"/>
  <c r="H124" i="5"/>
  <c r="H126" i="5" s="1"/>
  <c r="I124" i="5"/>
  <c r="K124" i="5"/>
  <c r="K126" i="5" s="1"/>
  <c r="N124" i="5"/>
  <c r="N126" i="5" s="1"/>
  <c r="AR124" i="5"/>
  <c r="F125" i="5"/>
  <c r="H125" i="5"/>
  <c r="I125" i="5"/>
  <c r="K125" i="5"/>
  <c r="N125" i="5"/>
  <c r="AR125" i="5"/>
  <c r="E126" i="5"/>
  <c r="F126" i="5"/>
  <c r="G126" i="5"/>
  <c r="I126" i="5"/>
  <c r="J126" i="5"/>
  <c r="AR126" i="5"/>
  <c r="E127" i="5"/>
  <c r="F127" i="5" s="1"/>
  <c r="G127" i="5"/>
  <c r="I127" i="5"/>
  <c r="J127" i="5"/>
  <c r="N127" i="5"/>
  <c r="AR127" i="5"/>
  <c r="E128" i="5"/>
  <c r="F128" i="5" s="1"/>
  <c r="G128" i="5"/>
  <c r="J128" i="5"/>
  <c r="AR128" i="5"/>
  <c r="E129" i="5"/>
  <c r="F129" i="5" s="1"/>
  <c r="G129" i="5"/>
  <c r="J129" i="5"/>
  <c r="N129" i="5"/>
  <c r="AR129" i="5"/>
  <c r="E130" i="5"/>
  <c r="F130" i="5" s="1"/>
  <c r="G130" i="5"/>
  <c r="I130" i="5"/>
  <c r="J130" i="5"/>
  <c r="AR130" i="5"/>
  <c r="E131" i="5"/>
  <c r="F131" i="5" s="1"/>
  <c r="G131" i="5"/>
  <c r="J131" i="5"/>
  <c r="AD131" i="5"/>
  <c r="AR131" i="5"/>
  <c r="BE131" i="5"/>
  <c r="AR134" i="5"/>
  <c r="BS134" i="5"/>
  <c r="AR135" i="5"/>
  <c r="BS135" i="5"/>
  <c r="AR136" i="5"/>
  <c r="BS136" i="5"/>
  <c r="AR137" i="5"/>
  <c r="BS137" i="5"/>
  <c r="AR138" i="5"/>
  <c r="BS138" i="5"/>
  <c r="AR139" i="5"/>
  <c r="BS139" i="5"/>
  <c r="AR140" i="5"/>
  <c r="BS140" i="5"/>
  <c r="AR141" i="5"/>
  <c r="BS141" i="5"/>
  <c r="AR142" i="5"/>
  <c r="BS142" i="5"/>
  <c r="AR143" i="5"/>
  <c r="BS143" i="5"/>
  <c r="AD144" i="5"/>
  <c r="AR144" i="5"/>
  <c r="BE144" i="5"/>
  <c r="BS144" i="5"/>
  <c r="AR148" i="5"/>
  <c r="BS148" i="5"/>
  <c r="AR149" i="5"/>
  <c r="BS149" i="5"/>
  <c r="AR150" i="5"/>
  <c r="BS150" i="5"/>
  <c r="AR151" i="5"/>
  <c r="BS151" i="5"/>
  <c r="AR152" i="5"/>
  <c r="BS152" i="5"/>
  <c r="AR153" i="5"/>
  <c r="BS153" i="5"/>
  <c r="AR154" i="5"/>
  <c r="BS154" i="5"/>
  <c r="AR155" i="5"/>
  <c r="BS155" i="5"/>
  <c r="AR156" i="5"/>
  <c r="BS156" i="5"/>
  <c r="AR157" i="5"/>
  <c r="BS157" i="5"/>
  <c r="AD158" i="5"/>
  <c r="AR158" i="5"/>
  <c r="BE158" i="5"/>
  <c r="BS158" i="5"/>
  <c r="BS162" i="5"/>
  <c r="AR163" i="5"/>
  <c r="BS163" i="5"/>
  <c r="AR164" i="5"/>
  <c r="BS164" i="5"/>
  <c r="AR165" i="5"/>
  <c r="BS165" i="5"/>
  <c r="AR166" i="5"/>
  <c r="BS166" i="5"/>
  <c r="AR167" i="5"/>
  <c r="BS167" i="5"/>
  <c r="AR168" i="5"/>
  <c r="BS168" i="5"/>
  <c r="AR169" i="5"/>
  <c r="BS169" i="5"/>
  <c r="AD170" i="5"/>
  <c r="AR170" i="5"/>
  <c r="BE170" i="5"/>
  <c r="BS170" i="5"/>
  <c r="AR175" i="5"/>
  <c r="BS175" i="5"/>
  <c r="AR176" i="5"/>
  <c r="BS176" i="5"/>
  <c r="AR177" i="5"/>
  <c r="BS177" i="5"/>
  <c r="AR178" i="5"/>
  <c r="BS178" i="5"/>
  <c r="AR179" i="5"/>
  <c r="BS179" i="5"/>
  <c r="AR180" i="5"/>
  <c r="BS180" i="5"/>
  <c r="AR181" i="5"/>
  <c r="BS181" i="5"/>
  <c r="AR182" i="5"/>
  <c r="BS182" i="5"/>
  <c r="AD183" i="5"/>
  <c r="AR183" i="5"/>
  <c r="BE183" i="5"/>
  <c r="BS183" i="5"/>
  <c r="BS188" i="5"/>
  <c r="F189" i="5"/>
  <c r="H189" i="5"/>
  <c r="H195" i="5" s="1"/>
  <c r="I189" i="5"/>
  <c r="I195" i="5" s="1"/>
  <c r="K189" i="5"/>
  <c r="K195" i="5" s="1"/>
  <c r="N189" i="5"/>
  <c r="N195" i="5" s="1"/>
  <c r="BS189" i="5"/>
  <c r="F190" i="5"/>
  <c r="H190" i="5"/>
  <c r="H194" i="5" s="1"/>
  <c r="I190" i="5"/>
  <c r="I194" i="5" s="1"/>
  <c r="K190" i="5"/>
  <c r="K194" i="5" s="1"/>
  <c r="N190" i="5"/>
  <c r="N194" i="5" s="1"/>
  <c r="BS190" i="5"/>
  <c r="F191" i="5"/>
  <c r="H191" i="5"/>
  <c r="H193" i="5" s="1"/>
  <c r="I191" i="5"/>
  <c r="I193" i="5" s="1"/>
  <c r="K191" i="5"/>
  <c r="K193" i="5" s="1"/>
  <c r="N191" i="5"/>
  <c r="N193" i="5" s="1"/>
  <c r="BS191" i="5"/>
  <c r="F192" i="5"/>
  <c r="H192" i="5"/>
  <c r="I192" i="5"/>
  <c r="K192" i="5"/>
  <c r="N192" i="5"/>
  <c r="BS192" i="5"/>
  <c r="E193" i="5"/>
  <c r="F193" i="5" s="1"/>
  <c r="G193" i="5"/>
  <c r="J193" i="5"/>
  <c r="BS193" i="5"/>
  <c r="E194" i="5"/>
  <c r="F194" i="5" s="1"/>
  <c r="G194" i="5"/>
  <c r="J194" i="5"/>
  <c r="BS194" i="5"/>
  <c r="E195" i="5"/>
  <c r="F195" i="5" s="1"/>
  <c r="G195" i="5"/>
  <c r="J195" i="5"/>
  <c r="BS195" i="5"/>
  <c r="AD196" i="5"/>
  <c r="BE196" i="5"/>
  <c r="BS196" i="5"/>
  <c r="I7" i="2"/>
  <c r="I8" i="2"/>
  <c r="I28" i="2"/>
  <c r="C11" i="2"/>
  <c r="C18" i="2"/>
  <c r="I21" i="2"/>
  <c r="C23" i="2"/>
  <c r="C24" i="2"/>
  <c r="I24" i="2" s="1"/>
  <c r="C32" i="2"/>
  <c r="C33" i="2"/>
  <c r="C36" i="2"/>
  <c r="C37" i="2"/>
  <c r="I48" i="2"/>
  <c r="BM82" i="5" l="1"/>
  <c r="BM140" i="5" s="1"/>
  <c r="BM85" i="5"/>
  <c r="BM143" i="5" s="1"/>
  <c r="O149" i="5"/>
  <c r="BJ61" i="5"/>
  <c r="BJ148" i="5" s="1"/>
  <c r="BP61" i="5"/>
  <c r="BP148" i="5" s="1"/>
  <c r="BQ62" i="5"/>
  <c r="BQ149" i="5" s="1"/>
  <c r="BO153" i="5"/>
  <c r="BR153" i="5" s="1"/>
  <c r="BP68" i="5"/>
  <c r="BP155" i="5" s="1"/>
  <c r="O52" i="5"/>
  <c r="O167" i="5" s="1"/>
  <c r="AI170" i="5"/>
  <c r="BP47" i="5"/>
  <c r="BP162" i="5" s="1"/>
  <c r="BJ55" i="5"/>
  <c r="BJ170" i="5" s="1"/>
  <c r="L43" i="5"/>
  <c r="L183" i="5" s="1"/>
  <c r="BP37" i="5"/>
  <c r="BP177" i="5" s="1"/>
  <c r="BJ42" i="5"/>
  <c r="BJ182" i="5" s="1"/>
  <c r="BG168" i="5"/>
  <c r="O175" i="5"/>
  <c r="AL178" i="5"/>
  <c r="AK200" i="5"/>
  <c r="BO137" i="5"/>
  <c r="BR137" i="5" s="1"/>
  <c r="BH84" i="5"/>
  <c r="BH142" i="5" s="1"/>
  <c r="L149" i="5"/>
  <c r="BH62" i="5"/>
  <c r="BH149" i="5" s="1"/>
  <c r="BN62" i="5"/>
  <c r="BN149" i="5" s="1"/>
  <c r="BM64" i="5"/>
  <c r="BM151" i="5" s="1"/>
  <c r="BG155" i="5"/>
  <c r="BM68" i="5"/>
  <c r="BM155" i="5" s="1"/>
  <c r="O55" i="5"/>
  <c r="O170" i="5" s="1"/>
  <c r="AJ167" i="5"/>
  <c r="BP51" i="5"/>
  <c r="BP166" i="5" s="1"/>
  <c r="AM178" i="5"/>
  <c r="BR40" i="5"/>
  <c r="AI143" i="5"/>
  <c r="AO152" i="5"/>
  <c r="AM168" i="5"/>
  <c r="AP180" i="5"/>
  <c r="BO178" i="5"/>
  <c r="BR178" i="5" s="1"/>
  <c r="BP39" i="5"/>
  <c r="BP179" i="5" s="1"/>
  <c r="BK41" i="5"/>
  <c r="BK181" i="5" s="1"/>
  <c r="BP41" i="5"/>
  <c r="BP181" i="5" s="1"/>
  <c r="BN43" i="5"/>
  <c r="BN183" i="5" s="1"/>
  <c r="K41" i="5"/>
  <c r="K181" i="5" s="1"/>
  <c r="AM139" i="5"/>
  <c r="BO149" i="5"/>
  <c r="BR149" i="5" s="1"/>
  <c r="BO150" i="5"/>
  <c r="BR150" i="5" s="1"/>
  <c r="BN64" i="5"/>
  <c r="BN151" i="5" s="1"/>
  <c r="BM66" i="5"/>
  <c r="BM153" i="5" s="1"/>
  <c r="BG170" i="5"/>
  <c r="BG181" i="5"/>
  <c r="L135" i="5"/>
  <c r="AL143" i="5"/>
  <c r="BH81" i="5"/>
  <c r="BH139" i="5" s="1"/>
  <c r="BQ82" i="5"/>
  <c r="BQ140" i="5" s="1"/>
  <c r="BQ85" i="5"/>
  <c r="BQ143" i="5" s="1"/>
  <c r="BJ63" i="5"/>
  <c r="BJ150" i="5" s="1"/>
  <c r="BJ64" i="5"/>
  <c r="BJ151" i="5" s="1"/>
  <c r="L54" i="5"/>
  <c r="L169" i="5" s="1"/>
  <c r="AM166" i="5"/>
  <c r="BO165" i="5"/>
  <c r="BR165" i="5" s="1"/>
  <c r="N53" i="5"/>
  <c r="N168" i="5" s="1"/>
  <c r="N43" i="5"/>
  <c r="N183" i="5" s="1"/>
  <c r="K53" i="5"/>
  <c r="K168" i="5" s="1"/>
  <c r="K69" i="5"/>
  <c r="K156" i="5" s="1"/>
  <c r="BF208" i="5"/>
  <c r="BF211" i="5" s="1"/>
  <c r="K42" i="5"/>
  <c r="K182" i="5" s="1"/>
  <c r="H69" i="5"/>
  <c r="H156" i="5" s="1"/>
  <c r="K67" i="5"/>
  <c r="K154" i="5" s="1"/>
  <c r="F53" i="5"/>
  <c r="F168" i="5" s="1"/>
  <c r="L84" i="5"/>
  <c r="L142" i="5" s="1"/>
  <c r="AP155" i="5"/>
  <c r="AF202" i="5"/>
  <c r="BK51" i="5"/>
  <c r="BK166" i="5" s="1"/>
  <c r="AJ166" i="5"/>
  <c r="AE208" i="5"/>
  <c r="AE211" i="5" s="1"/>
  <c r="AO137" i="5"/>
  <c r="CX63" i="5"/>
  <c r="R62" i="5"/>
  <c r="S62" i="5" s="1"/>
  <c r="AO138" i="5"/>
  <c r="AO164" i="5"/>
  <c r="BP53" i="5"/>
  <c r="BP168" i="5" s="1"/>
  <c r="BM35" i="5"/>
  <c r="BM175" i="5" s="1"/>
  <c r="AL183" i="5"/>
  <c r="BO177" i="5"/>
  <c r="BR177" i="5" s="1"/>
  <c r="BR37" i="5"/>
  <c r="I83" i="5"/>
  <c r="I141" i="5" s="1"/>
  <c r="N68" i="5"/>
  <c r="N155" i="5" s="1"/>
  <c r="I55" i="5"/>
  <c r="I170" i="5" s="1"/>
  <c r="B25" i="9"/>
  <c r="B27" i="9" s="1"/>
  <c r="BR86" i="5"/>
  <c r="BQ77" i="5"/>
  <c r="BQ135" i="5" s="1"/>
  <c r="AP143" i="5"/>
  <c r="BO148" i="5"/>
  <c r="BR148" i="5" s="1"/>
  <c r="BR61" i="5"/>
  <c r="AI168" i="5"/>
  <c r="BJ49" i="5"/>
  <c r="BJ164" i="5" s="1"/>
  <c r="BK53" i="5"/>
  <c r="BK168" i="5" s="1"/>
  <c r="AJ164" i="5"/>
  <c r="BN36" i="5"/>
  <c r="BN176" i="5" s="1"/>
  <c r="AM182" i="5"/>
  <c r="BJ70" i="5"/>
  <c r="BJ157" i="5" s="1"/>
  <c r="AI149" i="5"/>
  <c r="BN63" i="5"/>
  <c r="BN150" i="5" s="1"/>
  <c r="AM156" i="5"/>
  <c r="BJ50" i="5"/>
  <c r="BJ165" i="5" s="1"/>
  <c r="AI167" i="5"/>
  <c r="BK77" i="5"/>
  <c r="BK135" i="5" s="1"/>
  <c r="AJ143" i="5"/>
  <c r="BO164" i="5"/>
  <c r="BR164" i="5" s="1"/>
  <c r="BR49" i="5"/>
  <c r="BG143" i="5"/>
  <c r="BH85" i="5"/>
  <c r="BH143" i="5" s="1"/>
  <c r="AJ148" i="5"/>
  <c r="BH35" i="5"/>
  <c r="BH175" i="5" s="1"/>
  <c r="BG175" i="5"/>
  <c r="I86" i="5"/>
  <c r="I144" i="5" s="1"/>
  <c r="H83" i="5"/>
  <c r="H141" i="5" s="1"/>
  <c r="F82" i="5"/>
  <c r="F140" i="5" s="1"/>
  <c r="K82" i="5"/>
  <c r="K140" i="5" s="1"/>
  <c r="K138" i="5"/>
  <c r="K68" i="5"/>
  <c r="K155" i="5" s="1"/>
  <c r="H67" i="5"/>
  <c r="H154" i="5" s="1"/>
  <c r="H55" i="5"/>
  <c r="H170" i="5" s="1"/>
  <c r="F54" i="5"/>
  <c r="F169" i="5" s="1"/>
  <c r="M14" i="5"/>
  <c r="R12" i="7" s="1"/>
  <c r="I68" i="5"/>
  <c r="I155" i="5" s="1"/>
  <c r="I151" i="5"/>
  <c r="O134" i="5"/>
  <c r="O86" i="5"/>
  <c r="O144" i="5" s="1"/>
  <c r="AH201" i="5"/>
  <c r="BG135" i="5"/>
  <c r="BH77" i="5"/>
  <c r="BH135" i="5" s="1"/>
  <c r="BH78" i="5"/>
  <c r="BH136" i="5" s="1"/>
  <c r="BN84" i="5"/>
  <c r="BN142" i="5" s="1"/>
  <c r="AO154" i="5"/>
  <c r="L165" i="5"/>
  <c r="L52" i="5"/>
  <c r="L167" i="5" s="1"/>
  <c r="BO167" i="5"/>
  <c r="BR167" i="5" s="1"/>
  <c r="BR52" i="5"/>
  <c r="BM54" i="5"/>
  <c r="BM169" i="5" s="1"/>
  <c r="AL163" i="5"/>
  <c r="BN42" i="5"/>
  <c r="BN182" i="5" s="1"/>
  <c r="AM176" i="5"/>
  <c r="K70" i="5"/>
  <c r="K157" i="5" s="1"/>
  <c r="H41" i="5"/>
  <c r="H181" i="5" s="1"/>
  <c r="J15" i="5"/>
  <c r="K85" i="5"/>
  <c r="K143" i="5" s="1"/>
  <c r="K135" i="5"/>
  <c r="I52" i="5"/>
  <c r="I167" i="5" s="1"/>
  <c r="AS96" i="5"/>
  <c r="AT96" i="5" s="1"/>
  <c r="AJ104" i="5"/>
  <c r="BK116" i="5" s="1"/>
  <c r="O152" i="5"/>
  <c r="O67" i="5"/>
  <c r="O154" i="5" s="1"/>
  <c r="BO157" i="5"/>
  <c r="BR157" i="5" s="1"/>
  <c r="BR70" i="5"/>
  <c r="K165" i="5"/>
  <c r="AM162" i="5"/>
  <c r="AP168" i="5"/>
  <c r="AU168" i="5" s="1"/>
  <c r="AV168" i="5" s="1"/>
  <c r="BO163" i="5"/>
  <c r="BR163" i="5" s="1"/>
  <c r="BR48" i="5"/>
  <c r="BJ52" i="5"/>
  <c r="BJ167" i="5" s="1"/>
  <c r="AI165" i="5"/>
  <c r="BQ37" i="5"/>
  <c r="BQ177" i="5" s="1"/>
  <c r="AP181" i="5"/>
  <c r="BH39" i="5"/>
  <c r="BH179" i="5" s="1"/>
  <c r="BG179" i="5"/>
  <c r="BN39" i="5"/>
  <c r="BN179" i="5" s="1"/>
  <c r="BO156" i="5"/>
  <c r="BR156" i="5" s="1"/>
  <c r="BR69" i="5"/>
  <c r="H85" i="5"/>
  <c r="H143" i="5" s="1"/>
  <c r="H42" i="5"/>
  <c r="H182" i="5" s="1"/>
  <c r="BF205" i="5"/>
  <c r="F86" i="5"/>
  <c r="F144" i="5" s="1"/>
  <c r="K84" i="5"/>
  <c r="K142" i="5" s="1"/>
  <c r="H68" i="5"/>
  <c r="H155" i="5" s="1"/>
  <c r="F67" i="5"/>
  <c r="F154" i="5" s="1"/>
  <c r="N15" i="1"/>
  <c r="AG202" i="5"/>
  <c r="AJ108" i="5"/>
  <c r="BK112" i="5" s="1"/>
  <c r="AO142" i="5"/>
  <c r="AM144" i="5"/>
  <c r="BN76" i="5"/>
  <c r="BN134" i="5" s="1"/>
  <c r="AM143" i="5"/>
  <c r="BN77" i="5"/>
  <c r="BN135" i="5" s="1"/>
  <c r="BK79" i="5"/>
  <c r="BK137" i="5" s="1"/>
  <c r="BJ84" i="5"/>
  <c r="BJ142" i="5" s="1"/>
  <c r="AI136" i="5"/>
  <c r="BO142" i="5"/>
  <c r="BR142" i="5" s="1"/>
  <c r="BR84" i="5"/>
  <c r="BP85" i="5"/>
  <c r="BP143" i="5" s="1"/>
  <c r="AO135" i="5"/>
  <c r="L151" i="5"/>
  <c r="L68" i="5"/>
  <c r="L155" i="5" s="1"/>
  <c r="AP166" i="5"/>
  <c r="BJ51" i="5"/>
  <c r="BJ166" i="5" s="1"/>
  <c r="BK52" i="5"/>
  <c r="BK167" i="5" s="1"/>
  <c r="BP36" i="5"/>
  <c r="BP176" i="5" s="1"/>
  <c r="AO182" i="5"/>
  <c r="AM177" i="5"/>
  <c r="BN41" i="5"/>
  <c r="BN181" i="5" s="1"/>
  <c r="BH83" i="5"/>
  <c r="BH141" i="5" s="1"/>
  <c r="BK64" i="5"/>
  <c r="BG157" i="5"/>
  <c r="L55" i="5"/>
  <c r="L170" i="5" s="1"/>
  <c r="O163" i="5"/>
  <c r="T163" i="5" s="1"/>
  <c r="U163" i="5" s="1"/>
  <c r="BG164" i="5"/>
  <c r="BM49" i="5"/>
  <c r="BM164" i="5" s="1"/>
  <c r="BH50" i="5"/>
  <c r="BH165" i="5" s="1"/>
  <c r="BG166" i="5"/>
  <c r="BG167" i="5"/>
  <c r="I34" i="2"/>
  <c r="L34" i="2" s="1"/>
  <c r="BK80" i="5"/>
  <c r="BK138" i="5" s="1"/>
  <c r="BK82" i="5"/>
  <c r="BK140" i="5" s="1"/>
  <c r="BQ84" i="5"/>
  <c r="BQ142" i="5" s="1"/>
  <c r="BV142" i="5" s="1"/>
  <c r="BW142" i="5" s="1"/>
  <c r="BQ86" i="5"/>
  <c r="BQ144" i="5" s="1"/>
  <c r="BP66" i="5"/>
  <c r="BP153" i="5" s="1"/>
  <c r="BG162" i="5"/>
  <c r="BP35" i="5"/>
  <c r="BP175" i="5" s="1"/>
  <c r="BN37" i="5"/>
  <c r="BN177" i="5" s="1"/>
  <c r="BK39" i="5"/>
  <c r="BK179" i="5" s="1"/>
  <c r="AK202" i="5"/>
  <c r="AM158" i="5"/>
  <c r="O53" i="5"/>
  <c r="O168" i="5" s="1"/>
  <c r="R61" i="5"/>
  <c r="S61" i="5" s="1"/>
  <c r="R59" i="5"/>
  <c r="BV130" i="5"/>
  <c r="BW130" i="5" s="1"/>
  <c r="R83" i="5"/>
  <c r="S83" i="5" s="1"/>
  <c r="T134" i="5"/>
  <c r="U134" i="5" s="1"/>
  <c r="AR202" i="5"/>
  <c r="AU52" i="5"/>
  <c r="AV52" i="5" s="1"/>
  <c r="BS201" i="5"/>
  <c r="AU131" i="5"/>
  <c r="AV131" i="5" s="1"/>
  <c r="Q200" i="5"/>
  <c r="BT66" i="5"/>
  <c r="BU66" i="5" s="1"/>
  <c r="I18" i="2"/>
  <c r="I36" i="2" s="1"/>
  <c r="AJ181" i="5"/>
  <c r="BK37" i="5"/>
  <c r="BK177" i="5" s="1"/>
  <c r="BG180" i="5"/>
  <c r="BH40" i="5"/>
  <c r="BH180" i="5" s="1"/>
  <c r="K18" i="5"/>
  <c r="R35" i="5"/>
  <c r="BT39" i="5"/>
  <c r="BU39" i="5" s="1"/>
  <c r="R47" i="5"/>
  <c r="S47" i="5" s="1"/>
  <c r="BT51" i="5"/>
  <c r="BU51" i="5" s="1"/>
  <c r="BT65" i="5"/>
  <c r="BU65" i="5" s="1"/>
  <c r="BT78" i="5"/>
  <c r="BU78" i="5" s="1"/>
  <c r="BT89" i="5"/>
  <c r="BU89" i="5" s="1"/>
  <c r="AS114" i="5"/>
  <c r="AT114" i="5" s="1"/>
  <c r="AS125" i="5"/>
  <c r="AT125" i="5" s="1"/>
  <c r="AS136" i="5"/>
  <c r="AT136" i="5" s="1"/>
  <c r="AS148" i="5"/>
  <c r="AT148" i="5" s="1"/>
  <c r="N83" i="5"/>
  <c r="N141" i="5" s="1"/>
  <c r="N137" i="5"/>
  <c r="N162" i="5"/>
  <c r="N55" i="5"/>
  <c r="N170" i="5" s="1"/>
  <c r="L138" i="5"/>
  <c r="L82" i="5"/>
  <c r="L140" i="5" s="1"/>
  <c r="AJ152" i="5"/>
  <c r="BK67" i="5"/>
  <c r="BK154" i="5" s="1"/>
  <c r="AP165" i="5"/>
  <c r="BQ52" i="5"/>
  <c r="BQ167" i="5" s="1"/>
  <c r="BV167" i="5" s="1"/>
  <c r="BW167" i="5" s="1"/>
  <c r="O177" i="5"/>
  <c r="O41" i="5"/>
  <c r="O181" i="5" s="1"/>
  <c r="T181" i="5" s="1"/>
  <c r="U181" i="5" s="1"/>
  <c r="BQ43" i="5"/>
  <c r="BQ183" i="5" s="1"/>
  <c r="BV183" i="5" s="1"/>
  <c r="BW183" i="5" s="1"/>
  <c r="L134" i="5"/>
  <c r="L86" i="5"/>
  <c r="L144" i="5" s="1"/>
  <c r="AM140" i="5"/>
  <c r="BN80" i="5"/>
  <c r="BN138" i="5" s="1"/>
  <c r="J12" i="5"/>
  <c r="BH64" i="5"/>
  <c r="BH151" i="5" s="1"/>
  <c r="AJ154" i="5"/>
  <c r="BK65" i="5"/>
  <c r="BK152" i="5" s="1"/>
  <c r="AP163" i="5"/>
  <c r="AU163" i="5" s="1"/>
  <c r="AV163" i="5" s="1"/>
  <c r="BQ54" i="5"/>
  <c r="BQ169" i="5" s="1"/>
  <c r="BV169" i="5" s="1"/>
  <c r="BW169" i="5" s="1"/>
  <c r="P68" i="5"/>
  <c r="P200" i="5" s="1"/>
  <c r="N12" i="1"/>
  <c r="J202" i="5"/>
  <c r="G200" i="5"/>
  <c r="AH200" i="5"/>
  <c r="AN201" i="5"/>
  <c r="BK76" i="5"/>
  <c r="BK134" i="5" s="1"/>
  <c r="BQ66" i="5"/>
  <c r="BQ153" i="5" s="1"/>
  <c r="BV153" i="5" s="1"/>
  <c r="BW153" i="5" s="1"/>
  <c r="BV139" i="5"/>
  <c r="BW139" i="5" s="1"/>
  <c r="AU140" i="5"/>
  <c r="AV140" i="5" s="1"/>
  <c r="AU64" i="5"/>
  <c r="AV64" i="5" s="1"/>
  <c r="T141" i="5"/>
  <c r="U141" i="5" s="1"/>
  <c r="T65" i="5"/>
  <c r="U65" i="5" s="1"/>
  <c r="AS126" i="5"/>
  <c r="AT126" i="5" s="1"/>
  <c r="BT98" i="5"/>
  <c r="BU98" i="5" s="1"/>
  <c r="R36" i="5"/>
  <c r="S36" i="5" s="1"/>
  <c r="H86" i="5"/>
  <c r="H144" i="5" s="1"/>
  <c r="F85" i="5"/>
  <c r="F143" i="5" s="1"/>
  <c r="F84" i="5"/>
  <c r="F142" i="5" s="1"/>
  <c r="AE205" i="5"/>
  <c r="I53" i="5"/>
  <c r="I168" i="5" s="1"/>
  <c r="I40" i="5"/>
  <c r="AE12" i="5"/>
  <c r="N28" i="1"/>
  <c r="AG200" i="5"/>
  <c r="AK201" i="5"/>
  <c r="AJ107" i="5"/>
  <c r="BK113" i="5" s="1"/>
  <c r="AJ114" i="5"/>
  <c r="BK106" i="5" s="1"/>
  <c r="K162" i="5"/>
  <c r="H163" i="5"/>
  <c r="J180" i="5"/>
  <c r="J201" i="5" s="1"/>
  <c r="BV71" i="5"/>
  <c r="BW71" i="5" s="1"/>
  <c r="AU151" i="5"/>
  <c r="AV151" i="5" s="1"/>
  <c r="AU76" i="5"/>
  <c r="AV76" i="5" s="1"/>
  <c r="T152" i="5"/>
  <c r="U152" i="5" s="1"/>
  <c r="T77" i="5"/>
  <c r="U77" i="5" s="1"/>
  <c r="R193" i="5"/>
  <c r="S193" i="5" s="1"/>
  <c r="R180" i="5"/>
  <c r="S180" i="5" s="1"/>
  <c r="R167" i="5"/>
  <c r="S167" i="5" s="1"/>
  <c r="R155" i="5"/>
  <c r="S155" i="5" s="1"/>
  <c r="AS85" i="5"/>
  <c r="AT85" i="5" s="1"/>
  <c r="R70" i="5"/>
  <c r="S70" i="5" s="1"/>
  <c r="BT52" i="5"/>
  <c r="BU52" i="5" s="1"/>
  <c r="K83" i="5"/>
  <c r="K141" i="5" s="1"/>
  <c r="K137" i="5"/>
  <c r="N86" i="5"/>
  <c r="N144" i="5" s="1"/>
  <c r="N134" i="5"/>
  <c r="AL179" i="5"/>
  <c r="BM39" i="5"/>
  <c r="BM179" i="5" s="1"/>
  <c r="BM43" i="5"/>
  <c r="BM183" i="5" s="1"/>
  <c r="AL175" i="5"/>
  <c r="N178" i="5"/>
  <c r="N40" i="5"/>
  <c r="N180" i="5" s="1"/>
  <c r="I177" i="5"/>
  <c r="I41" i="5"/>
  <c r="I181" i="5" s="1"/>
  <c r="I176" i="5"/>
  <c r="I42" i="5"/>
  <c r="I182" i="5" s="1"/>
  <c r="H175" i="5"/>
  <c r="H43" i="5"/>
  <c r="H183" i="5" s="1"/>
  <c r="I26" i="2"/>
  <c r="I30" i="2" s="1"/>
  <c r="I13" i="2"/>
  <c r="AJ142" i="5"/>
  <c r="BK78" i="5"/>
  <c r="BK136" i="5" s="1"/>
  <c r="AM134" i="5"/>
  <c r="BN86" i="5"/>
  <c r="BN144" i="5" s="1"/>
  <c r="AO155" i="5"/>
  <c r="BP64" i="5"/>
  <c r="AJ153" i="5"/>
  <c r="BK66" i="5"/>
  <c r="BK153" i="5" s="1"/>
  <c r="BN67" i="5"/>
  <c r="BN154" i="5" s="1"/>
  <c r="AM152" i="5"/>
  <c r="BO162" i="5"/>
  <c r="BR162" i="5" s="1"/>
  <c r="I149" i="5"/>
  <c r="I70" i="5"/>
  <c r="I157" i="5" s="1"/>
  <c r="I175" i="5"/>
  <c r="BQ63" i="5"/>
  <c r="BQ150" i="5" s="1"/>
  <c r="BV150" i="5" s="1"/>
  <c r="BW150" i="5" s="1"/>
  <c r="AP156" i="5"/>
  <c r="AU156" i="5" s="1"/>
  <c r="AV156" i="5" s="1"/>
  <c r="AJ150" i="5"/>
  <c r="BK69" i="5"/>
  <c r="BK156" i="5" s="1"/>
  <c r="AJ183" i="5"/>
  <c r="BK35" i="5"/>
  <c r="BQ178" i="5"/>
  <c r="BV178" i="5" s="1"/>
  <c r="BW178" i="5" s="1"/>
  <c r="AP177" i="5"/>
  <c r="BQ41" i="5"/>
  <c r="BQ181" i="5" s="1"/>
  <c r="AR200" i="5"/>
  <c r="P12" i="1"/>
  <c r="Q12" i="1" s="1"/>
  <c r="N69" i="5"/>
  <c r="N156" i="5" s="1"/>
  <c r="O28" i="1"/>
  <c r="P28" i="1" s="1"/>
  <c r="Q28" i="1" s="1"/>
  <c r="F41" i="5"/>
  <c r="F181" i="5" s="1"/>
  <c r="BR80" i="5"/>
  <c r="BR76" i="5"/>
  <c r="AF200" i="5"/>
  <c r="AP154" i="5"/>
  <c r="BV93" i="5"/>
  <c r="BW93" i="5" s="1"/>
  <c r="AU170" i="5"/>
  <c r="AV170" i="5" s="1"/>
  <c r="AU94" i="5"/>
  <c r="AV94" i="5" s="1"/>
  <c r="T175" i="5"/>
  <c r="U175" i="5" s="1"/>
  <c r="T95" i="5"/>
  <c r="U95" i="5" s="1"/>
  <c r="AS195" i="5"/>
  <c r="AT195" i="5" s="1"/>
  <c r="AS182" i="5"/>
  <c r="AT182" i="5" s="1"/>
  <c r="AS169" i="5"/>
  <c r="AT169" i="5" s="1"/>
  <c r="AS157" i="5"/>
  <c r="AT157" i="5" s="1"/>
  <c r="R143" i="5"/>
  <c r="S143" i="5" s="1"/>
  <c r="AS115" i="5"/>
  <c r="AT115" i="5" s="1"/>
  <c r="H84" i="5"/>
  <c r="H142" i="5" s="1"/>
  <c r="F83" i="5"/>
  <c r="F141" i="5" s="1"/>
  <c r="P13" i="1"/>
  <c r="Q13" i="1" s="1"/>
  <c r="F42" i="5"/>
  <c r="F182" i="5" s="1"/>
  <c r="CH35" i="5"/>
  <c r="AN202" i="5"/>
  <c r="BS200" i="5"/>
  <c r="AJ106" i="5"/>
  <c r="BK114" i="5" s="1"/>
  <c r="I10" i="2"/>
  <c r="I11" i="2" s="1"/>
  <c r="AQ134" i="5"/>
  <c r="AQ202" i="5" s="1"/>
  <c r="N135" i="5"/>
  <c r="AH202" i="5"/>
  <c r="BQ68" i="5"/>
  <c r="BQ155" i="5" s="1"/>
  <c r="AP175" i="5"/>
  <c r="AU175" i="5" s="1"/>
  <c r="AV175" i="5" s="1"/>
  <c r="BV170" i="5"/>
  <c r="BW170" i="5" s="1"/>
  <c r="BV94" i="5"/>
  <c r="BW94" i="5" s="1"/>
  <c r="AU95" i="5"/>
  <c r="AV95" i="5" s="1"/>
  <c r="T176" i="5"/>
  <c r="U176" i="5" s="1"/>
  <c r="T96" i="5"/>
  <c r="U96" i="5" s="1"/>
  <c r="R105" i="5"/>
  <c r="S105" i="5" s="1"/>
  <c r="BT90" i="5"/>
  <c r="BU90" i="5" s="1"/>
  <c r="BT40" i="5"/>
  <c r="BU40" i="5" s="1"/>
  <c r="AP144" i="5"/>
  <c r="AU144" i="5" s="1"/>
  <c r="AV144" i="5" s="1"/>
  <c r="BQ76" i="5"/>
  <c r="BQ134" i="5" s="1"/>
  <c r="BG140" i="5"/>
  <c r="BH82" i="5"/>
  <c r="BH140" i="5" s="1"/>
  <c r="BI164" i="5"/>
  <c r="BI202" i="5" s="1"/>
  <c r="BI200" i="5"/>
  <c r="BJ54" i="5"/>
  <c r="AI163" i="5"/>
  <c r="BM37" i="5"/>
  <c r="AL181" i="5"/>
  <c r="BG178" i="5"/>
  <c r="BH38" i="5"/>
  <c r="BH178" i="5" s="1"/>
  <c r="N163" i="5"/>
  <c r="N54" i="5"/>
  <c r="N169" i="5" s="1"/>
  <c r="M181" i="5"/>
  <c r="M201" i="5" s="1"/>
  <c r="AJ113" i="5"/>
  <c r="BK107" i="5" s="1"/>
  <c r="AJ109" i="5"/>
  <c r="BK111" i="5" s="1"/>
  <c r="AJ105" i="5"/>
  <c r="BK115" i="5" s="1"/>
  <c r="AJ134" i="5"/>
  <c r="BK86" i="5"/>
  <c r="BK144" i="5" s="1"/>
  <c r="AJ156" i="5"/>
  <c r="BK63" i="5"/>
  <c r="BK150" i="5" s="1"/>
  <c r="AJ151" i="5"/>
  <c r="BK68" i="5"/>
  <c r="BK155" i="5" s="1"/>
  <c r="BN70" i="5"/>
  <c r="BN157" i="5" s="1"/>
  <c r="AM149" i="5"/>
  <c r="BH71" i="5"/>
  <c r="BH158" i="5" s="1"/>
  <c r="BG158" i="5"/>
  <c r="BH48" i="5"/>
  <c r="BH163" i="5" s="1"/>
  <c r="BG163" i="5"/>
  <c r="BM48" i="5"/>
  <c r="BM163" i="5" s="1"/>
  <c r="AL169" i="5"/>
  <c r="AL166" i="5"/>
  <c r="BM51" i="5"/>
  <c r="BM166" i="5" s="1"/>
  <c r="BM52" i="5"/>
  <c r="BM167" i="5" s="1"/>
  <c r="AL165" i="5"/>
  <c r="AS37" i="5"/>
  <c r="AT37" i="5" s="1"/>
  <c r="BV51" i="5"/>
  <c r="BW51" i="5" s="1"/>
  <c r="I84" i="5"/>
  <c r="I142" i="5" s="1"/>
  <c r="Q202" i="5"/>
  <c r="AG201" i="5"/>
  <c r="BV181" i="5"/>
  <c r="BW181" i="5" s="1"/>
  <c r="BV101" i="5"/>
  <c r="BW101" i="5" s="1"/>
  <c r="AU182" i="5"/>
  <c r="AV182" i="5" s="1"/>
  <c r="AU104" i="5"/>
  <c r="AV104" i="5" s="1"/>
  <c r="T183" i="5"/>
  <c r="U183" i="5" s="1"/>
  <c r="T105" i="5"/>
  <c r="U105" i="5" s="1"/>
  <c r="AS149" i="5"/>
  <c r="AT149" i="5" s="1"/>
  <c r="BT120" i="5"/>
  <c r="BU120" i="5" s="1"/>
  <c r="F55" i="5"/>
  <c r="F170" i="5" s="1"/>
  <c r="N42" i="5"/>
  <c r="N182" i="5" s="1"/>
  <c r="P15" i="1"/>
  <c r="Q15" i="1" s="1"/>
  <c r="AF201" i="5"/>
  <c r="AR201" i="5"/>
  <c r="BI201" i="5"/>
  <c r="BS202" i="5"/>
  <c r="BN78" i="5"/>
  <c r="BN136" i="5" s="1"/>
  <c r="BH80" i="5"/>
  <c r="BH138" i="5" s="1"/>
  <c r="AI157" i="5"/>
  <c r="BV193" i="5"/>
  <c r="BW193" i="5" s="1"/>
  <c r="BV111" i="5"/>
  <c r="BW111" i="5" s="1"/>
  <c r="AU194" i="5"/>
  <c r="AV194" i="5" s="1"/>
  <c r="AU112" i="5"/>
  <c r="AV112" i="5" s="1"/>
  <c r="T195" i="5"/>
  <c r="U195" i="5" s="1"/>
  <c r="T113" i="5"/>
  <c r="U113" i="5" s="1"/>
  <c r="AS107" i="5"/>
  <c r="AT107" i="5" s="1"/>
  <c r="R94" i="5"/>
  <c r="S94" i="5" s="1"/>
  <c r="BT79" i="5"/>
  <c r="BU79" i="5" s="1"/>
  <c r="E180" i="5"/>
  <c r="E201" i="5" s="1"/>
  <c r="F40" i="5"/>
  <c r="F180" i="5" s="1"/>
  <c r="H178" i="5"/>
  <c r="H40" i="5"/>
  <c r="H180" i="5" s="1"/>
  <c r="N177" i="5"/>
  <c r="N41" i="5"/>
  <c r="N181" i="5" s="1"/>
  <c r="K134" i="5"/>
  <c r="K86" i="5"/>
  <c r="K144" i="5" s="1"/>
  <c r="I148" i="5"/>
  <c r="I71" i="5"/>
  <c r="I158" i="5" s="1"/>
  <c r="Q201" i="5"/>
  <c r="BG148" i="5"/>
  <c r="BH61" i="5"/>
  <c r="BH148" i="5" s="1"/>
  <c r="AO157" i="5"/>
  <c r="BP62" i="5"/>
  <c r="BP149" i="5" s="1"/>
  <c r="BL200" i="5"/>
  <c r="BL201" i="5"/>
  <c r="BQ40" i="5"/>
  <c r="BQ180" i="5" s="1"/>
  <c r="BV180" i="5" s="1"/>
  <c r="BW180" i="5" s="1"/>
  <c r="AP178" i="5"/>
  <c r="G201" i="5"/>
  <c r="N67" i="5"/>
  <c r="N154" i="5" s="1"/>
  <c r="F43" i="5"/>
  <c r="F183" i="5" s="1"/>
  <c r="I23" i="2"/>
  <c r="I37" i="2" s="1"/>
  <c r="H70" i="5"/>
  <c r="H157" i="5" s="1"/>
  <c r="D205" i="5"/>
  <c r="D208" i="5" s="1"/>
  <c r="D211" i="5" s="1"/>
  <c r="K43" i="5"/>
  <c r="P27" i="1"/>
  <c r="Q27" i="1" s="1"/>
  <c r="G202" i="5"/>
  <c r="AJ110" i="5"/>
  <c r="BK110" i="5" s="1"/>
  <c r="AJ116" i="5"/>
  <c r="BK104" i="5" s="1"/>
  <c r="BL202" i="5"/>
  <c r="BR82" i="5"/>
  <c r="BR53" i="5"/>
  <c r="BG153" i="5"/>
  <c r="N165" i="5"/>
  <c r="BV129" i="5"/>
  <c r="BW129" i="5" s="1"/>
  <c r="AU130" i="5"/>
  <c r="AV130" i="5" s="1"/>
  <c r="AU51" i="5"/>
  <c r="AV51" i="5" s="1"/>
  <c r="T131" i="5"/>
  <c r="U131" i="5" s="1"/>
  <c r="T52" i="5"/>
  <c r="U52" i="5" s="1"/>
  <c r="AS137" i="5"/>
  <c r="AT137" i="5" s="1"/>
  <c r="BT109" i="5"/>
  <c r="BU109" i="5" s="1"/>
  <c r="R48" i="5"/>
  <c r="S48" i="5" s="1"/>
  <c r="AO163" i="5"/>
  <c r="BP54" i="5"/>
  <c r="BP169" i="5" s="1"/>
  <c r="I69" i="5"/>
  <c r="I156" i="5" s="1"/>
  <c r="I67" i="5"/>
  <c r="I154" i="5" s="1"/>
  <c r="H53" i="5"/>
  <c r="H168" i="5" s="1"/>
  <c r="H52" i="5"/>
  <c r="H167" i="5" s="1"/>
  <c r="AP182" i="5"/>
  <c r="AP183" i="5"/>
  <c r="BV177" i="5"/>
  <c r="BV135" i="5"/>
  <c r="BW135" i="5" s="1"/>
  <c r="BV97" i="5"/>
  <c r="BW97" i="5" s="1"/>
  <c r="AU178" i="5"/>
  <c r="AV178" i="5" s="1"/>
  <c r="AU136" i="5"/>
  <c r="AV136" i="5" s="1"/>
  <c r="AU98" i="5"/>
  <c r="AV98" i="5" s="1"/>
  <c r="AU55" i="5"/>
  <c r="AV55" i="5" s="1"/>
  <c r="T179" i="5"/>
  <c r="U179" i="5" s="1"/>
  <c r="T137" i="5"/>
  <c r="U137" i="5" s="1"/>
  <c r="T99" i="5"/>
  <c r="U99" i="5" s="1"/>
  <c r="T61" i="5"/>
  <c r="U61" i="5" s="1"/>
  <c r="AS191" i="5"/>
  <c r="AT191" i="5" s="1"/>
  <c r="AS178" i="5"/>
  <c r="AT178" i="5" s="1"/>
  <c r="AS165" i="5"/>
  <c r="AT165" i="5" s="1"/>
  <c r="AS153" i="5"/>
  <c r="AT153" i="5" s="1"/>
  <c r="AS141" i="5"/>
  <c r="AT141" i="5" s="1"/>
  <c r="AS130" i="5"/>
  <c r="AT130" i="5" s="1"/>
  <c r="BT105" i="5"/>
  <c r="BU105" i="5" s="1"/>
  <c r="BT94" i="5"/>
  <c r="BU94" i="5" s="1"/>
  <c r="R90" i="5"/>
  <c r="S90" i="5" s="1"/>
  <c r="BT83" i="5"/>
  <c r="BU83" i="5" s="1"/>
  <c r="R79" i="5"/>
  <c r="S79" i="5" s="1"/>
  <c r="BT70" i="5"/>
  <c r="BU70" i="5" s="1"/>
  <c r="R66" i="5"/>
  <c r="S66" i="5" s="1"/>
  <c r="R52" i="5"/>
  <c r="S52" i="5" s="1"/>
  <c r="R40" i="5"/>
  <c r="S40" i="5" s="1"/>
  <c r="AL170" i="5"/>
  <c r="BM47" i="5"/>
  <c r="BM162" i="5" s="1"/>
  <c r="AO167" i="5"/>
  <c r="BP50" i="5"/>
  <c r="BP165" i="5" s="1"/>
  <c r="BN175" i="5"/>
  <c r="BQ39" i="5"/>
  <c r="AP179" i="5"/>
  <c r="AU179" i="5" s="1"/>
  <c r="AV179" i="5" s="1"/>
  <c r="BV194" i="5"/>
  <c r="BW194" i="5" s="1"/>
  <c r="BV151" i="5"/>
  <c r="BW151" i="5" s="1"/>
  <c r="BV112" i="5"/>
  <c r="BW112" i="5" s="1"/>
  <c r="BV76" i="5"/>
  <c r="AU195" i="5"/>
  <c r="AV195" i="5" s="1"/>
  <c r="AU152" i="5"/>
  <c r="AV152" i="5" s="1"/>
  <c r="AU113" i="5"/>
  <c r="AV113" i="5" s="1"/>
  <c r="AU77" i="5"/>
  <c r="AV77" i="5" s="1"/>
  <c r="T196" i="5"/>
  <c r="U196" i="5" s="1"/>
  <c r="T153" i="5"/>
  <c r="U153" i="5" s="1"/>
  <c r="T114" i="5"/>
  <c r="U114" i="5" s="1"/>
  <c r="T78" i="5"/>
  <c r="U78" i="5" s="1"/>
  <c r="BT188" i="5"/>
  <c r="BU188" i="5" s="1"/>
  <c r="BT175" i="5"/>
  <c r="BU175" i="5" s="1"/>
  <c r="BT150" i="5"/>
  <c r="BU150" i="5" s="1"/>
  <c r="BT138" i="5"/>
  <c r="BU138" i="5" s="1"/>
  <c r="R134" i="5"/>
  <c r="S134" i="5" s="1"/>
  <c r="BT127" i="5"/>
  <c r="BU127" i="5" s="1"/>
  <c r="R123" i="5"/>
  <c r="S123" i="5" s="1"/>
  <c r="BT116" i="5"/>
  <c r="BU116" i="5" s="1"/>
  <c r="R112" i="5"/>
  <c r="S112" i="5" s="1"/>
  <c r="R101" i="5"/>
  <c r="S101" i="5" s="1"/>
  <c r="AS76" i="5"/>
  <c r="AT76" i="5" s="1"/>
  <c r="AS63" i="5"/>
  <c r="AT63" i="5" s="1"/>
  <c r="AS49" i="5"/>
  <c r="AT49" i="5" s="1"/>
  <c r="R37" i="5"/>
  <c r="S37" i="5" s="1"/>
  <c r="AS39" i="5"/>
  <c r="AT39" i="5" s="1"/>
  <c r="BT41" i="5"/>
  <c r="BU41" i="5" s="1"/>
  <c r="R49" i="5"/>
  <c r="S49" i="5" s="1"/>
  <c r="AS51" i="5"/>
  <c r="AT51" i="5" s="1"/>
  <c r="BT53" i="5"/>
  <c r="R63" i="5"/>
  <c r="S63" i="5" s="1"/>
  <c r="AS65" i="5"/>
  <c r="AT65" i="5" s="1"/>
  <c r="BT67" i="5"/>
  <c r="BU67" i="5" s="1"/>
  <c r="R71" i="5"/>
  <c r="S71" i="5" s="1"/>
  <c r="R76" i="5"/>
  <c r="S76" i="5" s="1"/>
  <c r="AS78" i="5"/>
  <c r="AT78" i="5" s="1"/>
  <c r="BT80" i="5"/>
  <c r="R84" i="5"/>
  <c r="S84" i="5" s="1"/>
  <c r="AS86" i="5"/>
  <c r="AT86" i="5" s="1"/>
  <c r="AS89" i="5"/>
  <c r="AT89" i="5" s="1"/>
  <c r="BT91" i="5"/>
  <c r="BU91" i="5" s="1"/>
  <c r="R95" i="5"/>
  <c r="S95" i="5" s="1"/>
  <c r="AS97" i="5"/>
  <c r="AT97" i="5" s="1"/>
  <c r="BT99" i="5"/>
  <c r="BU99" i="5" s="1"/>
  <c r="R106" i="5"/>
  <c r="S106" i="5" s="1"/>
  <c r="AS108" i="5"/>
  <c r="AT108" i="5" s="1"/>
  <c r="BT110" i="5"/>
  <c r="BU110" i="5" s="1"/>
  <c r="R114" i="5"/>
  <c r="S114" i="5" s="1"/>
  <c r="AS116" i="5"/>
  <c r="AT116" i="5" s="1"/>
  <c r="AS119" i="5"/>
  <c r="AT119" i="5" s="1"/>
  <c r="BT121" i="5"/>
  <c r="BU121" i="5" s="1"/>
  <c r="R125" i="5"/>
  <c r="S125" i="5" s="1"/>
  <c r="AS127" i="5"/>
  <c r="AT127" i="5" s="1"/>
  <c r="BT129" i="5"/>
  <c r="BU129" i="5" s="1"/>
  <c r="R136" i="5"/>
  <c r="S136" i="5" s="1"/>
  <c r="AS138" i="5"/>
  <c r="AT138" i="5" s="1"/>
  <c r="BT140" i="5"/>
  <c r="BU140" i="5" s="1"/>
  <c r="R144" i="5"/>
  <c r="S144" i="5" s="1"/>
  <c r="R148" i="5"/>
  <c r="S148" i="5" s="1"/>
  <c r="AS150" i="5"/>
  <c r="AT150" i="5" s="1"/>
  <c r="BT152" i="5"/>
  <c r="BU152" i="5" s="1"/>
  <c r="R156" i="5"/>
  <c r="S156" i="5" s="1"/>
  <c r="AS158" i="5"/>
  <c r="AT158" i="5" s="1"/>
  <c r="AS162" i="5"/>
  <c r="AT162" i="5" s="1"/>
  <c r="BT164" i="5"/>
  <c r="BU164" i="5" s="1"/>
  <c r="R168" i="5"/>
  <c r="S168" i="5" s="1"/>
  <c r="AS170" i="5"/>
  <c r="AT170" i="5" s="1"/>
  <c r="AS175" i="5"/>
  <c r="AT175" i="5" s="1"/>
  <c r="AS183" i="5"/>
  <c r="AT183" i="5" s="1"/>
  <c r="AS188" i="5"/>
  <c r="AT188" i="5" s="1"/>
  <c r="BT190" i="5"/>
  <c r="BU190" i="5" s="1"/>
  <c r="R194" i="5"/>
  <c r="S194" i="5" s="1"/>
  <c r="AS196" i="5"/>
  <c r="AT196" i="5" s="1"/>
  <c r="T40" i="5"/>
  <c r="U40" i="5" s="1"/>
  <c r="T51" i="5"/>
  <c r="U51" i="5" s="1"/>
  <c r="T64" i="5"/>
  <c r="T76" i="5"/>
  <c r="U76" i="5" s="1"/>
  <c r="T84" i="5"/>
  <c r="U84" i="5" s="1"/>
  <c r="T94" i="5"/>
  <c r="U94" i="5" s="1"/>
  <c r="T104" i="5"/>
  <c r="U104" i="5" s="1"/>
  <c r="T112" i="5"/>
  <c r="U112" i="5" s="1"/>
  <c r="T122" i="5"/>
  <c r="U122" i="5" s="1"/>
  <c r="T130" i="5"/>
  <c r="U130" i="5" s="1"/>
  <c r="T140" i="5"/>
  <c r="U140" i="5" s="1"/>
  <c r="T151" i="5"/>
  <c r="U151" i="5" s="1"/>
  <c r="T162" i="5"/>
  <c r="U162" i="5" s="1"/>
  <c r="T170" i="5"/>
  <c r="U170" i="5" s="1"/>
  <c r="T182" i="5"/>
  <c r="U182" i="5" s="1"/>
  <c r="T194" i="5"/>
  <c r="U194" i="5" s="1"/>
  <c r="AU39" i="5"/>
  <c r="AV39" i="5" s="1"/>
  <c r="AU50" i="5"/>
  <c r="AV50" i="5" s="1"/>
  <c r="AU63" i="5"/>
  <c r="AV63" i="5" s="1"/>
  <c r="AU71" i="5"/>
  <c r="AV71" i="5" s="1"/>
  <c r="AU83" i="5"/>
  <c r="AV83" i="5" s="1"/>
  <c r="AU93" i="5"/>
  <c r="AV93" i="5" s="1"/>
  <c r="AU101" i="5"/>
  <c r="AV101" i="5" s="1"/>
  <c r="AU111" i="5"/>
  <c r="AV111" i="5" s="1"/>
  <c r="AU121" i="5"/>
  <c r="AV121" i="5" s="1"/>
  <c r="AU129" i="5"/>
  <c r="AV129" i="5" s="1"/>
  <c r="AU139" i="5"/>
  <c r="AV139" i="5" s="1"/>
  <c r="AU150" i="5"/>
  <c r="AV150" i="5" s="1"/>
  <c r="AU158" i="5"/>
  <c r="AV158" i="5" s="1"/>
  <c r="AU169" i="5"/>
  <c r="AV169" i="5" s="1"/>
  <c r="AU181" i="5"/>
  <c r="AV181" i="5" s="1"/>
  <c r="AU193" i="5"/>
  <c r="AV193" i="5" s="1"/>
  <c r="BV38" i="5"/>
  <c r="BW38" i="5" s="1"/>
  <c r="BV49" i="5"/>
  <c r="BV62" i="5"/>
  <c r="BW62" i="5" s="1"/>
  <c r="BV70" i="5"/>
  <c r="BW70" i="5" s="1"/>
  <c r="BV82" i="5"/>
  <c r="BV92" i="5"/>
  <c r="BW92" i="5" s="1"/>
  <c r="BV100" i="5"/>
  <c r="BW100" i="5" s="1"/>
  <c r="BV110" i="5"/>
  <c r="BW110" i="5" s="1"/>
  <c r="BV120" i="5"/>
  <c r="BW120" i="5" s="1"/>
  <c r="BV128" i="5"/>
  <c r="BW128" i="5" s="1"/>
  <c r="BV149" i="5"/>
  <c r="BW149" i="5" s="1"/>
  <c r="BV157" i="5"/>
  <c r="BW157" i="5" s="1"/>
  <c r="BV168" i="5"/>
  <c r="BW168" i="5" s="1"/>
  <c r="BV192" i="5"/>
  <c r="BW192" i="5" s="1"/>
  <c r="R38" i="5"/>
  <c r="S38" i="5" s="1"/>
  <c r="AS40" i="5"/>
  <c r="AT40" i="5" s="1"/>
  <c r="BT42" i="5"/>
  <c r="BU42" i="5" s="1"/>
  <c r="R50" i="5"/>
  <c r="S50" i="5" s="1"/>
  <c r="AS52" i="5"/>
  <c r="AT52" i="5" s="1"/>
  <c r="BT54" i="5"/>
  <c r="BU54" i="5" s="1"/>
  <c r="R64" i="5"/>
  <c r="AS66" i="5"/>
  <c r="AT66" i="5" s="1"/>
  <c r="BT68" i="5"/>
  <c r="BU68" i="5" s="1"/>
  <c r="R77" i="5"/>
  <c r="S77" i="5" s="1"/>
  <c r="AS79" i="5"/>
  <c r="AT79" i="5" s="1"/>
  <c r="BT81" i="5"/>
  <c r="BU81" i="5" s="1"/>
  <c r="R85" i="5"/>
  <c r="S85" i="5" s="1"/>
  <c r="AS90" i="5"/>
  <c r="AT90" i="5" s="1"/>
  <c r="BT92" i="5"/>
  <c r="BU92" i="5" s="1"/>
  <c r="R96" i="5"/>
  <c r="S96" i="5" s="1"/>
  <c r="AS98" i="5"/>
  <c r="AT98" i="5" s="1"/>
  <c r="BT100" i="5"/>
  <c r="BU100" i="5" s="1"/>
  <c r="R107" i="5"/>
  <c r="S107" i="5" s="1"/>
  <c r="AS109" i="5"/>
  <c r="AT109" i="5" s="1"/>
  <c r="BT111" i="5"/>
  <c r="BU111" i="5" s="1"/>
  <c r="R115" i="5"/>
  <c r="S115" i="5" s="1"/>
  <c r="AS120" i="5"/>
  <c r="AT120" i="5" s="1"/>
  <c r="BT122" i="5"/>
  <c r="BU122" i="5" s="1"/>
  <c r="R126" i="5"/>
  <c r="S126" i="5" s="1"/>
  <c r="AS128" i="5"/>
  <c r="AT128" i="5" s="1"/>
  <c r="BT130" i="5"/>
  <c r="BU130" i="5" s="1"/>
  <c r="R137" i="5"/>
  <c r="S137" i="5" s="1"/>
  <c r="AS139" i="5"/>
  <c r="AT139" i="5" s="1"/>
  <c r="BT141" i="5"/>
  <c r="BU141" i="5" s="1"/>
  <c r="R149" i="5"/>
  <c r="S149" i="5" s="1"/>
  <c r="AS151" i="5"/>
  <c r="AT151" i="5" s="1"/>
  <c r="BT153" i="5"/>
  <c r="BU153" i="5" s="1"/>
  <c r="R157" i="5"/>
  <c r="S157" i="5" s="1"/>
  <c r="AS163" i="5"/>
  <c r="AT163" i="5" s="1"/>
  <c r="BT165" i="5"/>
  <c r="BU165" i="5" s="1"/>
  <c r="R169" i="5"/>
  <c r="S169" i="5" s="1"/>
  <c r="AS176" i="5"/>
  <c r="AT176" i="5" s="1"/>
  <c r="BT178" i="5"/>
  <c r="BU178" i="5" s="1"/>
  <c r="R182" i="5"/>
  <c r="S182" i="5" s="1"/>
  <c r="AS189" i="5"/>
  <c r="AT189" i="5" s="1"/>
  <c r="BT191" i="5"/>
  <c r="BU191" i="5" s="1"/>
  <c r="R195" i="5"/>
  <c r="S195" i="5" s="1"/>
  <c r="T39" i="5"/>
  <c r="U39" i="5" s="1"/>
  <c r="T50" i="5"/>
  <c r="U50" i="5" s="1"/>
  <c r="T63" i="5"/>
  <c r="U63" i="5" s="1"/>
  <c r="T71" i="5"/>
  <c r="U71" i="5" s="1"/>
  <c r="T83" i="5"/>
  <c r="U83" i="5" s="1"/>
  <c r="T93" i="5"/>
  <c r="U93" i="5" s="1"/>
  <c r="T101" i="5"/>
  <c r="U101" i="5" s="1"/>
  <c r="T111" i="5"/>
  <c r="U111" i="5" s="1"/>
  <c r="T121" i="5"/>
  <c r="U121" i="5" s="1"/>
  <c r="T129" i="5"/>
  <c r="U129" i="5" s="1"/>
  <c r="T139" i="5"/>
  <c r="U139" i="5" s="1"/>
  <c r="T150" i="5"/>
  <c r="U150" i="5" s="1"/>
  <c r="T158" i="5"/>
  <c r="U158" i="5" s="1"/>
  <c r="T169" i="5"/>
  <c r="U169" i="5" s="1"/>
  <c r="T193" i="5"/>
  <c r="U193" i="5" s="1"/>
  <c r="AU38" i="5"/>
  <c r="AV38" i="5" s="1"/>
  <c r="AU49" i="5"/>
  <c r="AV49" i="5" s="1"/>
  <c r="AU62" i="5"/>
  <c r="AV62" i="5" s="1"/>
  <c r="AU70" i="5"/>
  <c r="AV70" i="5" s="1"/>
  <c r="AU82" i="5"/>
  <c r="AV82" i="5" s="1"/>
  <c r="AU92" i="5"/>
  <c r="AV92" i="5" s="1"/>
  <c r="AU100" i="5"/>
  <c r="AV100" i="5" s="1"/>
  <c r="AU110" i="5"/>
  <c r="AV110" i="5" s="1"/>
  <c r="AU120" i="5"/>
  <c r="AV120" i="5" s="1"/>
  <c r="AU128" i="5"/>
  <c r="AV128" i="5" s="1"/>
  <c r="AU138" i="5"/>
  <c r="AV138" i="5" s="1"/>
  <c r="AU149" i="5"/>
  <c r="AV149" i="5" s="1"/>
  <c r="AU157" i="5"/>
  <c r="AV157" i="5" s="1"/>
  <c r="AU180" i="5"/>
  <c r="AV180" i="5" s="1"/>
  <c r="AU192" i="5"/>
  <c r="AV192" i="5" s="1"/>
  <c r="BV37" i="5"/>
  <c r="BV48" i="5"/>
  <c r="BW48" i="5" s="1"/>
  <c r="BV61" i="5"/>
  <c r="BV69" i="5"/>
  <c r="BW69" i="5" s="1"/>
  <c r="BV81" i="5"/>
  <c r="BW81" i="5" s="1"/>
  <c r="BV91" i="5"/>
  <c r="BW91" i="5" s="1"/>
  <c r="BV99" i="5"/>
  <c r="BW99" i="5" s="1"/>
  <c r="BV109" i="5"/>
  <c r="BW109" i="5" s="1"/>
  <c r="BV119" i="5"/>
  <c r="BW119" i="5" s="1"/>
  <c r="BV127" i="5"/>
  <c r="BW127" i="5" s="1"/>
  <c r="BV137" i="5"/>
  <c r="BW137" i="5" s="1"/>
  <c r="BV148" i="5"/>
  <c r="BV156" i="5"/>
  <c r="BW156" i="5" s="1"/>
  <c r="BV191" i="5"/>
  <c r="BW191" i="5" s="1"/>
  <c r="BT35" i="5"/>
  <c r="R39" i="5"/>
  <c r="S39" i="5" s="1"/>
  <c r="AS41" i="5"/>
  <c r="AT41" i="5" s="1"/>
  <c r="BT43" i="5"/>
  <c r="BU43" i="5" s="1"/>
  <c r="BT47" i="5"/>
  <c r="BU47" i="5" s="1"/>
  <c r="R51" i="5"/>
  <c r="S51" i="5" s="1"/>
  <c r="AS53" i="5"/>
  <c r="AT53" i="5" s="1"/>
  <c r="BT55" i="5"/>
  <c r="BU55" i="5" s="1"/>
  <c r="BT61" i="5"/>
  <c r="R65" i="5"/>
  <c r="S65" i="5" s="1"/>
  <c r="AS67" i="5"/>
  <c r="AT67" i="5" s="1"/>
  <c r="BT69" i="5"/>
  <c r="BU69" i="5" s="1"/>
  <c r="R78" i="5"/>
  <c r="S78" i="5" s="1"/>
  <c r="AS80" i="5"/>
  <c r="AT80" i="5" s="1"/>
  <c r="BT82" i="5"/>
  <c r="R86" i="5"/>
  <c r="S86" i="5" s="1"/>
  <c r="R89" i="5"/>
  <c r="S89" i="5" s="1"/>
  <c r="AS91" i="5"/>
  <c r="AT91" i="5" s="1"/>
  <c r="BT93" i="5"/>
  <c r="BU93" i="5" s="1"/>
  <c r="R97" i="5"/>
  <c r="S97" i="5" s="1"/>
  <c r="AS99" i="5"/>
  <c r="AT99" i="5" s="1"/>
  <c r="BT101" i="5"/>
  <c r="BU101" i="5" s="1"/>
  <c r="BT104" i="5"/>
  <c r="BU104" i="5" s="1"/>
  <c r="R108" i="5"/>
  <c r="S108" i="5" s="1"/>
  <c r="AS110" i="5"/>
  <c r="AT110" i="5" s="1"/>
  <c r="BT112" i="5"/>
  <c r="BU112" i="5" s="1"/>
  <c r="R116" i="5"/>
  <c r="S116" i="5" s="1"/>
  <c r="R119" i="5"/>
  <c r="S119" i="5" s="1"/>
  <c r="AS121" i="5"/>
  <c r="AT121" i="5" s="1"/>
  <c r="BT123" i="5"/>
  <c r="BU123" i="5" s="1"/>
  <c r="R127" i="5"/>
  <c r="S127" i="5" s="1"/>
  <c r="AS129" i="5"/>
  <c r="AT129" i="5" s="1"/>
  <c r="BT131" i="5"/>
  <c r="BU131" i="5" s="1"/>
  <c r="BT134" i="5"/>
  <c r="BU134" i="5" s="1"/>
  <c r="R138" i="5"/>
  <c r="S138" i="5" s="1"/>
  <c r="AS140" i="5"/>
  <c r="AT140" i="5" s="1"/>
  <c r="R150" i="5"/>
  <c r="S150" i="5" s="1"/>
  <c r="AS152" i="5"/>
  <c r="AT152" i="5" s="1"/>
  <c r="BT154" i="5"/>
  <c r="BU154" i="5" s="1"/>
  <c r="R158" i="5"/>
  <c r="S158" i="5" s="1"/>
  <c r="R162" i="5"/>
  <c r="S162" i="5" s="1"/>
  <c r="AS164" i="5"/>
  <c r="AT164" i="5" s="1"/>
  <c r="BT166" i="5"/>
  <c r="BU166" i="5" s="1"/>
  <c r="R170" i="5"/>
  <c r="S170" i="5" s="1"/>
  <c r="R175" i="5"/>
  <c r="S175" i="5" s="1"/>
  <c r="AS177" i="5"/>
  <c r="AT177" i="5" s="1"/>
  <c r="BT179" i="5"/>
  <c r="BU179" i="5" s="1"/>
  <c r="R183" i="5"/>
  <c r="S183" i="5" s="1"/>
  <c r="R188" i="5"/>
  <c r="S188" i="5" s="1"/>
  <c r="AS190" i="5"/>
  <c r="AT190" i="5" s="1"/>
  <c r="BT192" i="5"/>
  <c r="BU192" i="5" s="1"/>
  <c r="R196" i="5"/>
  <c r="S196" i="5" s="1"/>
  <c r="T38" i="5"/>
  <c r="U38" i="5" s="1"/>
  <c r="T49" i="5"/>
  <c r="U49" i="5" s="1"/>
  <c r="T62" i="5"/>
  <c r="U62" i="5" s="1"/>
  <c r="T70" i="5"/>
  <c r="U70" i="5" s="1"/>
  <c r="T82" i="5"/>
  <c r="U82" i="5" s="1"/>
  <c r="T92" i="5"/>
  <c r="U92" i="5" s="1"/>
  <c r="T100" i="5"/>
  <c r="U100" i="5" s="1"/>
  <c r="T110" i="5"/>
  <c r="U110" i="5" s="1"/>
  <c r="T120" i="5"/>
  <c r="U120" i="5" s="1"/>
  <c r="T128" i="5"/>
  <c r="U128" i="5" s="1"/>
  <c r="T138" i="5"/>
  <c r="U138" i="5" s="1"/>
  <c r="T149" i="5"/>
  <c r="U149" i="5" s="1"/>
  <c r="T157" i="5"/>
  <c r="U157" i="5" s="1"/>
  <c r="T168" i="5"/>
  <c r="U168" i="5" s="1"/>
  <c r="T180" i="5"/>
  <c r="U180" i="5" s="1"/>
  <c r="T192" i="5"/>
  <c r="U192" i="5" s="1"/>
  <c r="AU37" i="5"/>
  <c r="AV37" i="5" s="1"/>
  <c r="AU48" i="5"/>
  <c r="AV48" i="5" s="1"/>
  <c r="AU61" i="5"/>
  <c r="AV61" i="5" s="1"/>
  <c r="AU69" i="5"/>
  <c r="AV69" i="5" s="1"/>
  <c r="AU81" i="5"/>
  <c r="AV81" i="5" s="1"/>
  <c r="AU91" i="5"/>
  <c r="AV91" i="5" s="1"/>
  <c r="AU99" i="5"/>
  <c r="AV99" i="5" s="1"/>
  <c r="AU109" i="5"/>
  <c r="AV109" i="5" s="1"/>
  <c r="AU119" i="5"/>
  <c r="AV119" i="5" s="1"/>
  <c r="AU127" i="5"/>
  <c r="AV127" i="5" s="1"/>
  <c r="AU137" i="5"/>
  <c r="AV137" i="5" s="1"/>
  <c r="AU148" i="5"/>
  <c r="AV148" i="5" s="1"/>
  <c r="AU167" i="5"/>
  <c r="AV167" i="5" s="1"/>
  <c r="AU191" i="5"/>
  <c r="AV191" i="5" s="1"/>
  <c r="BV36" i="5"/>
  <c r="BW36" i="5" s="1"/>
  <c r="BV47" i="5"/>
  <c r="BW47" i="5" s="1"/>
  <c r="BV55" i="5"/>
  <c r="BW55" i="5" s="1"/>
  <c r="BV68" i="5"/>
  <c r="BW68" i="5" s="1"/>
  <c r="BV90" i="5"/>
  <c r="BW90" i="5" s="1"/>
  <c r="BV98" i="5"/>
  <c r="BW98" i="5" s="1"/>
  <c r="BV108" i="5"/>
  <c r="BW108" i="5" s="1"/>
  <c r="BV116" i="5"/>
  <c r="BW116" i="5" s="1"/>
  <c r="BV126" i="5"/>
  <c r="BW126" i="5" s="1"/>
  <c r="BV136" i="5"/>
  <c r="BW136" i="5" s="1"/>
  <c r="BV144" i="5"/>
  <c r="BW144" i="5" s="1"/>
  <c r="BV155" i="5"/>
  <c r="BW155" i="5" s="1"/>
  <c r="BV166" i="5"/>
  <c r="BW166" i="5" s="1"/>
  <c r="BV190" i="5"/>
  <c r="BW190" i="5" s="1"/>
  <c r="AS36" i="5"/>
  <c r="AT36" i="5" s="1"/>
  <c r="BT38" i="5"/>
  <c r="BU38" i="5" s="1"/>
  <c r="R42" i="5"/>
  <c r="S42" i="5" s="1"/>
  <c r="AS48" i="5"/>
  <c r="AT48" i="5" s="1"/>
  <c r="BT50" i="5"/>
  <c r="BU50" i="5" s="1"/>
  <c r="R54" i="5"/>
  <c r="S54" i="5" s="1"/>
  <c r="AS62" i="5"/>
  <c r="AT62" i="5" s="1"/>
  <c r="BT64" i="5"/>
  <c r="BU64" i="5" s="1"/>
  <c r="R68" i="5"/>
  <c r="AS70" i="5"/>
  <c r="AT70" i="5" s="1"/>
  <c r="BT77" i="5"/>
  <c r="BU77" i="5" s="1"/>
  <c r="R81" i="5"/>
  <c r="S81" i="5" s="1"/>
  <c r="AS83" i="5"/>
  <c r="AT83" i="5" s="1"/>
  <c r="BT85" i="5"/>
  <c r="BU85" i="5" s="1"/>
  <c r="R92" i="5"/>
  <c r="S92" i="5" s="1"/>
  <c r="AS94" i="5"/>
  <c r="AT94" i="5" s="1"/>
  <c r="BT96" i="5"/>
  <c r="BU96" i="5" s="1"/>
  <c r="R100" i="5"/>
  <c r="S100" i="5" s="1"/>
  <c r="AS105" i="5"/>
  <c r="AT105" i="5" s="1"/>
  <c r="BT107" i="5"/>
  <c r="BU107" i="5" s="1"/>
  <c r="R111" i="5"/>
  <c r="S111" i="5" s="1"/>
  <c r="AS113" i="5"/>
  <c r="AT113" i="5" s="1"/>
  <c r="BT115" i="5"/>
  <c r="BU115" i="5" s="1"/>
  <c r="R122" i="5"/>
  <c r="S122" i="5" s="1"/>
  <c r="AS124" i="5"/>
  <c r="AT124" i="5" s="1"/>
  <c r="BT126" i="5"/>
  <c r="BU126" i="5" s="1"/>
  <c r="R130" i="5"/>
  <c r="S130" i="5" s="1"/>
  <c r="AS135" i="5"/>
  <c r="AT135" i="5" s="1"/>
  <c r="BT137" i="5"/>
  <c r="BU137" i="5" s="1"/>
  <c r="R141" i="5"/>
  <c r="S141" i="5" s="1"/>
  <c r="AS143" i="5"/>
  <c r="AT143" i="5" s="1"/>
  <c r="BT149" i="5"/>
  <c r="BU149" i="5" s="1"/>
  <c r="R153" i="5"/>
  <c r="S153" i="5" s="1"/>
  <c r="AS155" i="5"/>
  <c r="AT155" i="5" s="1"/>
  <c r="BT157" i="5"/>
  <c r="BU157" i="5" s="1"/>
  <c r="R165" i="5"/>
  <c r="S165" i="5" s="1"/>
  <c r="AS167" i="5"/>
  <c r="AT167" i="5" s="1"/>
  <c r="BT169" i="5"/>
  <c r="BU169" i="5" s="1"/>
  <c r="R178" i="5"/>
  <c r="S178" i="5" s="1"/>
  <c r="AS180" i="5"/>
  <c r="AT180" i="5" s="1"/>
  <c r="BT182" i="5"/>
  <c r="BU182" i="5" s="1"/>
  <c r="R191" i="5"/>
  <c r="S191" i="5" s="1"/>
  <c r="AS193" i="5"/>
  <c r="AT193" i="5" s="1"/>
  <c r="BT195" i="5"/>
  <c r="BU195" i="5" s="1"/>
  <c r="T35" i="5"/>
  <c r="T43" i="5"/>
  <c r="U43" i="5" s="1"/>
  <c r="T54" i="5"/>
  <c r="U54" i="5" s="1"/>
  <c r="T67" i="5"/>
  <c r="U67" i="5" s="1"/>
  <c r="T79" i="5"/>
  <c r="U79" i="5" s="1"/>
  <c r="T89" i="5"/>
  <c r="U89" i="5" s="1"/>
  <c r="T97" i="5"/>
  <c r="U97" i="5" s="1"/>
  <c r="T107" i="5"/>
  <c r="U107" i="5" s="1"/>
  <c r="T115" i="5"/>
  <c r="U115" i="5" s="1"/>
  <c r="T125" i="5"/>
  <c r="U125" i="5" s="1"/>
  <c r="T135" i="5"/>
  <c r="U135" i="5" s="1"/>
  <c r="T143" i="5"/>
  <c r="U143" i="5" s="1"/>
  <c r="T154" i="5"/>
  <c r="U154" i="5" s="1"/>
  <c r="T165" i="5"/>
  <c r="U165" i="5" s="1"/>
  <c r="T177" i="5"/>
  <c r="U177" i="5" s="1"/>
  <c r="T189" i="5"/>
  <c r="U189" i="5" s="1"/>
  <c r="AU42" i="5"/>
  <c r="AV42" i="5" s="1"/>
  <c r="AU53" i="5"/>
  <c r="AV53" i="5" s="1"/>
  <c r="AU66" i="5"/>
  <c r="AV66" i="5" s="1"/>
  <c r="AU78" i="5"/>
  <c r="AV78" i="5" s="1"/>
  <c r="AU86" i="5"/>
  <c r="AV86" i="5" s="1"/>
  <c r="AU96" i="5"/>
  <c r="AV96" i="5" s="1"/>
  <c r="AU106" i="5"/>
  <c r="AV106" i="5" s="1"/>
  <c r="AU114" i="5"/>
  <c r="AV114" i="5" s="1"/>
  <c r="AU124" i="5"/>
  <c r="AV124" i="5" s="1"/>
  <c r="AU134" i="5"/>
  <c r="AU142" i="5"/>
  <c r="AV142" i="5" s="1"/>
  <c r="AU153" i="5"/>
  <c r="AV153" i="5" s="1"/>
  <c r="AU164" i="5"/>
  <c r="AV164" i="5" s="1"/>
  <c r="AU188" i="5"/>
  <c r="AV188" i="5" s="1"/>
  <c r="AU196" i="5"/>
  <c r="AV196" i="5" s="1"/>
  <c r="BV65" i="5"/>
  <c r="BW65" i="5" s="1"/>
  <c r="BV77" i="5"/>
  <c r="BW77" i="5" s="1"/>
  <c r="BV85" i="5"/>
  <c r="BW85" i="5" s="1"/>
  <c r="BV95" i="5"/>
  <c r="BW95" i="5" s="1"/>
  <c r="BV105" i="5"/>
  <c r="BW105" i="5" s="1"/>
  <c r="BV113" i="5"/>
  <c r="BW113" i="5" s="1"/>
  <c r="BV123" i="5"/>
  <c r="BW123" i="5" s="1"/>
  <c r="BV131" i="5"/>
  <c r="BW131" i="5" s="1"/>
  <c r="BV141" i="5"/>
  <c r="BW141" i="5" s="1"/>
  <c r="BV152" i="5"/>
  <c r="BW152" i="5" s="1"/>
  <c r="BV163" i="5"/>
  <c r="BV175" i="5"/>
  <c r="BW175" i="5" s="1"/>
  <c r="BV195" i="5"/>
  <c r="BW195" i="5" s="1"/>
  <c r="BT36" i="5"/>
  <c r="BU36" i="5" s="1"/>
  <c r="BT48" i="5"/>
  <c r="BU48" i="5" s="1"/>
  <c r="BT62" i="5"/>
  <c r="BU62" i="5" s="1"/>
  <c r="R98" i="5"/>
  <c r="S98" i="5" s="1"/>
  <c r="AS100" i="5"/>
  <c r="AT100" i="5" s="1"/>
  <c r="R109" i="5"/>
  <c r="S109" i="5" s="1"/>
  <c r="AS111" i="5"/>
  <c r="AT111" i="5" s="1"/>
  <c r="BT113" i="5"/>
  <c r="BU113" i="5" s="1"/>
  <c r="R120" i="5"/>
  <c r="S120" i="5" s="1"/>
  <c r="AS122" i="5"/>
  <c r="AT122" i="5" s="1"/>
  <c r="BT124" i="5"/>
  <c r="BU124" i="5" s="1"/>
  <c r="BT135" i="5"/>
  <c r="BU135" i="5" s="1"/>
  <c r="T48" i="5"/>
  <c r="U48" i="5" s="1"/>
  <c r="T69" i="5"/>
  <c r="U69" i="5" s="1"/>
  <c r="T91" i="5"/>
  <c r="U91" i="5" s="1"/>
  <c r="T109" i="5"/>
  <c r="U109" i="5" s="1"/>
  <c r="T127" i="5"/>
  <c r="U127" i="5" s="1"/>
  <c r="T148" i="5"/>
  <c r="U148" i="5" s="1"/>
  <c r="T167" i="5"/>
  <c r="U167" i="5" s="1"/>
  <c r="T191" i="5"/>
  <c r="U191" i="5" s="1"/>
  <c r="AU47" i="5"/>
  <c r="AV47" i="5" s="1"/>
  <c r="AU68" i="5"/>
  <c r="AV68" i="5" s="1"/>
  <c r="AU90" i="5"/>
  <c r="AV90" i="5" s="1"/>
  <c r="AU108" i="5"/>
  <c r="AV108" i="5" s="1"/>
  <c r="AU126" i="5"/>
  <c r="AV126" i="5" s="1"/>
  <c r="AU166" i="5"/>
  <c r="AV166" i="5" s="1"/>
  <c r="AU190" i="5"/>
  <c r="AV190" i="5" s="1"/>
  <c r="BV43" i="5"/>
  <c r="BW43" i="5" s="1"/>
  <c r="BV67" i="5"/>
  <c r="BW67" i="5" s="1"/>
  <c r="BV89" i="5"/>
  <c r="BW89" i="5" s="1"/>
  <c r="BV107" i="5"/>
  <c r="BW107" i="5" s="1"/>
  <c r="BV125" i="5"/>
  <c r="BW125" i="5" s="1"/>
  <c r="BV143" i="5"/>
  <c r="BW143" i="5" s="1"/>
  <c r="BV189" i="5"/>
  <c r="BW189" i="5" s="1"/>
  <c r="R41" i="5"/>
  <c r="S41" i="5" s="1"/>
  <c r="AS43" i="5"/>
  <c r="AT43" i="5" s="1"/>
  <c r="R53" i="5"/>
  <c r="S53" i="5" s="1"/>
  <c r="AS55" i="5"/>
  <c r="AT55" i="5" s="1"/>
  <c r="R67" i="5"/>
  <c r="S67" i="5" s="1"/>
  <c r="AS69" i="5"/>
  <c r="AT69" i="5" s="1"/>
  <c r="BT71" i="5"/>
  <c r="BU71" i="5" s="1"/>
  <c r="R80" i="5"/>
  <c r="S80" i="5" s="1"/>
  <c r="AS82" i="5"/>
  <c r="AT82" i="5" s="1"/>
  <c r="BT84" i="5"/>
  <c r="R91" i="5"/>
  <c r="S91" i="5" s="1"/>
  <c r="AS93" i="5"/>
  <c r="AT93" i="5" s="1"/>
  <c r="BT95" i="5"/>
  <c r="BU95" i="5" s="1"/>
  <c r="AS104" i="5"/>
  <c r="AT104" i="5" s="1"/>
  <c r="BT106" i="5"/>
  <c r="BU106" i="5" s="1"/>
  <c r="R129" i="5"/>
  <c r="S129" i="5" s="1"/>
  <c r="AS131" i="5"/>
  <c r="AT131" i="5" s="1"/>
  <c r="R140" i="5"/>
  <c r="S140" i="5" s="1"/>
  <c r="AS142" i="5"/>
  <c r="AT142" i="5" s="1"/>
  <c r="BT144" i="5"/>
  <c r="BU144" i="5" s="1"/>
  <c r="R152" i="5"/>
  <c r="S152" i="5" s="1"/>
  <c r="AS154" i="5"/>
  <c r="AT154" i="5" s="1"/>
  <c r="BT156" i="5"/>
  <c r="BU156" i="5" s="1"/>
  <c r="R164" i="5"/>
  <c r="S164" i="5" s="1"/>
  <c r="AS166" i="5"/>
  <c r="AT166" i="5" s="1"/>
  <c r="BT168" i="5"/>
  <c r="BU168" i="5" s="1"/>
  <c r="R177" i="5"/>
  <c r="S177" i="5" s="1"/>
  <c r="AS179" i="5"/>
  <c r="AT179" i="5" s="1"/>
  <c r="BT181" i="5"/>
  <c r="BU181" i="5" s="1"/>
  <c r="R190" i="5"/>
  <c r="S190" i="5" s="1"/>
  <c r="AS192" i="5"/>
  <c r="AT192" i="5" s="1"/>
  <c r="BT194" i="5"/>
  <c r="BU194" i="5" s="1"/>
  <c r="T47" i="5"/>
  <c r="U47" i="5" s="1"/>
  <c r="T68" i="5"/>
  <c r="T90" i="5"/>
  <c r="U90" i="5" s="1"/>
  <c r="T108" i="5"/>
  <c r="U108" i="5" s="1"/>
  <c r="T126" i="5"/>
  <c r="U126" i="5" s="1"/>
  <c r="T144" i="5"/>
  <c r="U144" i="5" s="1"/>
  <c r="T166" i="5"/>
  <c r="U166" i="5" s="1"/>
  <c r="T190" i="5"/>
  <c r="U190" i="5" s="1"/>
  <c r="AU43" i="5"/>
  <c r="AV43" i="5" s="1"/>
  <c r="AU67" i="5"/>
  <c r="AV67" i="5" s="1"/>
  <c r="AU89" i="5"/>
  <c r="AV89" i="5" s="1"/>
  <c r="AU107" i="5"/>
  <c r="AV107" i="5" s="1"/>
  <c r="AU125" i="5"/>
  <c r="AV125" i="5" s="1"/>
  <c r="AU143" i="5"/>
  <c r="AV143" i="5" s="1"/>
  <c r="AU165" i="5"/>
  <c r="AV165" i="5" s="1"/>
  <c r="AU189" i="5"/>
  <c r="AV189" i="5" s="1"/>
  <c r="BV86" i="5"/>
  <c r="BW86" i="5" s="1"/>
  <c r="BV106" i="5"/>
  <c r="BW106" i="5" s="1"/>
  <c r="BV124" i="5"/>
  <c r="BW124" i="5" s="1"/>
  <c r="BV164" i="5"/>
  <c r="BW164" i="5" s="1"/>
  <c r="BV188" i="5"/>
  <c r="BW188" i="5" s="1"/>
  <c r="R43" i="5"/>
  <c r="S43" i="5" s="1"/>
  <c r="R55" i="5"/>
  <c r="S55" i="5" s="1"/>
  <c r="R69" i="5"/>
  <c r="S69" i="5" s="1"/>
  <c r="AS71" i="5"/>
  <c r="AT71" i="5" s="1"/>
  <c r="R82" i="5"/>
  <c r="S82" i="5" s="1"/>
  <c r="AS84" i="5"/>
  <c r="AT84" i="5" s="1"/>
  <c r="BT86" i="5"/>
  <c r="BU86" i="5" s="1"/>
  <c r="R93" i="5"/>
  <c r="S93" i="5" s="1"/>
  <c r="AS95" i="5"/>
  <c r="AT95" i="5" s="1"/>
  <c r="BT97" i="5"/>
  <c r="BU97" i="5" s="1"/>
  <c r="R104" i="5"/>
  <c r="S104" i="5" s="1"/>
  <c r="AS106" i="5"/>
  <c r="AT106" i="5" s="1"/>
  <c r="BT108" i="5"/>
  <c r="BU108" i="5" s="1"/>
  <c r="BT119" i="5"/>
  <c r="BU119" i="5" s="1"/>
  <c r="R131" i="5"/>
  <c r="S131" i="5" s="1"/>
  <c r="R142" i="5"/>
  <c r="S142" i="5" s="1"/>
  <c r="AS144" i="5"/>
  <c r="AT144" i="5" s="1"/>
  <c r="R154" i="5"/>
  <c r="S154" i="5" s="1"/>
  <c r="AS156" i="5"/>
  <c r="AT156" i="5" s="1"/>
  <c r="BT158" i="5"/>
  <c r="BU158" i="5" s="1"/>
  <c r="R166" i="5"/>
  <c r="S166" i="5" s="1"/>
  <c r="AS168" i="5"/>
  <c r="AT168" i="5" s="1"/>
  <c r="BT170" i="5"/>
  <c r="BU170" i="5" s="1"/>
  <c r="R179" i="5"/>
  <c r="S179" i="5" s="1"/>
  <c r="AS181" i="5"/>
  <c r="AT181" i="5" s="1"/>
  <c r="BT183" i="5"/>
  <c r="BU183" i="5" s="1"/>
  <c r="R192" i="5"/>
  <c r="S192" i="5" s="1"/>
  <c r="AS194" i="5"/>
  <c r="AT194" i="5" s="1"/>
  <c r="BT196" i="5"/>
  <c r="BU196" i="5" s="1"/>
  <c r="T42" i="5"/>
  <c r="U42" i="5" s="1"/>
  <c r="T66" i="5"/>
  <c r="U66" i="5" s="1"/>
  <c r="T86" i="5"/>
  <c r="U86" i="5" s="1"/>
  <c r="T106" i="5"/>
  <c r="U106" i="5" s="1"/>
  <c r="T124" i="5"/>
  <c r="U124" i="5" s="1"/>
  <c r="T142" i="5"/>
  <c r="U142" i="5" s="1"/>
  <c r="T164" i="5"/>
  <c r="U164" i="5" s="1"/>
  <c r="T188" i="5"/>
  <c r="U188" i="5" s="1"/>
  <c r="AU41" i="5"/>
  <c r="AV41" i="5" s="1"/>
  <c r="AU65" i="5"/>
  <c r="AV65" i="5" s="1"/>
  <c r="AU85" i="5"/>
  <c r="AV85" i="5" s="1"/>
  <c r="AU105" i="5"/>
  <c r="AV105" i="5" s="1"/>
  <c r="AU123" i="5"/>
  <c r="AV123" i="5" s="1"/>
  <c r="AU141" i="5"/>
  <c r="AV141" i="5" s="1"/>
  <c r="AU183" i="5"/>
  <c r="AV183" i="5" s="1"/>
  <c r="BV64" i="5"/>
  <c r="BW64" i="5" s="1"/>
  <c r="BV104" i="5"/>
  <c r="BW104" i="5" s="1"/>
  <c r="BV122" i="5"/>
  <c r="BW122" i="5" s="1"/>
  <c r="BV140" i="5"/>
  <c r="BW140" i="5" s="1"/>
  <c r="BV162" i="5"/>
  <c r="AS35" i="5"/>
  <c r="BT37" i="5"/>
  <c r="BU37" i="5" s="1"/>
  <c r="AS47" i="5"/>
  <c r="AT47" i="5" s="1"/>
  <c r="BT49" i="5"/>
  <c r="AS61" i="5"/>
  <c r="AT61" i="5" s="1"/>
  <c r="BT63" i="5"/>
  <c r="BU63" i="5" s="1"/>
  <c r="BT76" i="5"/>
  <c r="R99" i="5"/>
  <c r="S99" i="5" s="1"/>
  <c r="AS101" i="5"/>
  <c r="AT101" i="5" s="1"/>
  <c r="R110" i="5"/>
  <c r="S110" i="5" s="1"/>
  <c r="AS112" i="5"/>
  <c r="AT112" i="5" s="1"/>
  <c r="BT114" i="5"/>
  <c r="BU114" i="5" s="1"/>
  <c r="R121" i="5"/>
  <c r="S121" i="5" s="1"/>
  <c r="AS123" i="5"/>
  <c r="AT123" i="5" s="1"/>
  <c r="BT125" i="5"/>
  <c r="BU125" i="5" s="1"/>
  <c r="AS134" i="5"/>
  <c r="BT136" i="5"/>
  <c r="BU136" i="5" s="1"/>
  <c r="BT148" i="5"/>
  <c r="BU148" i="5" s="1"/>
  <c r="T36" i="5"/>
  <c r="U36" i="5" s="1"/>
  <c r="T55" i="5"/>
  <c r="U55" i="5" s="1"/>
  <c r="T80" i="5"/>
  <c r="U80" i="5" s="1"/>
  <c r="T98" i="5"/>
  <c r="U98" i="5" s="1"/>
  <c r="T116" i="5"/>
  <c r="U116" i="5" s="1"/>
  <c r="T136" i="5"/>
  <c r="U136" i="5" s="1"/>
  <c r="T155" i="5"/>
  <c r="U155" i="5" s="1"/>
  <c r="T178" i="5"/>
  <c r="U178" i="5" s="1"/>
  <c r="AU35" i="5"/>
  <c r="AU54" i="5"/>
  <c r="AV54" i="5" s="1"/>
  <c r="AU79" i="5"/>
  <c r="AV79" i="5" s="1"/>
  <c r="AU97" i="5"/>
  <c r="AV97" i="5" s="1"/>
  <c r="AU115" i="5"/>
  <c r="AV115" i="5" s="1"/>
  <c r="AU135" i="5"/>
  <c r="AV135" i="5" s="1"/>
  <c r="AU154" i="5"/>
  <c r="AV154" i="5" s="1"/>
  <c r="AU177" i="5"/>
  <c r="AV177" i="5" s="1"/>
  <c r="BV53" i="5"/>
  <c r="BW53" i="5" s="1"/>
  <c r="BV78" i="5"/>
  <c r="BW78" i="5" s="1"/>
  <c r="BV96" i="5"/>
  <c r="BW96" i="5" s="1"/>
  <c r="BV114" i="5"/>
  <c r="BW114" i="5" s="1"/>
  <c r="BV134" i="5"/>
  <c r="BW134" i="5" s="1"/>
  <c r="BV176" i="5"/>
  <c r="BW176" i="5" s="1"/>
  <c r="BV196" i="5"/>
  <c r="BW196" i="5" s="1"/>
  <c r="AJ158" i="5"/>
  <c r="BK61" i="5"/>
  <c r="BK148" i="5" s="1"/>
  <c r="BG150" i="5"/>
  <c r="BH63" i="5"/>
  <c r="BH150" i="5" s="1"/>
  <c r="BG152" i="5"/>
  <c r="BH65" i="5"/>
  <c r="BH152" i="5" s="1"/>
  <c r="BK70" i="5"/>
  <c r="BK157" i="5" s="1"/>
  <c r="AJ149" i="5"/>
  <c r="AO168" i="5"/>
  <c r="BP49" i="5"/>
  <c r="BP164" i="5" s="1"/>
  <c r="AM165" i="5"/>
  <c r="BN52" i="5"/>
  <c r="AL162" i="5"/>
  <c r="BM55" i="5"/>
  <c r="BM170" i="5" s="1"/>
  <c r="BG176" i="5"/>
  <c r="BH36" i="5"/>
  <c r="BQ42" i="5"/>
  <c r="BQ182" i="5" s="1"/>
  <c r="BV182" i="5" s="1"/>
  <c r="BW182" i="5" s="1"/>
  <c r="AP176" i="5"/>
  <c r="AU176" i="5" s="1"/>
  <c r="AV176" i="5" s="1"/>
  <c r="BV154" i="5"/>
  <c r="BW154" i="5" s="1"/>
  <c r="BV115" i="5"/>
  <c r="BW115" i="5" s="1"/>
  <c r="BV79" i="5"/>
  <c r="BW79" i="5" s="1"/>
  <c r="BV35" i="5"/>
  <c r="AU155" i="5"/>
  <c r="AV155" i="5" s="1"/>
  <c r="AU116" i="5"/>
  <c r="AV116" i="5" s="1"/>
  <c r="AU80" i="5"/>
  <c r="AV80" i="5" s="1"/>
  <c r="AU36" i="5"/>
  <c r="AV36" i="5" s="1"/>
  <c r="T156" i="5"/>
  <c r="U156" i="5" s="1"/>
  <c r="T119" i="5"/>
  <c r="U119" i="5" s="1"/>
  <c r="T81" i="5"/>
  <c r="U81" i="5" s="1"/>
  <c r="T37" i="5"/>
  <c r="U37" i="5" s="1"/>
  <c r="BT193" i="5"/>
  <c r="BU193" i="5" s="1"/>
  <c r="R189" i="5"/>
  <c r="S189" i="5" s="1"/>
  <c r="BT180" i="5"/>
  <c r="BU180" i="5" s="1"/>
  <c r="R176" i="5"/>
  <c r="S176" i="5" s="1"/>
  <c r="BT167" i="5"/>
  <c r="BU167" i="5" s="1"/>
  <c r="R163" i="5"/>
  <c r="S163" i="5" s="1"/>
  <c r="BT155" i="5"/>
  <c r="BU155" i="5" s="1"/>
  <c r="R151" i="5"/>
  <c r="S151" i="5" s="1"/>
  <c r="BT143" i="5"/>
  <c r="BU143" i="5" s="1"/>
  <c r="R139" i="5"/>
  <c r="S139" i="5" s="1"/>
  <c r="R128" i="5"/>
  <c r="S128" i="5" s="1"/>
  <c r="AS92" i="5"/>
  <c r="AT92" i="5" s="1"/>
  <c r="AS81" i="5"/>
  <c r="AT81" i="5" s="1"/>
  <c r="AS68" i="5"/>
  <c r="AT68" i="5" s="1"/>
  <c r="AS54" i="5"/>
  <c r="AT54" i="5" s="1"/>
  <c r="AS42" i="5"/>
  <c r="AT42" i="5" s="1"/>
  <c r="BG154" i="5"/>
  <c r="BH67" i="5"/>
  <c r="BH154" i="5" s="1"/>
  <c r="BG156" i="5"/>
  <c r="BH69" i="5"/>
  <c r="BH156" i="5" s="1"/>
  <c r="L178" i="5"/>
  <c r="L40" i="5"/>
  <c r="BG182" i="5"/>
  <c r="BH42" i="5"/>
  <c r="BH182" i="5" s="1"/>
  <c r="BH76" i="5"/>
  <c r="BH134" i="5" s="1"/>
  <c r="BQ80" i="5"/>
  <c r="BQ138" i="5" s="1"/>
  <c r="BV138" i="5" s="1"/>
  <c r="BW138" i="5" s="1"/>
  <c r="BH86" i="5"/>
  <c r="BH144" i="5" s="1"/>
  <c r="AI153" i="5"/>
  <c r="AI202" i="5" s="1"/>
  <c r="BN66" i="5"/>
  <c r="BN153" i="5" s="1"/>
  <c r="BN68" i="5"/>
  <c r="BN155" i="5" s="1"/>
  <c r="BK43" i="5"/>
  <c r="BK183" i="5" s="1"/>
  <c r="BV158" i="5"/>
  <c r="BW158" i="5" s="1"/>
  <c r="BV121" i="5"/>
  <c r="BW121" i="5" s="1"/>
  <c r="BV83" i="5"/>
  <c r="BW83" i="5" s="1"/>
  <c r="AU162" i="5"/>
  <c r="AV162" i="5" s="1"/>
  <c r="AU122" i="5"/>
  <c r="AV122" i="5" s="1"/>
  <c r="AU84" i="5"/>
  <c r="AV84" i="5" s="1"/>
  <c r="AU40" i="5"/>
  <c r="AV40" i="5" s="1"/>
  <c r="T123" i="5"/>
  <c r="U123" i="5" s="1"/>
  <c r="T85" i="5"/>
  <c r="U85" i="5" s="1"/>
  <c r="BT189" i="5"/>
  <c r="BU189" i="5" s="1"/>
  <c r="BT176" i="5"/>
  <c r="BU176" i="5" s="1"/>
  <c r="BT163" i="5"/>
  <c r="BU163" i="5" s="1"/>
  <c r="BT151" i="5"/>
  <c r="BU151" i="5" s="1"/>
  <c r="BT139" i="5"/>
  <c r="BU139" i="5" s="1"/>
  <c r="R135" i="5"/>
  <c r="S135" i="5" s="1"/>
  <c r="BT128" i="5"/>
  <c r="BU128" i="5" s="1"/>
  <c r="R124" i="5"/>
  <c r="S124" i="5" s="1"/>
  <c r="R113" i="5"/>
  <c r="S113" i="5" s="1"/>
  <c r="AS77" i="5"/>
  <c r="AT77" i="5" s="1"/>
  <c r="AS64" i="5"/>
  <c r="AT64" i="5" s="1"/>
  <c r="AS50" i="5"/>
  <c r="AT50" i="5" s="1"/>
  <c r="AS38" i="5"/>
  <c r="AT38" i="5" s="1"/>
  <c r="AO169" i="5"/>
  <c r="BP48" i="5"/>
  <c r="L53" i="5"/>
  <c r="L168" i="5" s="1"/>
  <c r="AJ182" i="5"/>
  <c r="BK36" i="5"/>
  <c r="BK176" i="5" s="1"/>
  <c r="AJ180" i="5"/>
  <c r="BK38" i="5"/>
  <c r="BK178" i="5" s="1"/>
  <c r="AJ178" i="5"/>
  <c r="BK40" i="5"/>
  <c r="BK180" i="5" s="1"/>
  <c r="AJ176" i="5"/>
  <c r="BK42" i="5"/>
  <c r="BK182" i="5" s="1"/>
  <c r="AO165" i="5"/>
  <c r="BP52" i="5"/>
  <c r="BP167" i="5" s="1"/>
  <c r="BQ50" i="5"/>
  <c r="BQ165" i="5" s="1"/>
  <c r="BV165" i="5" s="1"/>
  <c r="BW165" i="5" s="1"/>
  <c r="BK47" i="5"/>
  <c r="BK162" i="5" s="1"/>
  <c r="BK49" i="5"/>
  <c r="BK164" i="5" s="1"/>
  <c r="AV134" i="5" l="1"/>
  <c r="BU80" i="5"/>
  <c r="F13" i="10" s="1"/>
  <c r="BU49" i="5"/>
  <c r="BR200" i="5"/>
  <c r="J200" i="5"/>
  <c r="AT134" i="5"/>
  <c r="J9" i="10" s="1"/>
  <c r="BU61" i="5"/>
  <c r="H13" i="10"/>
  <c r="AI201" i="5"/>
  <c r="BT142" i="5"/>
  <c r="BU142" i="5" s="1"/>
  <c r="J17" i="10" s="1"/>
  <c r="BW148" i="5"/>
  <c r="BW177" i="5"/>
  <c r="F200" i="5"/>
  <c r="AO200" i="5"/>
  <c r="BK151" i="5"/>
  <c r="J13" i="5"/>
  <c r="BV84" i="5"/>
  <c r="BW84" i="5" s="1"/>
  <c r="BV52" i="5"/>
  <c r="BW52" i="5" s="1"/>
  <c r="AM202" i="5"/>
  <c r="AJ201" i="5"/>
  <c r="BV40" i="5"/>
  <c r="BW40" i="5" s="1"/>
  <c r="AL201" i="5"/>
  <c r="BW61" i="5"/>
  <c r="AQ201" i="5"/>
  <c r="AJ202" i="5"/>
  <c r="BV66" i="5"/>
  <c r="BW66" i="5" s="1"/>
  <c r="BU84" i="5"/>
  <c r="F17" i="10" s="1"/>
  <c r="BW163" i="5"/>
  <c r="BT177" i="5"/>
  <c r="BU177" i="5" s="1"/>
  <c r="M12" i="10" s="1"/>
  <c r="BG200" i="5"/>
  <c r="AP202" i="5"/>
  <c r="AM200" i="5"/>
  <c r="AP200" i="5"/>
  <c r="BV42" i="5"/>
  <c r="BW42" i="5" s="1"/>
  <c r="BW37" i="5"/>
  <c r="BW49" i="5"/>
  <c r="AL200" i="5"/>
  <c r="H200" i="5"/>
  <c r="T53" i="5"/>
  <c r="U53" i="5" s="1"/>
  <c r="N10" i="10"/>
  <c r="I33" i="2"/>
  <c r="H8" i="10"/>
  <c r="E17" i="10"/>
  <c r="I11" i="10"/>
  <c r="G12" i="10"/>
  <c r="L12" i="10"/>
  <c r="H15" i="10"/>
  <c r="K19" i="10"/>
  <c r="K18" i="10"/>
  <c r="K9" i="10"/>
  <c r="E13" i="10"/>
  <c r="G18" i="10"/>
  <c r="C11" i="10"/>
  <c r="G10" i="10"/>
  <c r="F18" i="10"/>
  <c r="J15" i="10"/>
  <c r="M13" i="10"/>
  <c r="J13" i="10"/>
  <c r="H20" i="10"/>
  <c r="G20" i="10"/>
  <c r="F11" i="10"/>
  <c r="H9" i="10"/>
  <c r="L17" i="10"/>
  <c r="H17" i="10"/>
  <c r="I19" i="10"/>
  <c r="I17" i="10"/>
  <c r="I20" i="10"/>
  <c r="L13" i="10"/>
  <c r="F14" i="10"/>
  <c r="H12" i="10"/>
  <c r="I15" i="10"/>
  <c r="C13" i="10"/>
  <c r="L16" i="10"/>
  <c r="J19" i="10"/>
  <c r="G14" i="10"/>
  <c r="I12" i="10"/>
  <c r="G9" i="10"/>
  <c r="E19" i="10"/>
  <c r="I18" i="10"/>
  <c r="G17" i="10"/>
  <c r="M18" i="10"/>
  <c r="G8" i="10"/>
  <c r="F10" i="10"/>
  <c r="F16" i="10"/>
  <c r="I10" i="10"/>
  <c r="C18" i="10"/>
  <c r="C16" i="10"/>
  <c r="J16" i="10"/>
  <c r="D17" i="10"/>
  <c r="C14" i="10"/>
  <c r="N17" i="10"/>
  <c r="H11" i="10"/>
  <c r="I14" i="10"/>
  <c r="D12" i="10"/>
  <c r="H16" i="10"/>
  <c r="F12" i="10"/>
  <c r="N15" i="10"/>
  <c r="L11" i="10"/>
  <c r="D18" i="10"/>
  <c r="H10" i="10"/>
  <c r="K17" i="10"/>
  <c r="E10" i="10"/>
  <c r="K12" i="10"/>
  <c r="K14" i="10"/>
  <c r="N18" i="10"/>
  <c r="L18" i="10"/>
  <c r="H19" i="10"/>
  <c r="J11" i="10"/>
  <c r="E11" i="10"/>
  <c r="D15" i="10"/>
  <c r="K16" i="10"/>
  <c r="E9" i="10"/>
  <c r="J12" i="10"/>
  <c r="M15" i="10"/>
  <c r="D10" i="10"/>
  <c r="J10" i="10"/>
  <c r="G16" i="10"/>
  <c r="E14" i="10"/>
  <c r="D11" i="10"/>
  <c r="G13" i="10"/>
  <c r="L15" i="10"/>
  <c r="I13" i="10"/>
  <c r="L14" i="10"/>
  <c r="K13" i="10"/>
  <c r="E15" i="10"/>
  <c r="I9" i="10"/>
  <c r="N13" i="10"/>
  <c r="G19" i="10"/>
  <c r="M10" i="10"/>
  <c r="K11" i="10"/>
  <c r="D14" i="10"/>
  <c r="K10" i="10"/>
  <c r="H18" i="10"/>
  <c r="C15" i="10"/>
  <c r="J18" i="10"/>
  <c r="F19" i="10"/>
  <c r="M11" i="10"/>
  <c r="M14" i="10"/>
  <c r="K15" i="10"/>
  <c r="G11" i="10"/>
  <c r="D13" i="10"/>
  <c r="N14" i="10"/>
  <c r="I8" i="10"/>
  <c r="J14" i="10"/>
  <c r="N11" i="10"/>
  <c r="H14" i="10"/>
  <c r="N12" i="10"/>
  <c r="C17" i="10"/>
  <c r="I16" i="10"/>
  <c r="M17" i="10"/>
  <c r="G15" i="10"/>
  <c r="N16" i="10"/>
  <c r="C12" i="10"/>
  <c r="E18" i="10"/>
  <c r="AS201" i="5" a="1"/>
  <c r="AS201" i="5" s="1"/>
  <c r="AT35" i="5"/>
  <c r="AS200" i="5" a="1"/>
  <c r="AS200" i="5" s="1"/>
  <c r="AS202" i="5" a="1"/>
  <c r="AS202" i="5" s="1"/>
  <c r="L180" i="5"/>
  <c r="L200" i="5" s="1"/>
  <c r="BH176" i="5"/>
  <c r="BH201" i="5" s="1"/>
  <c r="S64" i="5"/>
  <c r="E12" i="10" s="1"/>
  <c r="J18" i="5"/>
  <c r="BM177" i="5"/>
  <c r="BM201" i="5" s="1"/>
  <c r="S35" i="5"/>
  <c r="AU201" i="5" a="1"/>
  <c r="AU201" i="5" s="1"/>
  <c r="AU202" i="5" a="1"/>
  <c r="AU202" i="5" s="1"/>
  <c r="AU200" i="5" a="1"/>
  <c r="AU200" i="5" s="1"/>
  <c r="AV35" i="5"/>
  <c r="BW76" i="5"/>
  <c r="M202" i="5"/>
  <c r="AO202" i="5"/>
  <c r="BO201" i="5"/>
  <c r="H201" i="5"/>
  <c r="BV63" i="5"/>
  <c r="BW63" i="5" s="1"/>
  <c r="E202" i="5"/>
  <c r="BR201" i="5"/>
  <c r="AP201" i="5"/>
  <c r="P201" i="5"/>
  <c r="E200" i="5"/>
  <c r="AO201" i="5"/>
  <c r="H202" i="5"/>
  <c r="BR202" i="5"/>
  <c r="BK175" i="5"/>
  <c r="BN167" i="5"/>
  <c r="BN200" i="5" s="1"/>
  <c r="N14" i="5"/>
  <c r="S12" i="7" s="1"/>
  <c r="U64" i="5"/>
  <c r="S68" i="5"/>
  <c r="E16" i="10" s="1"/>
  <c r="BT162" i="5"/>
  <c r="BU162" i="5" s="1"/>
  <c r="L10" i="10" s="1"/>
  <c r="BO200" i="5"/>
  <c r="O202" i="5"/>
  <c r="R181" i="5"/>
  <c r="S181" i="5" s="1"/>
  <c r="M16" i="10" s="1"/>
  <c r="BU53" i="5"/>
  <c r="D16" i="10" s="1"/>
  <c r="AL202" i="5"/>
  <c r="O200" i="5"/>
  <c r="BG201" i="5"/>
  <c r="BO202" i="5"/>
  <c r="N201" i="5"/>
  <c r="AM201" i="5"/>
  <c r="I12" i="2"/>
  <c r="I32" i="2" s="1"/>
  <c r="BG202" i="5"/>
  <c r="I180" i="5"/>
  <c r="I201" i="5" s="1"/>
  <c r="BW35" i="5"/>
  <c r="BP151" i="5"/>
  <c r="J16" i="5"/>
  <c r="C22" i="2" s="1"/>
  <c r="I22" i="2" s="1"/>
  <c r="BJ169" i="5"/>
  <c r="BJ201" i="5" s="1"/>
  <c r="BP163" i="5"/>
  <c r="BU35" i="5"/>
  <c r="K183" i="5"/>
  <c r="K200" i="5" s="1"/>
  <c r="O201" i="5"/>
  <c r="AJ200" i="5"/>
  <c r="BU76" i="5"/>
  <c r="F9" i="10" s="1"/>
  <c r="BW162" i="5"/>
  <c r="BV54" i="5"/>
  <c r="BW54" i="5" s="1"/>
  <c r="P202" i="5"/>
  <c r="BV50" i="5"/>
  <c r="BW50" i="5" s="1"/>
  <c r="AI200" i="5"/>
  <c r="N200" i="5"/>
  <c r="N202" i="5"/>
  <c r="AQ200" i="5"/>
  <c r="BQ179" i="5"/>
  <c r="BQ200" i="5" s="1"/>
  <c r="U35" i="5"/>
  <c r="BN202" i="5"/>
  <c r="U68" i="5"/>
  <c r="BU82" i="5"/>
  <c r="F15" i="10" s="1"/>
  <c r="T41" i="5"/>
  <c r="U41" i="5" s="1"/>
  <c r="BV39" i="5"/>
  <c r="BW39" i="5" s="1"/>
  <c r="M200" i="5"/>
  <c r="BV41" i="5"/>
  <c r="BW41" i="5" s="1"/>
  <c r="BV80" i="5"/>
  <c r="BW80" i="5" s="1"/>
  <c r="BW82" i="5"/>
  <c r="F201" i="5"/>
  <c r="F202" i="5"/>
  <c r="I200" i="5"/>
  <c r="K202" i="5"/>
  <c r="BP200" i="5" l="1"/>
  <c r="J17" i="5"/>
  <c r="BK201" i="5"/>
  <c r="L201" i="5"/>
  <c r="I202" i="5"/>
  <c r="M16" i="5"/>
  <c r="R13" i="7" s="1"/>
  <c r="C19" i="2"/>
  <c r="I19" i="2" s="1"/>
  <c r="BH200" i="5"/>
  <c r="BP201" i="5"/>
  <c r="BK200" i="5"/>
  <c r="BH202" i="5"/>
  <c r="E24" i="7"/>
  <c r="M34" i="2"/>
  <c r="BT202" i="5" a="1"/>
  <c r="BT202" i="5" s="1"/>
  <c r="L26" i="10"/>
  <c r="L27" i="10" s="1"/>
  <c r="L22" i="10"/>
  <c r="L24" i="10" s="1"/>
  <c r="I22" i="10"/>
  <c r="I24" i="10" s="1"/>
  <c r="I26" i="10"/>
  <c r="I27" i="10" s="1"/>
  <c r="M22" i="10"/>
  <c r="M24" i="10" s="1"/>
  <c r="M26" i="10"/>
  <c r="M27" i="10" s="1"/>
  <c r="G22" i="10"/>
  <c r="G24" i="10" s="1"/>
  <c r="G26" i="10"/>
  <c r="G27" i="10" s="1"/>
  <c r="BT200" i="5" a="1"/>
  <c r="BT200" i="5" s="1"/>
  <c r="K22" i="10"/>
  <c r="K24" i="10" s="1"/>
  <c r="C10" i="10"/>
  <c r="E26" i="10"/>
  <c r="E27" i="10" s="1"/>
  <c r="E22" i="10"/>
  <c r="E24" i="10" s="1"/>
  <c r="K26" i="10"/>
  <c r="K27" i="10" s="1"/>
  <c r="N26" i="10"/>
  <c r="N27" i="10" s="1"/>
  <c r="D26" i="10"/>
  <c r="D27" i="10" s="1"/>
  <c r="D22" i="10"/>
  <c r="D24" i="10" s="1"/>
  <c r="H26" i="10"/>
  <c r="H27" i="10" s="1"/>
  <c r="F26" i="10"/>
  <c r="F27" i="10" s="1"/>
  <c r="F22" i="10"/>
  <c r="F24" i="10" s="1"/>
  <c r="J26" i="10"/>
  <c r="J27" i="10" s="1"/>
  <c r="J22" i="10"/>
  <c r="J24" i="10" s="1"/>
  <c r="H22" i="10"/>
  <c r="H24" i="10" s="1"/>
  <c r="N22" i="10"/>
  <c r="N24" i="10" s="1"/>
  <c r="BT201" i="5" a="1"/>
  <c r="BT201" i="5" s="1"/>
  <c r="R201" i="5" a="1"/>
  <c r="R201" i="5" s="1"/>
  <c r="T200" i="5" a="1"/>
  <c r="T200" i="5" s="1"/>
  <c r="R202" i="5" a="1"/>
  <c r="R202" i="5" s="1"/>
  <c r="BP202" i="5"/>
  <c r="BK202" i="5"/>
  <c r="R200" i="5" a="1"/>
  <c r="R200" i="5" s="1"/>
  <c r="L202" i="5"/>
  <c r="J19" i="5"/>
  <c r="C39" i="2"/>
  <c r="I39" i="2" s="1"/>
  <c r="BQ201" i="5"/>
  <c r="BM200" i="5"/>
  <c r="K201" i="5"/>
  <c r="BM202" i="5"/>
  <c r="U201" i="5" a="1"/>
  <c r="U201" i="5" s="1"/>
  <c r="U202" i="5" a="1"/>
  <c r="U202" i="5" s="1"/>
  <c r="U200" i="5" a="1"/>
  <c r="U200" i="5" s="1"/>
  <c r="AV200" i="5" a="1"/>
  <c r="AV200" i="5" s="1"/>
  <c r="AV201" i="5" a="1"/>
  <c r="AV201" i="5" s="1"/>
  <c r="AV202" i="5" a="1"/>
  <c r="AV202" i="5" s="1"/>
  <c r="AT200" i="5" a="1"/>
  <c r="AT200" i="5" s="1"/>
  <c r="AT202" i="5" a="1"/>
  <c r="AT202" i="5" s="1"/>
  <c r="AT201" i="5" a="1"/>
  <c r="AT201" i="5" s="1"/>
  <c r="T201" i="5" a="1"/>
  <c r="T201" i="5" s="1"/>
  <c r="BN201" i="5"/>
  <c r="BV179" i="5"/>
  <c r="BW179" i="5" s="1"/>
  <c r="BW200" i="5" s="1" a="1"/>
  <c r="BW200" i="5" s="1"/>
  <c r="BQ202" i="5"/>
  <c r="BJ200" i="5"/>
  <c r="BJ202" i="5"/>
  <c r="BU202" i="5" a="1"/>
  <c r="BU202" i="5" s="1"/>
  <c r="BU201" i="5" a="1"/>
  <c r="BU201" i="5" s="1"/>
  <c r="BU200" i="5" a="1"/>
  <c r="BU200" i="5" s="1"/>
  <c r="O14" i="5"/>
  <c r="T12" i="7" s="1"/>
  <c r="S202" i="5" a="1"/>
  <c r="S202" i="5" s="1"/>
  <c r="S200" i="5" a="1"/>
  <c r="S200" i="5" s="1"/>
  <c r="S201" i="5" a="1"/>
  <c r="S201" i="5" s="1"/>
  <c r="T202" i="5" a="1"/>
  <c r="T202" i="5" s="1"/>
  <c r="E30" i="7" l="1"/>
  <c r="D34" i="10" s="1"/>
  <c r="C22" i="10"/>
  <c r="C24" i="10" s="1"/>
  <c r="O24" i="10" s="1"/>
  <c r="C26" i="10"/>
  <c r="BV202" i="5" a="1"/>
  <c r="BV202" i="5" s="1"/>
  <c r="BV200" i="5" a="1"/>
  <c r="BV200" i="5" s="1"/>
  <c r="BW202" i="5" a="1"/>
  <c r="BW202" i="5" s="1"/>
  <c r="BW201" i="5" a="1"/>
  <c r="BW201" i="5" s="1"/>
  <c r="BV201" i="5" a="1"/>
  <c r="BV201" i="5" s="1"/>
  <c r="N16" i="5" s="1"/>
  <c r="S13" i="7" s="1"/>
  <c r="H19" i="7" l="1"/>
  <c r="J39" i="10"/>
  <c r="N36" i="10"/>
  <c r="L40" i="10"/>
  <c r="M39" i="10"/>
  <c r="G33" i="10"/>
  <c r="C37" i="10"/>
  <c r="E36" i="10"/>
  <c r="N39" i="10"/>
  <c r="N43" i="10"/>
  <c r="E38" i="10"/>
  <c r="F32" i="10"/>
  <c r="F42" i="10"/>
  <c r="M44" i="10"/>
  <c r="I43" i="10"/>
  <c r="D40" i="10"/>
  <c r="E41" i="10"/>
  <c r="G40" i="10"/>
  <c r="K40" i="10"/>
  <c r="L33" i="10"/>
  <c r="M33" i="10"/>
  <c r="G42" i="10"/>
  <c r="H38" i="10"/>
  <c r="K43" i="10"/>
  <c r="D37" i="10"/>
  <c r="H35" i="10"/>
  <c r="L38" i="10"/>
  <c r="I35" i="10"/>
  <c r="D44" i="10"/>
  <c r="L34" i="10"/>
  <c r="E33" i="10"/>
  <c r="L32" i="10"/>
  <c r="F37" i="10"/>
  <c r="I41" i="10"/>
  <c r="I33" i="10"/>
  <c r="J44" i="10"/>
  <c r="K33" i="10"/>
  <c r="N32" i="10"/>
  <c r="N44" i="10"/>
  <c r="L43" i="10"/>
  <c r="K38" i="10"/>
  <c r="N35" i="10"/>
  <c r="K41" i="10"/>
  <c r="I34" i="10"/>
  <c r="D36" i="10"/>
  <c r="K32" i="10"/>
  <c r="C38" i="10"/>
  <c r="J41" i="10"/>
  <c r="G39" i="10"/>
  <c r="N33" i="10"/>
  <c r="H37" i="10"/>
  <c r="L42" i="10"/>
  <c r="M32" i="10"/>
  <c r="H44" i="10"/>
  <c r="C43" i="10"/>
  <c r="D33" i="10"/>
  <c r="E35" i="10"/>
  <c r="E40" i="10"/>
  <c r="M34" i="10"/>
  <c r="N34" i="10"/>
  <c r="H43" i="10"/>
  <c r="J34" i="10"/>
  <c r="C44" i="10"/>
  <c r="G35" i="10"/>
  <c r="C32" i="10"/>
  <c r="D42" i="10"/>
  <c r="F44" i="10"/>
  <c r="G43" i="10"/>
  <c r="I32" i="10"/>
  <c r="I39" i="10"/>
  <c r="M35" i="10"/>
  <c r="D43" i="10"/>
  <c r="K34" i="10"/>
  <c r="H40" i="10"/>
  <c r="I42" i="10"/>
  <c r="D41" i="10"/>
  <c r="E34" i="10"/>
  <c r="K36" i="10"/>
  <c r="E37" i="10"/>
  <c r="J42" i="10"/>
  <c r="J36" i="10"/>
  <c r="H33" i="10"/>
  <c r="J37" i="10"/>
  <c r="I40" i="10"/>
  <c r="G32" i="10"/>
  <c r="G44" i="10"/>
  <c r="M43" i="10"/>
  <c r="M40" i="10"/>
  <c r="C36" i="10"/>
  <c r="H39" i="10"/>
  <c r="M36" i="10"/>
  <c r="J35" i="10"/>
  <c r="C40" i="10"/>
  <c r="F41" i="10"/>
  <c r="G41" i="10"/>
  <c r="N38" i="10"/>
  <c r="K44" i="10"/>
  <c r="D35" i="10"/>
  <c r="F36" i="10"/>
  <c r="I44" i="10"/>
  <c r="L39" i="10"/>
  <c r="F34" i="10"/>
  <c r="L35" i="10"/>
  <c r="J38" i="10"/>
  <c r="F33" i="10"/>
  <c r="F43" i="10"/>
  <c r="K35" i="10"/>
  <c r="C42" i="10"/>
  <c r="K39" i="10"/>
  <c r="E39" i="10"/>
  <c r="M41" i="10"/>
  <c r="N37" i="10"/>
  <c r="K42" i="10"/>
  <c r="N42" i="10"/>
  <c r="N41" i="10"/>
  <c r="H36" i="10"/>
  <c r="H34" i="10"/>
  <c r="L41" i="10"/>
  <c r="F39" i="10"/>
  <c r="C33" i="10"/>
  <c r="E43" i="10"/>
  <c r="G34" i="10"/>
  <c r="D38" i="10"/>
  <c r="M38" i="10"/>
  <c r="M37" i="10"/>
  <c r="G38" i="10"/>
  <c r="M42" i="10"/>
  <c r="L44" i="10"/>
  <c r="I36" i="10"/>
  <c r="C35" i="10"/>
  <c r="H42" i="10"/>
  <c r="D39" i="10"/>
  <c r="C41" i="10"/>
  <c r="D32" i="10"/>
  <c r="F35" i="10"/>
  <c r="J40" i="10"/>
  <c r="J43" i="10"/>
  <c r="C34" i="10"/>
  <c r="I38" i="10"/>
  <c r="I37" i="10"/>
  <c r="E42" i="10"/>
  <c r="E32" i="10"/>
  <c r="K37" i="10"/>
  <c r="H41" i="10"/>
  <c r="J32" i="10"/>
  <c r="E44" i="10"/>
  <c r="C39" i="10"/>
  <c r="H32" i="10"/>
  <c r="L37" i="10"/>
  <c r="G37" i="10"/>
  <c r="F38" i="10"/>
  <c r="G36" i="10"/>
  <c r="J33" i="10"/>
  <c r="N40" i="10"/>
  <c r="F40" i="10"/>
  <c r="L36" i="10"/>
  <c r="C27" i="10"/>
  <c r="O27" i="10"/>
  <c r="C42" i="2" s="1"/>
  <c r="C50" i="10"/>
  <c r="C51" i="10" s="1"/>
  <c r="Q24" i="10"/>
  <c r="O16" i="5"/>
  <c r="T13" i="7" s="1"/>
  <c r="H53" i="10" l="1"/>
  <c r="H57" i="10" s="1"/>
  <c r="G53" i="10"/>
  <c r="G57" i="10" s="1"/>
  <c r="E61" i="10" a="1"/>
  <c r="E61" i="10" s="1"/>
  <c r="E62" i="10" s="1"/>
  <c r="J61" i="10" a="1"/>
  <c r="J61" i="10" s="1"/>
  <c r="J62" i="10" s="1"/>
  <c r="K46" i="10"/>
  <c r="L61" i="10" a="1"/>
  <c r="L61" i="10" s="1"/>
  <c r="L62" i="10" s="1"/>
  <c r="G63" i="10" a="1"/>
  <c r="G63" i="10" s="1"/>
  <c r="M56" i="10"/>
  <c r="I53" i="10"/>
  <c r="I57" i="10" s="1"/>
  <c r="E46" i="10"/>
  <c r="K63" i="10" a="1"/>
  <c r="K63" i="10" s="1"/>
  <c r="E53" i="10"/>
  <c r="E57" i="10" s="1"/>
  <c r="C53" i="10"/>
  <c r="C57" i="10" s="1"/>
  <c r="F53" i="10"/>
  <c r="F57" i="10" s="1"/>
  <c r="D46" i="10"/>
  <c r="H56" i="10"/>
  <c r="E56" i="10"/>
  <c r="N53" i="10"/>
  <c r="N57" i="10" s="1"/>
  <c r="G56" i="10"/>
  <c r="I63" i="10" a="1"/>
  <c r="I63" i="10" s="1"/>
  <c r="K53" i="10"/>
  <c r="K57" i="10" s="1"/>
  <c r="F46" i="10"/>
  <c r="M46" i="10"/>
  <c r="H61" i="10" a="1"/>
  <c r="H61" i="10" s="1"/>
  <c r="H62" i="10" s="1"/>
  <c r="I56" i="10"/>
  <c r="J53" i="10"/>
  <c r="J57" i="10" s="1"/>
  <c r="N63" i="10" a="1"/>
  <c r="N63" i="10" s="1"/>
  <c r="D56" i="10"/>
  <c r="C46" i="10"/>
  <c r="E63" i="10" a="1"/>
  <c r="E63" i="10" s="1"/>
  <c r="D53" i="10"/>
  <c r="D57" i="10" s="1"/>
  <c r="L53" i="10"/>
  <c r="L57" i="10" s="1"/>
  <c r="C56" i="10"/>
  <c r="N56" i="10"/>
  <c r="K61" i="10" a="1"/>
  <c r="K61" i="10" s="1"/>
  <c r="K62" i="10" s="1"/>
  <c r="J63" i="10" a="1"/>
  <c r="J63" i="10" s="1"/>
  <c r="J56" i="10"/>
  <c r="L46" i="10"/>
  <c r="J46" i="10"/>
  <c r="D61" i="10" a="1"/>
  <c r="D61" i="10" s="1"/>
  <c r="D62" i="10" s="1"/>
  <c r="I61" i="10" a="1"/>
  <c r="I61" i="10" s="1"/>
  <c r="I62" i="10" s="1"/>
  <c r="M53" i="10"/>
  <c r="M54" i="10" s="1"/>
  <c r="H63" i="10" a="1"/>
  <c r="H63" i="10" s="1"/>
  <c r="K56" i="10"/>
  <c r="M61" i="10" a="1"/>
  <c r="M61" i="10" s="1"/>
  <c r="M62" i="10" s="1"/>
  <c r="F63" i="10" a="1"/>
  <c r="F63" i="10" s="1"/>
  <c r="F61" i="10" a="1"/>
  <c r="F61" i="10" s="1"/>
  <c r="F62" i="10" s="1"/>
  <c r="M63" i="10" a="1"/>
  <c r="M63" i="10" s="1"/>
  <c r="D63" i="10" a="1"/>
  <c r="D63" i="10" s="1"/>
  <c r="L63" i="10" a="1"/>
  <c r="L63" i="10" s="1"/>
  <c r="G61" i="10" a="1"/>
  <c r="G61" i="10" s="1"/>
  <c r="G62" i="10" s="1"/>
  <c r="C63" i="10" a="1"/>
  <c r="C63" i="10" s="1"/>
  <c r="L56" i="10"/>
  <c r="G46" i="10"/>
  <c r="F56" i="10"/>
  <c r="N61" i="10" a="1"/>
  <c r="N61" i="10" s="1"/>
  <c r="N62" i="10" s="1"/>
  <c r="H46" i="10"/>
  <c r="C61" i="10" a="1"/>
  <c r="C61" i="10" s="1"/>
  <c r="C62" i="10" s="1"/>
  <c r="I46" i="10"/>
  <c r="N46" i="10"/>
  <c r="E20" i="7"/>
  <c r="E22" i="7" s="1"/>
  <c r="I42" i="2"/>
  <c r="D3" i="10"/>
  <c r="N65" i="10" l="1"/>
  <c r="J65" i="10"/>
  <c r="K65" i="10"/>
  <c r="H54" i="10"/>
  <c r="F58" i="10"/>
  <c r="F69" i="10" s="1"/>
  <c r="G54" i="10"/>
  <c r="F54" i="10"/>
  <c r="K54" i="10"/>
  <c r="E65" i="10"/>
  <c r="G58" i="10"/>
  <c r="G69" i="10" s="1"/>
  <c r="K58" i="10"/>
  <c r="K69" i="10" s="1"/>
  <c r="G65" i="10"/>
  <c r="E66" i="10"/>
  <c r="E54" i="10"/>
  <c r="J66" i="10"/>
  <c r="C58" i="10"/>
  <c r="C69" i="10" s="1"/>
  <c r="H66" i="10"/>
  <c r="D66" i="10"/>
  <c r="I58" i="10"/>
  <c r="I69" i="10" s="1"/>
  <c r="H58" i="10"/>
  <c r="H69" i="10" s="1"/>
  <c r="L54" i="10"/>
  <c r="L58" i="10"/>
  <c r="L69" i="10" s="1"/>
  <c r="H65" i="10"/>
  <c r="N58" i="10"/>
  <c r="N69" i="10" s="1"/>
  <c r="L66" i="10"/>
  <c r="L65" i="10"/>
  <c r="D65" i="10"/>
  <c r="I65" i="10"/>
  <c r="E58" i="10"/>
  <c r="E69" i="10" s="1"/>
  <c r="F65" i="10"/>
  <c r="D54" i="10"/>
  <c r="I54" i="10"/>
  <c r="N54" i="10"/>
  <c r="M65" i="10"/>
  <c r="O63" i="10"/>
  <c r="O56" i="10"/>
  <c r="C54" i="10"/>
  <c r="I66" i="10"/>
  <c r="O46" i="10"/>
  <c r="C66" i="10"/>
  <c r="D58" i="10"/>
  <c r="D69" i="10" s="1"/>
  <c r="J58" i="10"/>
  <c r="J69" i="10" s="1"/>
  <c r="N66" i="10"/>
  <c r="M57" i="10"/>
  <c r="M58" i="10" s="1"/>
  <c r="M69" i="10" s="1"/>
  <c r="J54" i="10"/>
  <c r="O62" i="10"/>
  <c r="G66" i="10"/>
  <c r="C65" i="10"/>
  <c r="F66" i="10"/>
  <c r="M66" i="10"/>
  <c r="K66" i="10"/>
  <c r="E32" i="7"/>
  <c r="G32" i="7" s="1"/>
  <c r="O65" i="10" l="1"/>
  <c r="N12" i="7" s="1"/>
  <c r="O54" i="10"/>
  <c r="O66" i="10"/>
  <c r="N13" i="7" s="1"/>
  <c r="O57" i="10"/>
  <c r="I13" i="7" s="1"/>
  <c r="O58" i="10"/>
  <c r="O69" i="10"/>
  <c r="I12" i="7" s="1"/>
  <c r="P15" i="2"/>
  <c r="P16" i="2"/>
  <c r="P25" i="2"/>
  <c r="P12" i="2"/>
  <c r="P14" i="2"/>
  <c r="P24" i="2"/>
  <c r="I15" i="7" l="1"/>
  <c r="I1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</author>
  </authors>
  <commentList>
    <comment ref="L6" authorId="0" shapeId="0" xr:uid="{00000000-0006-0000-0400-000001000000}">
      <text>
        <r>
          <rPr>
            <b/>
            <sz val="12"/>
            <color indexed="81"/>
            <rFont val="Tahoma"/>
            <family val="2"/>
          </rPr>
          <t>Applies to all runs</t>
        </r>
      </text>
    </comment>
  </commentList>
</comments>
</file>

<file path=xl/sharedStrings.xml><?xml version="1.0" encoding="utf-8"?>
<sst xmlns="http://schemas.openxmlformats.org/spreadsheetml/2006/main" count="1200" uniqueCount="205">
  <si>
    <t>SCALING INPUTS FOR MID CONCENTRATION DESIGN (~4000X)</t>
  </si>
  <si>
    <t>Assume:</t>
  </si>
  <si>
    <t>Constant reactor temperature</t>
  </si>
  <si>
    <t>Constant reactor heat duty</t>
  </si>
  <si>
    <t>Steady state operation</t>
  </si>
  <si>
    <t>Solar performance based on single-day, monthly averages</t>
  </si>
  <si>
    <t>Hybrid operation for 24hr/day with fixed fraction for process down time</t>
  </si>
  <si>
    <t>Reactor Heat Duty</t>
  </si>
  <si>
    <t>kWh/hour</t>
  </si>
  <si>
    <t>Yearly Operation</t>
  </si>
  <si>
    <t>Hours</t>
  </si>
  <si>
    <t>Average (unweighted) Values</t>
  </si>
  <si>
    <t>Annual Solar</t>
  </si>
  <si>
    <t>Electrical for Hybrid (or Shortfall)</t>
  </si>
  <si>
    <r>
      <t>h</t>
    </r>
    <r>
      <rPr>
        <b/>
        <vertAlign val="subscript"/>
        <sz val="14"/>
        <rFont val="Arial"/>
        <family val="2"/>
      </rPr>
      <t>s</t>
    </r>
  </si>
  <si>
    <r>
      <t>h</t>
    </r>
    <r>
      <rPr>
        <b/>
        <vertAlign val="subscript"/>
        <sz val="14"/>
        <rFont val="Arial"/>
        <family val="2"/>
      </rPr>
      <t>r</t>
    </r>
  </si>
  <si>
    <r>
      <t>h</t>
    </r>
    <r>
      <rPr>
        <b/>
        <vertAlign val="subscript"/>
        <sz val="14"/>
        <rFont val="Arial"/>
        <family val="2"/>
      </rPr>
      <t>r*</t>
    </r>
    <r>
      <rPr>
        <b/>
        <sz val="14"/>
        <rFont val="Symbol"/>
        <family val="1"/>
        <charset val="2"/>
      </rPr>
      <t>h</t>
    </r>
    <r>
      <rPr>
        <b/>
        <vertAlign val="subscript"/>
        <sz val="14"/>
        <rFont val="Arial"/>
        <family val="2"/>
      </rPr>
      <t>s</t>
    </r>
  </si>
  <si>
    <t>Annual Net Energy Required to Process</t>
  </si>
  <si>
    <t>GWhr</t>
  </si>
  <si>
    <t>Delivered</t>
  </si>
  <si>
    <t>GWh</t>
  </si>
  <si>
    <t>Solar Hours</t>
  </si>
  <si>
    <t>Design</t>
  </si>
  <si>
    <t>Nominal Fraction from Solar</t>
  </si>
  <si>
    <t>Excess</t>
  </si>
  <si>
    <t>Non-Solar Hours</t>
  </si>
  <si>
    <t>Annual</t>
  </si>
  <si>
    <t>Annual Net Energy Required from Solar</t>
  </si>
  <si>
    <t>Total Energy Provided</t>
  </si>
  <si>
    <t>GWh (Solar delivered + Electrical (solar + non-solar hours))</t>
  </si>
  <si>
    <t>Daggett Yearly Energy</t>
  </si>
  <si>
    <r>
      <t>kWhr/m</t>
    </r>
    <r>
      <rPr>
        <vertAlign val="superscript"/>
        <sz val="12"/>
        <rFont val="Arial"/>
        <family val="2"/>
      </rPr>
      <t>2</t>
    </r>
  </si>
  <si>
    <t>Usable Fraction from Solar</t>
  </si>
  <si>
    <t>Daggett Yearly Hours of Direct Sunlight</t>
  </si>
  <si>
    <t>Hours of solar operation at this temperature</t>
  </si>
  <si>
    <t>Reactor Temperature</t>
  </si>
  <si>
    <r>
      <t>o</t>
    </r>
    <r>
      <rPr>
        <sz val="12"/>
        <rFont val="Arial"/>
        <family val="2"/>
      </rPr>
      <t>C</t>
    </r>
  </si>
  <si>
    <t>Annual Weighted Efficiency</t>
  </si>
  <si>
    <t>Field Area Required</t>
  </si>
  <si>
    <r>
      <t>m</t>
    </r>
    <r>
      <rPr>
        <vertAlign val="superscript"/>
        <sz val="12"/>
        <rFont val="Arial"/>
        <family val="2"/>
      </rPr>
      <t>2</t>
    </r>
  </si>
  <si>
    <t>Heliostat Area/Tower</t>
  </si>
  <si>
    <t>Tower Height</t>
  </si>
  <si>
    <t>m</t>
  </si>
  <si>
    <t>&lt; Design point tower height is 200m</t>
  </si>
  <si>
    <t># Towers Needed</t>
  </si>
  <si>
    <t>Total Heliostat Area</t>
  </si>
  <si>
    <t>Annual Solar Energy to Process</t>
  </si>
  <si>
    <t>Design Point</t>
  </si>
  <si>
    <t>Baseline Parameters</t>
  </si>
  <si>
    <r>
      <t>@ I=1000W/m</t>
    </r>
    <r>
      <rPr>
        <b/>
        <vertAlign val="superscript"/>
        <sz val="14"/>
        <rFont val="Arial"/>
        <family val="2"/>
      </rPr>
      <t>2</t>
    </r>
  </si>
  <si>
    <t>D82H10</t>
  </si>
  <si>
    <t>Scaling Factors</t>
  </si>
  <si>
    <t>New Parameters</t>
  </si>
  <si>
    <t>Lookout Angle</t>
  </si>
  <si>
    <t>deg</t>
  </si>
  <si>
    <t>CPC Acceptance</t>
  </si>
  <si>
    <t># Towers</t>
  </si>
  <si>
    <t>Heliostat Area</t>
  </si>
  <si>
    <t>Tower Height/Heliostat Dimension</t>
  </si>
  <si>
    <t># Heliostats/Field</t>
  </si>
  <si>
    <t>Total CPC Area</t>
  </si>
  <si>
    <t>Total Heliostat Area/Field</t>
  </si>
  <si>
    <t>Total Number of Heliostats</t>
  </si>
  <si>
    <t>Land Area/Field</t>
  </si>
  <si>
    <t>acres</t>
  </si>
  <si>
    <t>Total Land Area</t>
  </si>
  <si>
    <t>Delivered Power to Aperture</t>
  </si>
  <si>
    <t>kW</t>
  </si>
  <si>
    <t>Field Efficiency to Aperture</t>
  </si>
  <si>
    <t>CPC Concentration</t>
  </si>
  <si>
    <t>CPC Throughput</t>
  </si>
  <si>
    <t>At Design Point</t>
  </si>
  <si>
    <t>Delivered Power to Reactor</t>
  </si>
  <si>
    <t>Net Concentration</t>
  </si>
  <si>
    <t>Total Power to Aperture</t>
  </si>
  <si>
    <t>MW</t>
  </si>
  <si>
    <t>Total Power to Reactor</t>
  </si>
  <si>
    <t>CPC Surface Area</t>
  </si>
  <si>
    <t># Fields per  Reactor</t>
  </si>
  <si>
    <t>Design Point Efficiency to Receiver</t>
  </si>
  <si>
    <t>C</t>
  </si>
  <si>
    <t>Annual Efficiency</t>
  </si>
  <si>
    <t>Solar Available</t>
  </si>
  <si>
    <t xml:space="preserve">Annual Performance Summary </t>
  </si>
  <si>
    <r>
      <t>o</t>
    </r>
    <r>
      <rPr>
        <b/>
        <sz val="12"/>
        <rFont val="Arial"/>
        <family val="2"/>
      </rPr>
      <t>C</t>
    </r>
  </si>
  <si>
    <r>
      <t>Net Power to Reactor, Wh/m</t>
    </r>
    <r>
      <rPr>
        <b/>
        <vertAlign val="superscript"/>
        <sz val="14"/>
        <rFont val="Arial"/>
        <family val="2"/>
      </rPr>
      <t>2</t>
    </r>
    <r>
      <rPr>
        <b/>
        <sz val="14"/>
        <rFont val="Arial"/>
        <family val="2"/>
      </rPr>
      <t xml:space="preserve"> (for each hour per unit heliostat area) = DNI x Average Efficiency for that hour</t>
    </r>
  </si>
  <si>
    <t>Month</t>
  </si>
  <si>
    <t>Hour</t>
  </si>
  <si>
    <t>Hours/Day</t>
  </si>
  <si>
    <t># Days/Month</t>
  </si>
  <si>
    <t>Hours/Yr</t>
  </si>
  <si>
    <t>Fraction of Year</t>
  </si>
  <si>
    <t>Hours/Month</t>
  </si>
  <si>
    <r>
      <t>Monthly Sum, kWhr/m</t>
    </r>
    <r>
      <rPr>
        <b/>
        <vertAlign val="superscript"/>
        <sz val="12"/>
        <rFont val="Arial"/>
        <family val="2"/>
      </rPr>
      <t>2</t>
    </r>
  </si>
  <si>
    <r>
      <t>h</t>
    </r>
    <r>
      <rPr>
        <b/>
        <vertAlign val="subscript"/>
        <sz val="12"/>
        <rFont val="Arial"/>
        <family val="2"/>
      </rPr>
      <t>annual</t>
    </r>
  </si>
  <si>
    <r>
      <t>h</t>
    </r>
    <r>
      <rPr>
        <b/>
        <vertAlign val="subscript"/>
        <sz val="12"/>
        <rFont val="Arial"/>
        <family val="2"/>
      </rPr>
      <t>monthly</t>
    </r>
  </si>
  <si>
    <t>Net Power to Reactor, kWh (for each hour for entire heliostat field) = DNI x Average Efficiency for that hour x Heliostat Area</t>
  </si>
  <si>
    <t>Monthly Sum, GWh</t>
  </si>
  <si>
    <t>Hours Solar Delivered</t>
  </si>
  <si>
    <t>Annual Solar Requirement</t>
  </si>
  <si>
    <t>Solar At or Above Required Duty</t>
  </si>
  <si>
    <t>Yearly Total</t>
  </si>
  <si>
    <t>Monthly Available, GWh</t>
  </si>
  <si>
    <t>Monthly Excess, GWh</t>
  </si>
  <si>
    <t>Monthly Delivered, GWh</t>
  </si>
  <si>
    <t>Solar Below Required Duty</t>
  </si>
  <si>
    <t>Electrical Required (Solar Available), GWh</t>
  </si>
  <si>
    <t>Electrical Required (Solar Not Available), GWh</t>
  </si>
  <si>
    <t>Solar Total to Process</t>
  </si>
  <si>
    <t>Monthly, GWh</t>
  </si>
  <si>
    <t>Annual Performance Runs from Soltrace for Mid Concentration System (~4000x)</t>
  </si>
  <si>
    <t>Tower Height, m</t>
  </si>
  <si>
    <t>Reactor Temperature, C</t>
  </si>
  <si>
    <t>Heliostat Dimension</t>
  </si>
  <si>
    <t>T/s</t>
  </si>
  <si>
    <t>s</t>
  </si>
  <si>
    <t>r</t>
  </si>
  <si>
    <t># Heliostats</t>
  </si>
  <si>
    <r>
      <t>Area, m</t>
    </r>
    <r>
      <rPr>
        <vertAlign val="superscript"/>
        <sz val="12"/>
        <rFont val="Arial"/>
        <family val="2"/>
      </rPr>
      <t>2</t>
    </r>
  </si>
  <si>
    <t>Loss Factors At Site (3 Field Averages at Design Point)</t>
  </si>
  <si>
    <r>
      <t>Ellipse Area, m</t>
    </r>
    <r>
      <rPr>
        <vertAlign val="superscript"/>
        <sz val="12"/>
        <rFont val="Arial"/>
        <family val="2"/>
      </rPr>
      <t>2</t>
    </r>
  </si>
  <si>
    <t xml:space="preserve">Loss Factors </t>
  </si>
  <si>
    <t>Heliostat Area Fraction</t>
  </si>
  <si>
    <t>Cosine Loss</t>
  </si>
  <si>
    <t>Not a function of temperature</t>
  </si>
  <si>
    <t>Enclosing Rectangle Area, acres</t>
  </si>
  <si>
    <t>Shading/Blocking</t>
  </si>
  <si>
    <r>
      <t>h</t>
    </r>
    <r>
      <rPr>
        <vertAlign val="subscript"/>
        <sz val="14"/>
        <rFont val="Arial"/>
        <family val="2"/>
      </rPr>
      <t>s</t>
    </r>
  </si>
  <si>
    <r>
      <t>h</t>
    </r>
    <r>
      <rPr>
        <vertAlign val="subscript"/>
        <sz val="14"/>
        <rFont val="Arial"/>
        <family val="2"/>
      </rPr>
      <t>r</t>
    </r>
  </si>
  <si>
    <r>
      <t>h</t>
    </r>
    <r>
      <rPr>
        <vertAlign val="subscript"/>
        <sz val="14"/>
        <rFont val="Arial"/>
        <family val="2"/>
      </rPr>
      <t>r*</t>
    </r>
    <r>
      <rPr>
        <sz val="14"/>
        <rFont val="Symbol"/>
        <family val="1"/>
        <charset val="2"/>
      </rPr>
      <t>h</t>
    </r>
    <r>
      <rPr>
        <vertAlign val="subscript"/>
        <sz val="14"/>
        <rFont val="Arial"/>
        <family val="2"/>
      </rPr>
      <t>s</t>
    </r>
  </si>
  <si>
    <t>Focal Lengths/Field</t>
  </si>
  <si>
    <t>Reflectance</t>
  </si>
  <si>
    <t>Intercept</t>
  </si>
  <si>
    <r>
      <t>q</t>
    </r>
    <r>
      <rPr>
        <vertAlign val="subscript"/>
        <sz val="12"/>
        <rFont val="Arial"/>
        <family val="2"/>
      </rPr>
      <t>c</t>
    </r>
  </si>
  <si>
    <t>g</t>
  </si>
  <si>
    <t>Field Efficiency to Receiver</t>
  </si>
  <si>
    <t>Entrance Radius, m</t>
  </si>
  <si>
    <t>Receiver Heat Loss</t>
  </si>
  <si>
    <t>Exit Radius, m</t>
  </si>
  <si>
    <t>Net Eff to Process</t>
  </si>
  <si>
    <t>Height, m</t>
  </si>
  <si>
    <r>
      <t>~CPC Surface Area, m</t>
    </r>
    <r>
      <rPr>
        <vertAlign val="superscript"/>
        <sz val="12"/>
        <rFont val="Arial"/>
        <family val="2"/>
      </rPr>
      <t>2</t>
    </r>
  </si>
  <si>
    <t>Latitude</t>
  </si>
  <si>
    <t>North Field</t>
  </si>
  <si>
    <t>East Field</t>
  </si>
  <si>
    <t>West Field</t>
  </si>
  <si>
    <r>
      <t>Performance @ 1000 W/m</t>
    </r>
    <r>
      <rPr>
        <b/>
        <vertAlign val="superscript"/>
        <sz val="12"/>
        <rFont val="Arial"/>
        <family val="2"/>
      </rPr>
      <t>2</t>
    </r>
  </si>
  <si>
    <t>@Daggett</t>
  </si>
  <si>
    <r>
      <t>@1000W/m</t>
    </r>
    <r>
      <rPr>
        <b/>
        <vertAlign val="superscript"/>
        <sz val="12"/>
        <rFont val="Arial"/>
        <family val="2"/>
      </rPr>
      <t>2</t>
    </r>
  </si>
  <si>
    <t>Day</t>
  </si>
  <si>
    <r>
      <t>Proj Area, m</t>
    </r>
    <r>
      <rPr>
        <vertAlign val="superscript"/>
        <sz val="12"/>
        <rFont val="Arial"/>
        <family val="2"/>
      </rPr>
      <t>2</t>
    </r>
  </si>
  <si>
    <t>Total Power, kW</t>
  </si>
  <si>
    <r>
      <t>h</t>
    </r>
    <r>
      <rPr>
        <vertAlign val="subscript"/>
        <sz val="12"/>
        <rFont val="Arial"/>
        <family val="2"/>
      </rPr>
      <t>tp</t>
    </r>
  </si>
  <si>
    <t>s/b</t>
  </si>
  <si>
    <t>95% Power, kW</t>
  </si>
  <si>
    <t>% Power</t>
  </si>
  <si>
    <r>
      <t>CPC Entrance Flux, kW/m</t>
    </r>
    <r>
      <rPr>
        <vertAlign val="superscript"/>
        <sz val="12"/>
        <rFont val="Arial"/>
        <family val="2"/>
      </rPr>
      <t>2</t>
    </r>
  </si>
  <si>
    <r>
      <t>CPC Exit Power, kW</t>
    </r>
    <r>
      <rPr>
        <sz val="12"/>
        <rFont val="Arial"/>
        <family val="2"/>
      </rPr>
      <t/>
    </r>
  </si>
  <si>
    <r>
      <t>CPC Exit Flux, kW/m</t>
    </r>
    <r>
      <rPr>
        <vertAlign val="superscript"/>
        <sz val="12"/>
        <rFont val="Arial"/>
        <family val="2"/>
      </rPr>
      <t>2</t>
    </r>
  </si>
  <si>
    <r>
      <t>Ave I</t>
    </r>
    <r>
      <rPr>
        <vertAlign val="subscript"/>
        <sz val="12"/>
        <rFont val="Arial"/>
        <family val="2"/>
      </rPr>
      <t>DN</t>
    </r>
  </si>
  <si>
    <t># Hours</t>
  </si>
  <si>
    <t>T, C</t>
  </si>
  <si>
    <t>Sum</t>
  </si>
  <si>
    <t>Eff</t>
  </si>
  <si>
    <t>Average Efficiencies</t>
  </si>
  <si>
    <t>T,C</t>
  </si>
  <si>
    <t>Solar Efficiency</t>
  </si>
  <si>
    <t>DESIGN POINT</t>
  </si>
  <si>
    <t>Min Values</t>
  </si>
  <si>
    <t>Average Values</t>
  </si>
  <si>
    <t>Max Values</t>
  </si>
  <si>
    <t>Total Number Hours (Chosen Days/Month)</t>
  </si>
  <si>
    <t>Total Number Hours/Year</t>
  </si>
  <si>
    <t>Solar Capacity Factor (Hours Available/Total Hours in Year)</t>
  </si>
  <si>
    <t xml:space="preserve">Soltrace analysis to generate design point </t>
  </si>
  <si>
    <t>L30D82H10</t>
  </si>
  <si>
    <t>Current Analysis</t>
  </si>
  <si>
    <t>7000x analysis</t>
  </si>
  <si>
    <t>T</t>
  </si>
  <si>
    <t>CPC Entrance Diameter, m for ~95% power</t>
  </si>
  <si>
    <r>
      <t>s</t>
    </r>
    <r>
      <rPr>
        <vertAlign val="subscript"/>
        <sz val="12"/>
        <rFont val="Arial"/>
        <family val="2"/>
      </rPr>
      <t>slope</t>
    </r>
  </si>
  <si>
    <r>
      <t>s</t>
    </r>
    <r>
      <rPr>
        <vertAlign val="subscript"/>
        <sz val="12"/>
        <rFont val="Arial"/>
        <family val="2"/>
      </rPr>
      <t>spec</t>
    </r>
  </si>
  <si>
    <t>Focal Lengths</t>
  </si>
  <si>
    <r>
      <t>C/C</t>
    </r>
    <r>
      <rPr>
        <vertAlign val="subscript"/>
        <sz val="12"/>
        <rFont val="Arial"/>
        <family val="2"/>
      </rPr>
      <t>max</t>
    </r>
  </si>
  <si>
    <t>#</t>
  </si>
  <si>
    <t>95% Intercept Entrance Radius, m</t>
  </si>
  <si>
    <t>95% Intercept Exit Radius, m</t>
  </si>
  <si>
    <t>95% Intercept Height, m</t>
  </si>
  <si>
    <r>
      <t>Ideal Exit Flux, kW/m</t>
    </r>
    <r>
      <rPr>
        <vertAlign val="superscript"/>
        <sz val="12"/>
        <rFont val="Arial"/>
        <family val="2"/>
      </rPr>
      <t>2</t>
    </r>
  </si>
  <si>
    <t>Fraction of Ideal</t>
  </si>
  <si>
    <r>
      <t>CPC Entrance Power, kW</t>
    </r>
    <r>
      <rPr>
        <sz val="12"/>
        <rFont val="Arial"/>
        <family val="2"/>
      </rPr>
      <t/>
    </r>
  </si>
  <si>
    <r>
      <t>Daggett TMY2 Average Hourly Values, W/m</t>
    </r>
    <r>
      <rPr>
        <b/>
        <vertAlign val="superscript"/>
        <sz val="12"/>
        <rFont val="Arial"/>
        <family val="2"/>
      </rPr>
      <t>2</t>
    </r>
  </si>
  <si>
    <t>N34 52</t>
  </si>
  <si>
    <t>W116 47</t>
  </si>
  <si>
    <t>Data from Daggett.xls</t>
  </si>
  <si>
    <t>Modeled Day</t>
  </si>
  <si>
    <t># Days</t>
  </si>
  <si>
    <r>
      <t>Yearly Sum, kWhr/m</t>
    </r>
    <r>
      <rPr>
        <b/>
        <vertAlign val="superscript"/>
        <sz val="12"/>
        <rFont val="Arial"/>
        <family val="2"/>
      </rPr>
      <t>2</t>
    </r>
  </si>
  <si>
    <r>
      <t>Daily Average, kWhr/m</t>
    </r>
    <r>
      <rPr>
        <b/>
        <vertAlign val="superscript"/>
        <sz val="12"/>
        <rFont val="Arial"/>
        <family val="2"/>
      </rPr>
      <t>2</t>
    </r>
  </si>
  <si>
    <t>Hours/Year</t>
  </si>
  <si>
    <r>
      <t>Daggett TMY2 Maximum Hourly Values, W/m</t>
    </r>
    <r>
      <rPr>
        <b/>
        <vertAlign val="superscript"/>
        <sz val="10"/>
        <rFont val="Arial"/>
        <family val="2"/>
      </rPr>
      <t>2</t>
    </r>
  </si>
  <si>
    <r>
      <t>Monthly Sum, kWhr/m</t>
    </r>
    <r>
      <rPr>
        <b/>
        <vertAlign val="superscript"/>
        <sz val="10"/>
        <rFont val="Arial"/>
        <family val="2"/>
      </rPr>
      <t>2</t>
    </r>
  </si>
  <si>
    <r>
      <t>Yearly Sum, kWhr/m</t>
    </r>
    <r>
      <rPr>
        <b/>
        <vertAlign val="superscript"/>
        <sz val="10"/>
        <rFont val="Arial"/>
        <family val="2"/>
      </rPr>
      <t>2</t>
    </r>
  </si>
  <si>
    <r>
      <t>Daily Average, kWhr/m</t>
    </r>
    <r>
      <rPr>
        <b/>
        <vertAlign val="superscript"/>
        <sz val="10"/>
        <rFont val="Arial"/>
        <family val="2"/>
      </rPr>
      <t>2</t>
    </r>
  </si>
  <si>
    <r>
      <t>ASHRAE Handbook of Fundamentals, 1972; Clear Day Direct Irradiance, W/m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; </t>
    </r>
    <r>
      <rPr>
        <b/>
        <sz val="12"/>
        <rFont val="Symbol"/>
        <family val="1"/>
        <charset val="2"/>
      </rPr>
      <t>a</t>
    </r>
    <r>
      <rPr>
        <b/>
        <sz val="12"/>
        <rFont val="Arial"/>
        <family val="2"/>
      </rPr>
      <t>&gt;10</t>
    </r>
    <r>
      <rPr>
        <b/>
        <vertAlign val="superscript"/>
        <sz val="12"/>
        <rFont val="Arial"/>
        <family val="2"/>
      </rPr>
      <t>o</t>
    </r>
    <r>
      <rPr>
        <b/>
        <sz val="12"/>
        <rFont val="Arial"/>
        <family val="2"/>
      </rPr>
      <t>; L=30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</si>
</sst>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>
    <font>
      <sz val="12"/>
      <name val="Arial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color indexed="81"/>
      <name val="Tahoma"/>
      <family val="2"/>
    </font>
    <font>
      <sz val="12"/>
      <color indexed="55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perscript"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Symbol"/>
      <family val="1"/>
      <charset val="2"/>
    </font>
    <font>
      <b/>
      <vertAlign val="subscript"/>
      <sz val="12"/>
      <name val="Arial"/>
      <family val="2"/>
    </font>
    <font>
      <b/>
      <sz val="12"/>
      <color rgb="FFC00000"/>
      <name val="Arial"/>
      <family val="2"/>
    </font>
    <font>
      <b/>
      <sz val="14"/>
      <name val="Symbol"/>
      <family val="1"/>
      <charset val="2"/>
    </font>
    <font>
      <b/>
      <vertAlign val="subscript"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2" fontId="0" fillId="0" borderId="0" xfId="0" applyNumberFormat="1"/>
    <xf numFmtId="1" fontId="0" fillId="3" borderId="0" xfId="0" applyNumberForma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165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5" borderId="0" xfId="0" applyFill="1"/>
    <xf numFmtId="165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1" fillId="0" borderId="0" xfId="0" applyNumberFormat="1" applyFont="1" applyAlignment="1">
      <alignment horizontal="center" wrapText="1"/>
    </xf>
    <xf numFmtId="164" fontId="1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 wrapText="1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 wrapText="1"/>
    </xf>
    <xf numFmtId="165" fontId="1" fillId="5" borderId="0" xfId="0" applyNumberFormat="1" applyFont="1" applyFill="1" applyAlignment="1">
      <alignment horizontal="center"/>
    </xf>
    <xf numFmtId="0" fontId="10" fillId="0" borderId="0" xfId="0" applyFont="1"/>
    <xf numFmtId="1" fontId="0" fillId="2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6" borderId="0" xfId="0" applyFill="1"/>
    <xf numFmtId="0" fontId="6" fillId="5" borderId="0" xfId="0" applyFont="1" applyFill="1" applyAlignment="1">
      <alignment horizontal="right"/>
    </xf>
    <xf numFmtId="11" fontId="0" fillId="0" borderId="0" xfId="0" applyNumberFormat="1"/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 wrapText="1"/>
    </xf>
    <xf numFmtId="0" fontId="16" fillId="0" borderId="0" xfId="0" applyFont="1"/>
    <xf numFmtId="0" fontId="4" fillId="0" borderId="0" xfId="0" applyFont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4" borderId="0" xfId="0" applyFill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4" borderId="0" xfId="0" applyFill="1" applyAlignment="1">
      <alignment horizontal="center" vertical="center" wrapText="1"/>
    </xf>
    <xf numFmtId="1" fontId="1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9" xfId="0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 wrapText="1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13" fillId="0" borderId="10" xfId="0" applyFont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7" borderId="0" xfId="0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10" fillId="0" borderId="18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0" fontId="1" fillId="5" borderId="0" xfId="0" applyFont="1" applyFill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/>
    </xf>
    <xf numFmtId="1" fontId="1" fillId="0" borderId="0" xfId="0" applyNumberFormat="1" applyFont="1"/>
    <xf numFmtId="0" fontId="10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7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7" xfId="0" quotePrefix="1" applyFont="1" applyBorder="1" applyAlignment="1">
      <alignment horizontal="center"/>
    </xf>
    <xf numFmtId="0" fontId="11" fillId="0" borderId="0" xfId="0" applyFont="1" applyAlignment="1">
      <alignment horizontal="center" vertical="center" textRotation="180" wrapText="1"/>
    </xf>
    <xf numFmtId="164" fontId="10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theme="1"/>
      </font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82, North Field</a:t>
            </a:r>
          </a:p>
        </c:rich>
      </c:tx>
      <c:layout>
        <c:manualLayout>
          <c:xMode val="edge"/>
          <c:yMode val="edge"/>
          <c:x val="0.36862815684006794"/>
          <c:y val="1.748254733007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33358864427972"/>
          <c:y val="9.4405755582378847E-2"/>
          <c:w val="0.81960941254866271"/>
          <c:h val="0.7307704783969326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Details'!$P$61:$P$71</c:f>
              <c:numCache>
                <c:formatCode>0.000</c:formatCode>
                <c:ptCount val="11"/>
                <c:pt idx="0">
                  <c:v>0.30773459935760172</c:v>
                </c:pt>
                <c:pt idx="1">
                  <c:v>0.51033346895074949</c:v>
                </c:pt>
                <c:pt idx="2">
                  <c:v>0.61568832976445398</c:v>
                </c:pt>
                <c:pt idx="3">
                  <c:v>0.64880728051391856</c:v>
                </c:pt>
                <c:pt idx="4">
                  <c:v>0.67396156316916489</c:v>
                </c:pt>
                <c:pt idx="5">
                  <c:v>0.67068629550321202</c:v>
                </c:pt>
                <c:pt idx="6">
                  <c:v>0.67396156316916489</c:v>
                </c:pt>
                <c:pt idx="7">
                  <c:v>0.64880728051391856</c:v>
                </c:pt>
                <c:pt idx="8">
                  <c:v>0.61568832976445398</c:v>
                </c:pt>
                <c:pt idx="9">
                  <c:v>0.51033346895074949</c:v>
                </c:pt>
                <c:pt idx="10">
                  <c:v>0.30773459935760172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E-4007-8A5C-0D90C77856AE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Details'!$R$61:$R$71</c:f>
              <c:numCache>
                <c:formatCode>0.000</c:formatCode>
                <c:ptCount val="11"/>
                <c:pt idx="0">
                  <c:v>0.27339212675040991</c:v>
                </c:pt>
                <c:pt idx="1">
                  <c:v>0.78569433487960061</c:v>
                </c:pt>
                <c:pt idx="2">
                  <c:v>0.85691837459562492</c:v>
                </c:pt>
                <c:pt idx="3">
                  <c:v>0.8725659645619861</c:v>
                </c:pt>
                <c:pt idx="4">
                  <c:v>0.884137903684171</c:v>
                </c:pt>
                <c:pt idx="5">
                  <c:v>0.88172892320860563</c:v>
                </c:pt>
                <c:pt idx="6">
                  <c:v>0.88245177101257255</c:v>
                </c:pt>
                <c:pt idx="7">
                  <c:v>0.87378682990929846</c:v>
                </c:pt>
                <c:pt idx="8">
                  <c:v>0.85887956885396188</c:v>
                </c:pt>
                <c:pt idx="9">
                  <c:v>0.80870865902017885</c:v>
                </c:pt>
                <c:pt idx="10">
                  <c:v>0.612132989181566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E-4007-8A5C-0D90C77856AE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Details'!$T$61:$T$71</c:f>
              <c:numCache>
                <c:formatCode>0.000</c:formatCode>
                <c:ptCount val="11"/>
                <c:pt idx="0">
                  <c:v>0.80198763505766002</c:v>
                </c:pt>
                <c:pt idx="1">
                  <c:v>0.88059717909807944</c:v>
                </c:pt>
                <c:pt idx="2">
                  <c:v>0.90102905504690267</c:v>
                </c:pt>
                <c:pt idx="3">
                  <c:v>0.90608111588218376</c:v>
                </c:pt>
                <c:pt idx="4">
                  <c:v>0.90958645251689618</c:v>
                </c:pt>
                <c:pt idx="5">
                  <c:v>0.90914492184805595</c:v>
                </c:pt>
                <c:pt idx="6">
                  <c:v>0.90958645251689618</c:v>
                </c:pt>
                <c:pt idx="7">
                  <c:v>0.90608111588218376</c:v>
                </c:pt>
                <c:pt idx="8">
                  <c:v>0.90102905504690267</c:v>
                </c:pt>
                <c:pt idx="9">
                  <c:v>0.88059717909807944</c:v>
                </c:pt>
                <c:pt idx="10">
                  <c:v>0.80198763505766002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5E-4007-8A5C-0D90C77856AE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Details'!$S$61:$S$71</c:f>
              <c:numCache>
                <c:formatCode>0.000</c:formatCode>
                <c:ptCount val="11"/>
                <c:pt idx="0">
                  <c:v>8.4132216593060069E-2</c:v>
                </c:pt>
                <c:pt idx="1">
                  <c:v>0.40096611545405841</c:v>
                </c:pt>
                <c:pt idx="2">
                  <c:v>0.52759464279925106</c:v>
                </c:pt>
                <c:pt idx="3">
                  <c:v>0.56612715053646645</c:v>
                </c:pt>
                <c:pt idx="4">
                  <c:v>0.59587496362409242</c:v>
                </c:pt>
                <c:pt idx="5">
                  <c:v>0.59136350514481584</c:v>
                </c:pt>
                <c:pt idx="6">
                  <c:v>0.59473857501303129</c:v>
                </c:pt>
                <c:pt idx="7">
                  <c:v>0.5669192568623298</c:v>
                </c:pt>
                <c:pt idx="8">
                  <c:v>0.5288021272165101</c:v>
                </c:pt>
                <c:pt idx="9">
                  <c:v>0.41271109532827671</c:v>
                </c:pt>
                <c:pt idx="10">
                  <c:v>0.18837450017936036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5E-4007-8A5C-0D90C77856AE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Details'!$U$61:$U$71</c:f>
              <c:numCache>
                <c:formatCode>0.000</c:formatCode>
                <c:ptCount val="11"/>
                <c:pt idx="0">
                  <c:v>0.24679934356421951</c:v>
                </c:pt>
                <c:pt idx="1">
                  <c:v>0.44939821315736733</c:v>
                </c:pt>
                <c:pt idx="2">
                  <c:v>0.55475307397107176</c:v>
                </c:pt>
                <c:pt idx="3">
                  <c:v>0.58787202472053635</c:v>
                </c:pt>
                <c:pt idx="4">
                  <c:v>0.61302630737578268</c:v>
                </c:pt>
                <c:pt idx="5">
                  <c:v>0.6097510397098298</c:v>
                </c:pt>
                <c:pt idx="6">
                  <c:v>0.61302630737578268</c:v>
                </c:pt>
                <c:pt idx="7">
                  <c:v>0.58787202472053635</c:v>
                </c:pt>
                <c:pt idx="8">
                  <c:v>0.55475307397107176</c:v>
                </c:pt>
                <c:pt idx="9">
                  <c:v>0.44939821315736733</c:v>
                </c:pt>
                <c:pt idx="10">
                  <c:v>0.24679934356421951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5E-4007-8A5C-0D90C7785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2592"/>
        <c:axId val="212064896"/>
      </c:scatterChart>
      <c:valAx>
        <c:axId val="212062592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078519605008433"/>
              <c:y val="0.9020994422316206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64896"/>
        <c:crosses val="autoZero"/>
        <c:crossBetween val="midCat"/>
      </c:valAx>
      <c:valAx>
        <c:axId val="2120648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7451032956175306E-2"/>
              <c:y val="0.3321683992713334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625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411840172794577"/>
          <c:y val="0.47902179684392232"/>
          <c:w val="0.31568687899601605"/>
          <c:h val="0.30769283300923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22, East Field</a:t>
            </a:r>
          </a:p>
        </c:rich>
      </c:tx>
      <c:layout>
        <c:manualLayout>
          <c:xMode val="edge"/>
          <c:yMode val="edge"/>
          <c:x val="0.38306489323267251"/>
          <c:y val="1.97628839914850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91946796980135"/>
          <c:y val="0.10671957355401898"/>
          <c:w val="0.83669437206083586"/>
          <c:h val="0.71541640049175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Details'!$AQ$35:$AQ$43</c:f>
              <c:numCache>
                <c:formatCode>0.000</c:formatCode>
                <c:ptCount val="9"/>
                <c:pt idx="0">
                  <c:v>0.24388382426124197</c:v>
                </c:pt>
                <c:pt idx="1">
                  <c:v>0.34356234475374736</c:v>
                </c:pt>
                <c:pt idx="2">
                  <c:v>0.42795029764453962</c:v>
                </c:pt>
                <c:pt idx="3">
                  <c:v>0.48534974946466808</c:v>
                </c:pt>
                <c:pt idx="4">
                  <c:v>0.53547348072805145</c:v>
                </c:pt>
                <c:pt idx="5">
                  <c:v>0.54571203426124193</c:v>
                </c:pt>
                <c:pt idx="6">
                  <c:v>0.52321386820128479</c:v>
                </c:pt>
                <c:pt idx="7">
                  <c:v>0.49753485438972167</c:v>
                </c:pt>
                <c:pt idx="8">
                  <c:v>0.34746124197002143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AA-4A5D-A792-13EFFABE7C8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Details'!$AS$35:$AS$43</c:f>
              <c:numCache>
                <c:formatCode>0.000</c:formatCode>
                <c:ptCount val="9"/>
                <c:pt idx="0">
                  <c:v>5.3584781389695468E-2</c:v>
                </c:pt>
                <c:pt idx="1">
                  <c:v>0.65787731382989811</c:v>
                </c:pt>
                <c:pt idx="2">
                  <c:v>0.7826876982908525</c:v>
                </c:pt>
                <c:pt idx="3">
                  <c:v>0.81864665598217112</c:v>
                </c:pt>
                <c:pt idx="4">
                  <c:v>0.8425061007929322</c:v>
                </c:pt>
                <c:pt idx="5">
                  <c:v>0.84579143540086876</c:v>
                </c:pt>
                <c:pt idx="6">
                  <c:v>0.83747344943697088</c:v>
                </c:pt>
                <c:pt idx="7">
                  <c:v>0.8123416014663164</c:v>
                </c:pt>
                <c:pt idx="8">
                  <c:v>0.66488582648345562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AA-4A5D-A792-13EFFABE7C8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Details'!$AT$35:$AT$43</c:f>
              <c:numCache>
                <c:formatCode>0.000</c:formatCode>
                <c:ptCount val="9"/>
                <c:pt idx="0">
                  <c:v>1.3068461407521558E-2</c:v>
                </c:pt>
                <c:pt idx="1">
                  <c:v>0.22602187249969671</c:v>
                </c:pt>
                <c:pt idx="2">
                  <c:v>0.33495143344628997</c:v>
                </c:pt>
                <c:pt idx="3">
                  <c:v>0.39732994938103505</c:v>
                </c:pt>
                <c:pt idx="4">
                  <c:v>0.45113967432620994</c:v>
                </c:pt>
                <c:pt idx="5">
                  <c:v>0.46155856477334389</c:v>
                </c:pt>
                <c:pt idx="6">
                  <c:v>0.43817772299579061</c:v>
                </c:pt>
                <c:pt idx="7">
                  <c:v>0.40416826040025705</c:v>
                </c:pt>
                <c:pt idx="8">
                  <c:v>0.23102205503820566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AA-4A5D-A792-13EFFABE7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68000"/>
        <c:axId val="211970304"/>
      </c:scatterChart>
      <c:valAx>
        <c:axId val="211968000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362947882816335"/>
              <c:y val="0.893282356415120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70304"/>
        <c:crosses val="autoZero"/>
        <c:crossBetween val="midCat"/>
      </c:valAx>
      <c:valAx>
        <c:axId val="2119703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80655085070301E-2"/>
              <c:y val="0.3359690278552455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800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959721679413467"/>
          <c:y val="0.50592983018201565"/>
          <c:w val="0.20766149475244847"/>
          <c:h val="0.292490683073978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22 West Field</a:t>
            </a:r>
          </a:p>
        </c:rich>
      </c:tx>
      <c:layout>
        <c:manualLayout>
          <c:xMode val="edge"/>
          <c:yMode val="edge"/>
          <c:x val="0.39842285815546929"/>
          <c:y val="1.89394639983723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2"/>
          <c:y val="9.4697319991862275E-2"/>
          <c:w val="0.82840396250146853"/>
          <c:h val="0.7234875247378241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Details'!$BR$35:$BR$43</c:f>
              <c:numCache>
                <c:formatCode>0.000</c:formatCode>
                <c:ptCount val="9"/>
                <c:pt idx="0">
                  <c:v>0.34746124197002143</c:v>
                </c:pt>
                <c:pt idx="1">
                  <c:v>0.49753485438972167</c:v>
                </c:pt>
                <c:pt idx="2">
                  <c:v>0.52321386820128479</c:v>
                </c:pt>
                <c:pt idx="3">
                  <c:v>0.54571203426124193</c:v>
                </c:pt>
                <c:pt idx="4">
                  <c:v>0.53547348072805145</c:v>
                </c:pt>
                <c:pt idx="5">
                  <c:v>0.48534974946466808</c:v>
                </c:pt>
                <c:pt idx="6">
                  <c:v>0.42795029764453962</c:v>
                </c:pt>
                <c:pt idx="7">
                  <c:v>0.34356234475374736</c:v>
                </c:pt>
                <c:pt idx="8">
                  <c:v>0.24388382426124197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6-4B62-84BE-0FB12FC84BE9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Details'!$BT$35:$BT$43</c:f>
              <c:numCache>
                <c:formatCode>0.000</c:formatCode>
                <c:ptCount val="9"/>
                <c:pt idx="0">
                  <c:v>0.33570903751724079</c:v>
                </c:pt>
                <c:pt idx="1">
                  <c:v>0.76375429536845962</c:v>
                </c:pt>
                <c:pt idx="2">
                  <c:v>0.82225458870583257</c:v>
                </c:pt>
                <c:pt idx="3">
                  <c:v>0.83870650717316531</c:v>
                </c:pt>
                <c:pt idx="4">
                  <c:v>0.8425061007929322</c:v>
                </c:pt>
                <c:pt idx="5">
                  <c:v>0.82661272704741728</c:v>
                </c:pt>
                <c:pt idx="6">
                  <c:v>0.80129434265255228</c:v>
                </c:pt>
                <c:pt idx="7">
                  <c:v>0.72823973460657832</c:v>
                </c:pt>
                <c:pt idx="8">
                  <c:v>0.52256289532720634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6-4B62-84BE-0FB12FC84BE9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Details'!$BU$35:$BU$43</c:f>
              <c:numCache>
                <c:formatCode>0.000</c:formatCode>
                <c:ptCount val="9"/>
                <c:pt idx="0">
                  <c:v>0.116645879116301</c:v>
                </c:pt>
                <c:pt idx="1">
                  <c:v>0.37999438213567105</c:v>
                </c:pt>
                <c:pt idx="2">
                  <c:v>0.43021500400303514</c:v>
                </c:pt>
                <c:pt idx="3">
                  <c:v>0.45769223417760896</c:v>
                </c:pt>
                <c:pt idx="4">
                  <c:v>0.45113967432620994</c:v>
                </c:pt>
                <c:pt idx="5">
                  <c:v>0.40119627997677004</c:v>
                </c:pt>
                <c:pt idx="6">
                  <c:v>0.34291415243904549</c:v>
                </c:pt>
                <c:pt idx="7">
                  <c:v>0.25019575076428274</c:v>
                </c:pt>
                <c:pt idx="8">
                  <c:v>0.12744463732942618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6-4B62-84BE-0FB12FC84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74496"/>
        <c:axId val="212076800"/>
      </c:scatterChart>
      <c:valAx>
        <c:axId val="21207449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1518486322525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76800"/>
        <c:crosses val="autoZero"/>
        <c:crossBetween val="midCat"/>
        <c:majorUnit val="2"/>
      </c:valAx>
      <c:valAx>
        <c:axId val="2120768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4698244770377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7449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23"/>
          <c:y val="0.48863817115800817"/>
          <c:w val="0.2031562098515507"/>
          <c:h val="0.280304067175912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Based on Daggett TMY Solar Data</a:t>
            </a:r>
          </a:p>
        </c:rich>
      </c:tx>
      <c:layout>
        <c:manualLayout>
          <c:xMode val="edge"/>
          <c:yMode val="edge"/>
          <c:x val="0.31054461181923593"/>
          <c:y val="9.917355371900827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71147161066066E-2"/>
          <c:y val="0.13719008264462809"/>
          <c:w val="0.84936268829663852"/>
          <c:h val="0.73388429752066164"/>
        </c:manualLayout>
      </c:layout>
      <c:scatterChart>
        <c:scatterStyle val="smoothMarker"/>
        <c:varyColors val="0"/>
        <c:ser>
          <c:idx val="0"/>
          <c:order val="0"/>
          <c:tx>
            <c:v>Acceptance Angle = 23.5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'Annual Performance Details'!$CQ$57:$CQ$67</c:f>
              <c:numCache>
                <c:formatCode>General</c:formatCode>
                <c:ptCount val="11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  <c:pt idx="6">
                  <c:v>1900</c:v>
                </c:pt>
                <c:pt idx="7">
                  <c:v>2000</c:v>
                </c:pt>
                <c:pt idx="8">
                  <c:v>2100</c:v>
                </c:pt>
                <c:pt idx="9">
                  <c:v>2200</c:v>
                </c:pt>
                <c:pt idx="10">
                  <c:v>2300</c:v>
                </c:pt>
              </c:numCache>
            </c:numRef>
          </c:xVal>
          <c:yVal>
            <c:numRef>
              <c:f>'Annual Performance Details'!$CS$57:$CS$67</c:f>
              <c:numCache>
                <c:formatCode>0.000</c:formatCode>
                <c:ptCount val="11"/>
                <c:pt idx="0">
                  <c:v>0.50698427978989635</c:v>
                </c:pt>
                <c:pt idx="1">
                  <c:v>0.49895450945341252</c:v>
                </c:pt>
                <c:pt idx="2">
                  <c:v>0.48934819093936599</c:v>
                </c:pt>
                <c:pt idx="3">
                  <c:v>0.4779713374797081</c:v>
                </c:pt>
                <c:pt idx="4">
                  <c:v>0.46461870364312563</c:v>
                </c:pt>
                <c:pt idx="5">
                  <c:v>0.44907378533504033</c:v>
                </c:pt>
                <c:pt idx="6">
                  <c:v>0.4311088197976099</c:v>
                </c:pt>
                <c:pt idx="7">
                  <c:v>0.41048478560972723</c:v>
                </c:pt>
                <c:pt idx="8">
                  <c:v>0.38695140268702055</c:v>
                </c:pt>
                <c:pt idx="9">
                  <c:v>0.36024713228185357</c:v>
                </c:pt>
                <c:pt idx="10">
                  <c:v>0.33009917698332553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7-4403-87AA-1A6E2531BDC4}"/>
            </c:ext>
          </c:extLst>
        </c:ser>
        <c:ser>
          <c:idx val="1"/>
          <c:order val="1"/>
          <c:tx>
            <c:v>Acceptance Angle = 35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'Annual Performance Details'!$CQ$73:$CQ$81</c:f>
              <c:numCache>
                <c:formatCode>General</c:formatCode>
                <c:ptCount val="9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</c:numCache>
            </c:numRef>
          </c:xVal>
          <c:yVal>
            <c:numRef>
              <c:f>'Annual Performance Details'!$CS$73:$CS$81</c:f>
              <c:numCache>
                <c:formatCode>0.000</c:formatCode>
                <c:ptCount val="9"/>
                <c:pt idx="0">
                  <c:v>0.46165944294244138</c:v>
                </c:pt>
                <c:pt idx="1">
                  <c:v>0.45018844899948751</c:v>
                </c:pt>
                <c:pt idx="2">
                  <c:v>0.43630807870845328</c:v>
                </c:pt>
                <c:pt idx="3">
                  <c:v>0.41970246578042908</c:v>
                </c:pt>
                <c:pt idx="4">
                  <c:v>0.40003628204795222</c:v>
                </c:pt>
                <c:pt idx="5">
                  <c:v>0.37695473746500779</c:v>
                </c:pt>
                <c:pt idx="6">
                  <c:v>0.35008358010702778</c:v>
                </c:pt>
                <c:pt idx="7">
                  <c:v>0.3190290961708917</c:v>
                </c:pt>
                <c:pt idx="8">
                  <c:v>0.28337810997492624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B7-4403-87AA-1A6E2531B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4528"/>
        <c:axId val="212144896"/>
      </c:scatterChart>
      <c:valAx>
        <c:axId val="212134528"/>
        <c:scaling>
          <c:orientation val="minMax"/>
          <c:max val="2000"/>
          <c:min val="12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Receiver Temperature, 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</a:p>
            </c:rich>
          </c:tx>
          <c:layout>
            <c:manualLayout>
              <c:xMode val="edge"/>
              <c:yMode val="edge"/>
              <c:x val="0.39049826187717368"/>
              <c:y val="0.930578512396694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44896"/>
        <c:crosses val="autoZero"/>
        <c:crossBetween val="midCat"/>
      </c:valAx>
      <c:valAx>
        <c:axId val="212144896"/>
        <c:scaling>
          <c:orientation val="minMax"/>
          <c:max val="0.60000000000000064"/>
          <c:min val="0.3000000000000003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 To Process</a:t>
                </a:r>
              </a:p>
            </c:rich>
          </c:tx>
          <c:layout>
            <c:manualLayout>
              <c:xMode val="edge"/>
              <c:yMode val="edge"/>
              <c:x val="5.7937427578215635E-3"/>
              <c:y val="0.36198347107438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34528"/>
        <c:crosses val="autoZero"/>
        <c:crossBetween val="midCat"/>
        <c:maj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856315179606035"/>
          <c:y val="0.17685950413223162"/>
          <c:w val="0.35341830822711523"/>
          <c:h val="0.147107438016529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264, North Field</a:t>
            </a:r>
          </a:p>
        </c:rich>
      </c:tx>
      <c:layout>
        <c:manualLayout>
          <c:xMode val="edge"/>
          <c:yMode val="edge"/>
          <c:x val="0.36186804804160128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40479124056803"/>
          <c:y val="9.5238435920458206E-2"/>
          <c:w val="0.8249035073636497"/>
          <c:h val="0.7252773197019495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Details'!$P$148:$P$158</c:f>
              <c:numCache>
                <c:formatCode>0.000</c:formatCode>
                <c:ptCount val="11"/>
                <c:pt idx="0">
                  <c:v>0.30773459935760172</c:v>
                </c:pt>
                <c:pt idx="1">
                  <c:v>0.51033346895074949</c:v>
                </c:pt>
                <c:pt idx="2">
                  <c:v>0.61568832976445398</c:v>
                </c:pt>
                <c:pt idx="3">
                  <c:v>0.64880728051391856</c:v>
                </c:pt>
                <c:pt idx="4">
                  <c:v>0.67396156316916489</c:v>
                </c:pt>
                <c:pt idx="5">
                  <c:v>0.67068629550321202</c:v>
                </c:pt>
                <c:pt idx="6">
                  <c:v>0.67396156316916489</c:v>
                </c:pt>
                <c:pt idx="7">
                  <c:v>0.64880728051391856</c:v>
                </c:pt>
                <c:pt idx="8">
                  <c:v>0.61568832976445398</c:v>
                </c:pt>
                <c:pt idx="9">
                  <c:v>0.51033346895074949</c:v>
                </c:pt>
                <c:pt idx="10">
                  <c:v>0.30773459935760172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9E-4BBA-A0A0-2702F675BB6A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Details'!$R$148:$R$158</c:f>
              <c:numCache>
                <c:formatCode>0.000</c:formatCode>
                <c:ptCount val="11"/>
                <c:pt idx="0">
                  <c:v>0.58386663187495513</c:v>
                </c:pt>
                <c:pt idx="1">
                  <c:v>0.82268323602589044</c:v>
                </c:pt>
                <c:pt idx="2">
                  <c:v>0.87170279779434567</c:v>
                </c:pt>
                <c:pt idx="3">
                  <c:v>0.888251884253769</c:v>
                </c:pt>
                <c:pt idx="4">
                  <c:v>0.89209547749850937</c:v>
                </c:pt>
                <c:pt idx="5">
                  <c:v>0.89253253118474252</c:v>
                </c:pt>
                <c:pt idx="6">
                  <c:v>0.88841832987076641</c:v>
                </c:pt>
                <c:pt idx="7">
                  <c:v>0.87823656862313149</c:v>
                </c:pt>
                <c:pt idx="8">
                  <c:v>0.86293949995327157</c:v>
                </c:pt>
                <c:pt idx="9">
                  <c:v>0.79649857342572228</c:v>
                </c:pt>
                <c:pt idx="10">
                  <c:v>0.60822164199562567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9E-4BBA-A0A0-2702F675BB6A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Details'!$T$148:$T$158</c:f>
              <c:numCache>
                <c:formatCode>0.000</c:formatCode>
                <c:ptCount val="11"/>
                <c:pt idx="0">
                  <c:v>0.80198763505766002</c:v>
                </c:pt>
                <c:pt idx="1">
                  <c:v>0.88059717909807944</c:v>
                </c:pt>
                <c:pt idx="2">
                  <c:v>0.90102905504690267</c:v>
                </c:pt>
                <c:pt idx="3">
                  <c:v>0.90608111588218376</c:v>
                </c:pt>
                <c:pt idx="4">
                  <c:v>0.90958645251689618</c:v>
                </c:pt>
                <c:pt idx="5">
                  <c:v>0.90914492184805595</c:v>
                </c:pt>
                <c:pt idx="6">
                  <c:v>0.90958645251689618</c:v>
                </c:pt>
                <c:pt idx="7">
                  <c:v>0.90608111588218376</c:v>
                </c:pt>
                <c:pt idx="8">
                  <c:v>0.90102905504690267</c:v>
                </c:pt>
                <c:pt idx="9">
                  <c:v>0.88059717909807944</c:v>
                </c:pt>
                <c:pt idx="10">
                  <c:v>0.80198763505766002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9E-4BBA-A0A0-2702F675BB6A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Details'!$S$148:$S$158</c:f>
              <c:numCache>
                <c:formatCode>0.000</c:formatCode>
                <c:ptCount val="11"/>
                <c:pt idx="0">
                  <c:v>0.17967596403831165</c:v>
                </c:pt>
                <c:pt idx="1">
                  <c:v>0.41984278968872085</c:v>
                </c:pt>
                <c:pt idx="2">
                  <c:v>0.53669723962500226</c:v>
                </c:pt>
                <c:pt idx="3">
                  <c:v>0.57630428943405188</c:v>
                </c:pt>
                <c:pt idx="4">
                  <c:v>0.60123806251103795</c:v>
                </c:pt>
                <c:pt idx="5">
                  <c:v>0.59860933695640006</c:v>
                </c:pt>
                <c:pt idx="6">
                  <c:v>0.59875980634784054</c:v>
                </c:pt>
                <c:pt idx="7">
                  <c:v>0.56980627973624931</c:v>
                </c:pt>
                <c:pt idx="8">
                  <c:v>0.53130177941400292</c:v>
                </c:pt>
                <c:pt idx="9">
                  <c:v>0.40647987999067209</c:v>
                </c:pt>
                <c:pt idx="10">
                  <c:v>0.18717084332014652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9E-4BBA-A0A0-2702F675BB6A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Details'!$U$148:$U$158</c:f>
              <c:numCache>
                <c:formatCode>0.000</c:formatCode>
                <c:ptCount val="11"/>
                <c:pt idx="0">
                  <c:v>0.24679934356421951</c:v>
                </c:pt>
                <c:pt idx="1">
                  <c:v>0.44939821315736733</c:v>
                </c:pt>
                <c:pt idx="2">
                  <c:v>0.55475307397107176</c:v>
                </c:pt>
                <c:pt idx="3">
                  <c:v>0.58787202472053635</c:v>
                </c:pt>
                <c:pt idx="4">
                  <c:v>0.61302630737578268</c:v>
                </c:pt>
                <c:pt idx="5">
                  <c:v>0.6097510397098298</c:v>
                </c:pt>
                <c:pt idx="6">
                  <c:v>0.61302630737578268</c:v>
                </c:pt>
                <c:pt idx="7">
                  <c:v>0.58787202472053635</c:v>
                </c:pt>
                <c:pt idx="8">
                  <c:v>0.55475307397107176</c:v>
                </c:pt>
                <c:pt idx="9">
                  <c:v>0.44939821315736733</c:v>
                </c:pt>
                <c:pt idx="10">
                  <c:v>0.24679934356421951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9E-4BBA-A0A0-2702F675B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8064"/>
        <c:axId val="212219776"/>
      </c:scatterChart>
      <c:valAx>
        <c:axId val="212168064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498098646205777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219776"/>
        <c:crosses val="autoZero"/>
        <c:crossBetween val="midCat"/>
      </c:valAx>
      <c:valAx>
        <c:axId val="2122197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291852820111926E-2"/>
              <c:y val="0.3406605592539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6806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910542800172127"/>
          <c:y val="0.46886614606994848"/>
          <c:w val="0.31322986954138582"/>
          <c:h val="0.32234547542308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173, North Field</a:t>
            </a:r>
          </a:p>
        </c:rich>
      </c:tx>
      <c:layout>
        <c:manualLayout>
          <c:xMode val="edge"/>
          <c:yMode val="edge"/>
          <c:x val="0.36186804804160128"/>
          <c:y val="1.65562913907284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031838057665"/>
          <c:y val="8.9403973509933732E-2"/>
          <c:w val="0.8249035073636497"/>
          <c:h val="0.7450331125827827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Details'!$P$104:$P$116</c:f>
              <c:numCache>
                <c:formatCode>0.000</c:formatCode>
                <c:ptCount val="13"/>
                <c:pt idx="0">
                  <c:v>0.26743968950749464</c:v>
                </c:pt>
                <c:pt idx="1">
                  <c:v>0.4019382119914347</c:v>
                </c:pt>
                <c:pt idx="2">
                  <c:v>0.53980396145610277</c:v>
                </c:pt>
                <c:pt idx="3">
                  <c:v>0.60664807280513922</c:v>
                </c:pt>
                <c:pt idx="4">
                  <c:v>0.63496809421841538</c:v>
                </c:pt>
                <c:pt idx="5">
                  <c:v>0.65151032119914343</c:v>
                </c:pt>
                <c:pt idx="6">
                  <c:v>0.6524966274089935</c:v>
                </c:pt>
                <c:pt idx="7">
                  <c:v>0.65151032119914343</c:v>
                </c:pt>
                <c:pt idx="8">
                  <c:v>0.63496809421841538</c:v>
                </c:pt>
                <c:pt idx="9">
                  <c:v>0.60664807280513922</c:v>
                </c:pt>
                <c:pt idx="10">
                  <c:v>0.53980396145610277</c:v>
                </c:pt>
                <c:pt idx="11">
                  <c:v>0.4019382119914347</c:v>
                </c:pt>
                <c:pt idx="12">
                  <c:v>0.26743968950749464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0E-4C0B-92B7-1872525506A3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Details'!$R$104:$R$116</c:f>
              <c:numCache>
                <c:formatCode>0.000</c:formatCode>
                <c:ptCount val="13"/>
                <c:pt idx="0">
                  <c:v>0.44250863950915453</c:v>
                </c:pt>
                <c:pt idx="1">
                  <c:v>0.76396770981535822</c:v>
                </c:pt>
                <c:pt idx="2">
                  <c:v>0.84946117478268002</c:v>
                </c:pt>
                <c:pt idx="3">
                  <c:v>0.87632365124279099</c:v>
                </c:pt>
                <c:pt idx="4">
                  <c:v>0.88540478297050385</c:v>
                </c:pt>
                <c:pt idx="5">
                  <c:v>0.89045962259866496</c:v>
                </c:pt>
                <c:pt idx="6">
                  <c:v>0.89133788011899828</c:v>
                </c:pt>
                <c:pt idx="7">
                  <c:v>0.88683242852564348</c:v>
                </c:pt>
                <c:pt idx="8">
                  <c:v>0.88605336668123036</c:v>
                </c:pt>
                <c:pt idx="9">
                  <c:v>0.87066508273018595</c:v>
                </c:pt>
                <c:pt idx="10">
                  <c:v>0.8489912863600807</c:v>
                </c:pt>
                <c:pt idx="11">
                  <c:v>0.77382733106729018</c:v>
                </c:pt>
                <c:pt idx="12">
                  <c:v>0.56852660200869498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0E-4C0B-92B7-1872525506A3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Details'!$T$104:$T$116</c:f>
              <c:numCache>
                <c:formatCode>0.000</c:formatCode>
                <c:ptCount val="13"/>
                <c:pt idx="0">
                  <c:v>0.77215328096739144</c:v>
                </c:pt>
                <c:pt idx="1">
                  <c:v>0.84839646001440461</c:v>
                </c:pt>
                <c:pt idx="2">
                  <c:v>0.88711595293037226</c:v>
                </c:pt>
                <c:pt idx="3">
                  <c:v>0.89955419208435339</c:v>
                </c:pt>
                <c:pt idx="4">
                  <c:v>0.90403414541893223</c:v>
                </c:pt>
                <c:pt idx="5">
                  <c:v>0.90647077442882684</c:v>
                </c:pt>
                <c:pt idx="6">
                  <c:v>0.90661215210360435</c:v>
                </c:pt>
                <c:pt idx="7">
                  <c:v>0.90647077442882684</c:v>
                </c:pt>
                <c:pt idx="8">
                  <c:v>0.90403414541893223</c:v>
                </c:pt>
                <c:pt idx="9">
                  <c:v>0.89955419208435339</c:v>
                </c:pt>
                <c:pt idx="10">
                  <c:v>0.88711595293037226</c:v>
                </c:pt>
                <c:pt idx="11">
                  <c:v>0.84839646001440461</c:v>
                </c:pt>
                <c:pt idx="12">
                  <c:v>0.77215328096739144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0E-4C0B-92B7-1872525506A3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Details'!$S$104:$S$116</c:f>
              <c:numCache>
                <c:formatCode>0.000</c:formatCode>
                <c:ptCount val="13"/>
                <c:pt idx="0">
                  <c:v>0.11834437315471216</c:v>
                </c:pt>
                <c:pt idx="1">
                  <c:v>0.30706781530237631</c:v>
                </c:pt>
                <c:pt idx="2">
                  <c:v>0.45854250725084555</c:v>
                </c:pt>
                <c:pt idx="3">
                  <c:v>0.53162005418000213</c:v>
                </c:pt>
                <c:pt idx="4">
                  <c:v>0.56220378765465051</c:v>
                </c:pt>
                <c:pt idx="5">
                  <c:v>0.58014363473412423</c:v>
                </c:pt>
                <c:pt idx="6">
                  <c:v>0.58159496065952809</c:v>
                </c:pt>
                <c:pt idx="7">
                  <c:v>0.57778048035855833</c:v>
                </c:pt>
                <c:pt idx="8">
                  <c:v>0.56261561761739165</c:v>
                </c:pt>
                <c:pt idx="9">
                  <c:v>0.52818729449699442</c:v>
                </c:pt>
                <c:pt idx="10">
                  <c:v>0.4582888596188841</c:v>
                </c:pt>
                <c:pt idx="11">
                  <c:v>0.31103077383929062</c:v>
                </c:pt>
                <c:pt idx="12">
                  <c:v>0.15204657791795637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0E-4C0B-92B7-1872525506A3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Details'!$U$104:$U$116</c:f>
              <c:numCache>
                <c:formatCode>0.000</c:formatCode>
                <c:ptCount val="13"/>
                <c:pt idx="0">
                  <c:v>0.20650443371411242</c:v>
                </c:pt>
                <c:pt idx="1">
                  <c:v>0.34100295619805249</c:v>
                </c:pt>
                <c:pt idx="2">
                  <c:v>0.47886870566272055</c:v>
                </c:pt>
                <c:pt idx="3">
                  <c:v>0.545712817011757</c:v>
                </c:pt>
                <c:pt idx="4">
                  <c:v>0.57403283842503317</c:v>
                </c:pt>
                <c:pt idx="5">
                  <c:v>0.59057506540576121</c:v>
                </c:pt>
                <c:pt idx="6">
                  <c:v>0.59156137161561129</c:v>
                </c:pt>
                <c:pt idx="7">
                  <c:v>0.59057506540576121</c:v>
                </c:pt>
                <c:pt idx="8">
                  <c:v>0.57403283842503317</c:v>
                </c:pt>
                <c:pt idx="9">
                  <c:v>0.545712817011757</c:v>
                </c:pt>
                <c:pt idx="10">
                  <c:v>0.47886870566272055</c:v>
                </c:pt>
                <c:pt idx="11">
                  <c:v>0.34100295619805249</c:v>
                </c:pt>
                <c:pt idx="12">
                  <c:v>0.20650443371411242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0E-4C0B-92B7-18725255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1504"/>
        <c:axId val="212343808"/>
      </c:scatterChart>
      <c:valAx>
        <c:axId val="2123415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108993218203981"/>
              <c:y val="0.9072847682119193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343808"/>
        <c:crosses val="autoZero"/>
        <c:crossBetween val="midCat"/>
        <c:majorUnit val="2"/>
      </c:valAx>
      <c:valAx>
        <c:axId val="2123438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291852820111926E-2"/>
              <c:y val="0.3410596026490068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3415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494200942174768"/>
          <c:y val="0.49668874172185529"/>
          <c:w val="0.31322986954138582"/>
          <c:h val="0.291390728476821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356 North Field</a:t>
            </a:r>
          </a:p>
        </c:rich>
      </c:tx>
      <c:layout>
        <c:manualLayout>
          <c:xMode val="edge"/>
          <c:yMode val="edge"/>
          <c:x val="0.37769116324758034"/>
          <c:y val="1.86567504094828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016871041072"/>
          <c:y val="9.7015102129310998E-2"/>
          <c:w val="0.82583249166051165"/>
          <c:h val="0.7238819158879354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Details'!$P$188:$P$196</c:f>
              <c:numCache>
                <c:formatCode>0.000</c:formatCode>
                <c:ptCount val="9"/>
                <c:pt idx="0">
                  <c:v>0.29197771948608137</c:v>
                </c:pt>
                <c:pt idx="1">
                  <c:v>0.46365620985010703</c:v>
                </c:pt>
                <c:pt idx="2">
                  <c:v>0.53305804068522478</c:v>
                </c:pt>
                <c:pt idx="3">
                  <c:v>0.6092716177730193</c:v>
                </c:pt>
                <c:pt idx="4">
                  <c:v>0.62409614561027837</c:v>
                </c:pt>
                <c:pt idx="5">
                  <c:v>0.6092716177730193</c:v>
                </c:pt>
                <c:pt idx="6">
                  <c:v>0.53305804068522478</c:v>
                </c:pt>
                <c:pt idx="7">
                  <c:v>0.46365620985010703</c:v>
                </c:pt>
                <c:pt idx="8">
                  <c:v>0.29197771948608137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86-4FB4-A97C-9692AA9BAF7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Details'!$R$188:$R$196</c:f>
              <c:numCache>
                <c:formatCode>0.000</c:formatCode>
                <c:ptCount val="9"/>
                <c:pt idx="0">
                  <c:v>0.39995849352341151</c:v>
                </c:pt>
                <c:pt idx="1">
                  <c:v>0.76139829689968896</c:v>
                </c:pt>
                <c:pt idx="2">
                  <c:v>0.82413444649680789</c:v>
                </c:pt>
                <c:pt idx="3">
                  <c:v>0.85505321051924443</c:v>
                </c:pt>
                <c:pt idx="4">
                  <c:v>0.85694461213823991</c:v>
                </c:pt>
                <c:pt idx="5">
                  <c:v>0.85324189023036245</c:v>
                </c:pt>
                <c:pt idx="6">
                  <c:v>0.82707798257505882</c:v>
                </c:pt>
                <c:pt idx="7">
                  <c:v>0.7686602645824876</c:v>
                </c:pt>
                <c:pt idx="8">
                  <c:v>0.49001674894918978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86-4FB4-A97C-9692AA9BAF7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Details'!$T$188:$T$196</c:f>
              <c:numCache>
                <c:formatCode>0.000</c:formatCode>
                <c:ptCount val="9"/>
                <c:pt idx="0">
                  <c:v>0.79130169281191676</c:v>
                </c:pt>
                <c:pt idx="1">
                  <c:v>0.86857664256652223</c:v>
                </c:pt>
                <c:pt idx="2">
                  <c:v>0.8856873902229252</c:v>
                </c:pt>
                <c:pt idx="3">
                  <c:v>0.89998671525827867</c:v>
                </c:pt>
                <c:pt idx="4">
                  <c:v>0.90236239043938327</c:v>
                </c:pt>
                <c:pt idx="5">
                  <c:v>0.89998671525827867</c:v>
                </c:pt>
                <c:pt idx="6">
                  <c:v>0.8856873902229252</c:v>
                </c:pt>
                <c:pt idx="7">
                  <c:v>0.86857664256652223</c:v>
                </c:pt>
                <c:pt idx="8">
                  <c:v>0.79130169281191676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86-4FB4-A97C-9692AA9BAF7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Details'!$S$188:$S$196</c:f>
              <c:numCache>
                <c:formatCode>0.000</c:formatCode>
                <c:ptCount val="9"/>
                <c:pt idx="0">
                  <c:v>0.11677896882805433</c:v>
                </c:pt>
                <c:pt idx="1">
                  <c:v>0.35302704852683631</c:v>
                </c:pt>
                <c:pt idx="2">
                  <c:v>0.43931149331079061</c:v>
                </c:pt>
                <c:pt idx="3">
                  <c:v>0.52095965285507406</c:v>
                </c:pt>
                <c:pt idx="4">
                  <c:v>0.53481582943697048</c:v>
                </c:pt>
                <c:pt idx="5">
                  <c:v>0.51985606681236185</c:v>
                </c:pt>
                <c:pt idx="6">
                  <c:v>0.44088056888534932</c:v>
                </c:pt>
                <c:pt idx="7">
                  <c:v>0.35639410493869667</c:v>
                </c:pt>
                <c:pt idx="8">
                  <c:v>0.14307397286816809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86-4FB4-A97C-9692AA9BAF7C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Details'!$U$188:$U$196</c:f>
              <c:numCache>
                <c:formatCode>0.000</c:formatCode>
                <c:ptCount val="9"/>
                <c:pt idx="0">
                  <c:v>0.23104246369269915</c:v>
                </c:pt>
                <c:pt idx="1">
                  <c:v>0.40272095405672481</c:v>
                </c:pt>
                <c:pt idx="2">
                  <c:v>0.47212278489184262</c:v>
                </c:pt>
                <c:pt idx="3">
                  <c:v>0.54833636197963709</c:v>
                </c:pt>
                <c:pt idx="4">
                  <c:v>0.56316088981689616</c:v>
                </c:pt>
                <c:pt idx="5">
                  <c:v>0.54833636197963709</c:v>
                </c:pt>
                <c:pt idx="6">
                  <c:v>0.47212278489184262</c:v>
                </c:pt>
                <c:pt idx="7">
                  <c:v>0.40272095405672481</c:v>
                </c:pt>
                <c:pt idx="8">
                  <c:v>0.23104246369269915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86-4FB4-A97C-9692AA9BA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95520"/>
        <c:axId val="212406272"/>
      </c:scatterChart>
      <c:valAx>
        <c:axId val="21239552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379692067189859"/>
              <c:y val="0.8992553697370736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06272"/>
        <c:crosses val="autoZero"/>
        <c:crossBetween val="midCat"/>
        <c:majorUnit val="2"/>
      </c:valAx>
      <c:valAx>
        <c:axId val="2124062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440337420821531E-2"/>
              <c:y val="0.339552857452588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39552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943285744180556"/>
          <c:y val="0.46641876023707296"/>
          <c:w val="0.31506879421171224"/>
          <c:h val="0.328358807206899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 North Field</a:t>
            </a:r>
          </a:p>
        </c:rich>
      </c:tx>
      <c:layout>
        <c:manualLayout>
          <c:xMode val="edge"/>
          <c:yMode val="edge"/>
          <c:x val="0.39843750000000044"/>
          <c:y val="2.0576214378433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1875"/>
          <c:y val="0.10288107189216759"/>
          <c:w val="0.837890625000001"/>
          <c:h val="0.7119370174938028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Details'!$P$35:$P$43</c:f>
              <c:numCache>
                <c:formatCode>0.000</c:formatCode>
                <c:ptCount val="9"/>
                <c:pt idx="0">
                  <c:v>0.34461231263383296</c:v>
                </c:pt>
                <c:pt idx="1">
                  <c:v>0.50398479657387585</c:v>
                </c:pt>
                <c:pt idx="2">
                  <c:v>0.56721702355460391</c:v>
                </c:pt>
                <c:pt idx="3">
                  <c:v>0.62350770877944328</c:v>
                </c:pt>
                <c:pt idx="4">
                  <c:v>0.64353194860813701</c:v>
                </c:pt>
                <c:pt idx="5">
                  <c:v>0.62350770877944328</c:v>
                </c:pt>
                <c:pt idx="6">
                  <c:v>0.56721702355460391</c:v>
                </c:pt>
                <c:pt idx="7">
                  <c:v>0.50398479657387585</c:v>
                </c:pt>
                <c:pt idx="8">
                  <c:v>0.34461231263383296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5-4506-8B83-9C2DDC4A8B07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Details'!$R$35:$R$43</c:f>
              <c:numCache>
                <c:formatCode>0.000</c:formatCode>
                <c:ptCount val="9"/>
                <c:pt idx="0">
                  <c:v>0.33021730683496298</c:v>
                </c:pt>
                <c:pt idx="1">
                  <c:v>0.76677774200114945</c:v>
                </c:pt>
                <c:pt idx="2">
                  <c:v>0.83604359471538847</c:v>
                </c:pt>
                <c:pt idx="3">
                  <c:v>0.85883125606267563</c:v>
                </c:pt>
                <c:pt idx="4">
                  <c:v>0.86895164011010972</c:v>
                </c:pt>
                <c:pt idx="5">
                  <c:v>0.86503219077654403</c:v>
                </c:pt>
                <c:pt idx="6">
                  <c:v>0.85008181758616053</c:v>
                </c:pt>
                <c:pt idx="7">
                  <c:v>0.81474323308128083</c:v>
                </c:pt>
                <c:pt idx="8">
                  <c:v>0.66211541879660585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15-4506-8B83-9C2DDC4A8B07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Details'!$T$35:$T$43</c:f>
              <c:numCache>
                <c:formatCode>0.000</c:formatCode>
                <c:ptCount val="9"/>
                <c:pt idx="0">
                  <c:v>0.82317736900443017</c:v>
                </c:pt>
                <c:pt idx="1">
                  <c:v>0.87909306747420879</c:v>
                </c:pt>
                <c:pt idx="2">
                  <c:v>0.89257153212448292</c:v>
                </c:pt>
                <c:pt idx="3">
                  <c:v>0.90227024472132522</c:v>
                </c:pt>
                <c:pt idx="4">
                  <c:v>0.9053112189298822</c:v>
                </c:pt>
                <c:pt idx="5">
                  <c:v>0.90227024472132522</c:v>
                </c:pt>
                <c:pt idx="6">
                  <c:v>0.89257153212448292</c:v>
                </c:pt>
                <c:pt idx="7">
                  <c:v>0.87909306747420879</c:v>
                </c:pt>
                <c:pt idx="8">
                  <c:v>0.82317736900443017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15-4506-8B83-9C2DDC4A8B07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Details'!$S$35:$S$43</c:f>
              <c:numCache>
                <c:formatCode>0.000</c:formatCode>
                <c:ptCount val="9"/>
                <c:pt idx="0">
                  <c:v>0.11379694978011261</c:v>
                </c:pt>
                <c:pt idx="1">
                  <c:v>0.38644432431982517</c:v>
                </c:pt>
                <c:pt idx="2">
                  <c:v>0.4742181593563542</c:v>
                </c:pt>
                <c:pt idx="3">
                  <c:v>0.5354879086958102</c:v>
                </c:pt>
                <c:pt idx="4">
                  <c:v>0.55919814220629549</c:v>
                </c:pt>
                <c:pt idx="5">
                  <c:v>0.53935423929154525</c:v>
                </c:pt>
                <c:pt idx="6">
                  <c:v>0.48218087834910972</c:v>
                </c:pt>
                <c:pt idx="7">
                  <c:v>0.41061820258441123</c:v>
                </c:pt>
                <c:pt idx="8">
                  <c:v>0.22817312570201717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15-4506-8B83-9C2DDC4A8B07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Details'!$U$35:$U$43</c:f>
              <c:numCache>
                <c:formatCode>0.000</c:formatCode>
                <c:ptCount val="9"/>
                <c:pt idx="0">
                  <c:v>0.28367705684045075</c:v>
                </c:pt>
                <c:pt idx="1">
                  <c:v>0.44304954078049363</c:v>
                </c:pt>
                <c:pt idx="2">
                  <c:v>0.50628176776122169</c:v>
                </c:pt>
                <c:pt idx="3">
                  <c:v>0.56257245298606107</c:v>
                </c:pt>
                <c:pt idx="4">
                  <c:v>0.58259669281475479</c:v>
                </c:pt>
                <c:pt idx="5">
                  <c:v>0.56257245298606107</c:v>
                </c:pt>
                <c:pt idx="6">
                  <c:v>0.50628176776122169</c:v>
                </c:pt>
                <c:pt idx="7">
                  <c:v>0.44304954078049363</c:v>
                </c:pt>
                <c:pt idx="8">
                  <c:v>0.28367705684045075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15-4506-8B83-9C2DDC4A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8224"/>
        <c:axId val="212558976"/>
      </c:scatterChart>
      <c:valAx>
        <c:axId val="2125482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75"/>
              <c:y val="0.893007704024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58976"/>
        <c:crosses val="autoZero"/>
        <c:crossBetween val="midCat"/>
        <c:majorUnit val="2"/>
      </c:valAx>
      <c:valAx>
        <c:axId val="2125589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390625E-2"/>
              <c:y val="0.337449915806310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482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476562500000044"/>
          <c:y val="0.4526767163255383"/>
          <c:w val="0.31445312500000044"/>
          <c:h val="0.362141373060430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326 North Field</a:t>
            </a:r>
          </a:p>
        </c:rich>
      </c:tx>
      <c:layout>
        <c:manualLayout>
          <c:xMode val="edge"/>
          <c:yMode val="edge"/>
          <c:x val="0.37647130911326115"/>
          <c:y val="1.87266602537609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5122443938503"/>
          <c:y val="9.7378633319556512E-2"/>
          <c:w val="0.82549177675355634"/>
          <c:h val="0.7228490857951698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Details'!$P$175:$P$183</c:f>
              <c:numCache>
                <c:formatCode>0.000</c:formatCode>
                <c:ptCount val="9"/>
                <c:pt idx="0">
                  <c:v>0.34461231263383296</c:v>
                </c:pt>
                <c:pt idx="1">
                  <c:v>0.50398479657387585</c:v>
                </c:pt>
                <c:pt idx="2">
                  <c:v>0.56721702355460391</c:v>
                </c:pt>
                <c:pt idx="3">
                  <c:v>0.62350770877944328</c:v>
                </c:pt>
                <c:pt idx="4">
                  <c:v>0.64353194860813701</c:v>
                </c:pt>
                <c:pt idx="5">
                  <c:v>0.62350770877944328</c:v>
                </c:pt>
                <c:pt idx="6">
                  <c:v>0.56721702355460391</c:v>
                </c:pt>
                <c:pt idx="7">
                  <c:v>0.50398479657387585</c:v>
                </c:pt>
                <c:pt idx="8">
                  <c:v>0.34461231263383296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E1-4FCF-BE18-B548CF94DDA6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Details'!$R$175:$R$183</c:f>
              <c:numCache>
                <c:formatCode>0.000</c:formatCode>
                <c:ptCount val="9"/>
                <c:pt idx="0">
                  <c:v>0.64350276008957707</c:v>
                </c:pt>
                <c:pt idx="1">
                  <c:v>0.82022165068528274</c:v>
                </c:pt>
                <c:pt idx="2">
                  <c:v>0.85463650551325998</c:v>
                </c:pt>
                <c:pt idx="3">
                  <c:v>0.87459289711449406</c:v>
                </c:pt>
                <c:pt idx="4">
                  <c:v>0.87782092765146091</c:v>
                </c:pt>
                <c:pt idx="5">
                  <c:v>0.86640423501502584</c:v>
                </c:pt>
                <c:pt idx="6">
                  <c:v>0.83917894030611206</c:v>
                </c:pt>
                <c:pt idx="7">
                  <c:v>0.78688554783938103</c:v>
                </c:pt>
                <c:pt idx="8">
                  <c:v>0.61674164223198513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E1-4FCF-BE18-B548CF94DDA6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Details'!$T$175:$T$183</c:f>
              <c:numCache>
                <c:formatCode>0.000</c:formatCode>
                <c:ptCount val="9"/>
                <c:pt idx="0">
                  <c:v>0.82317736900443017</c:v>
                </c:pt>
                <c:pt idx="1">
                  <c:v>0.87909306747420879</c:v>
                </c:pt>
                <c:pt idx="2">
                  <c:v>0.89257153212448292</c:v>
                </c:pt>
                <c:pt idx="3">
                  <c:v>0.90227024472132522</c:v>
                </c:pt>
                <c:pt idx="4">
                  <c:v>0.9053112189298822</c:v>
                </c:pt>
                <c:pt idx="5">
                  <c:v>0.90227024472132522</c:v>
                </c:pt>
                <c:pt idx="6">
                  <c:v>0.89257153212448292</c:v>
                </c:pt>
                <c:pt idx="7">
                  <c:v>0.87909306747420879</c:v>
                </c:pt>
                <c:pt idx="8">
                  <c:v>0.82317736900443017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E1-4FCF-BE18-B548CF94DDA6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Details'!$S$175:$S$183</c:f>
              <c:numCache>
                <c:formatCode>0.000</c:formatCode>
                <c:ptCount val="9"/>
                <c:pt idx="0">
                  <c:v>0.22175897434072375</c:v>
                </c:pt>
                <c:pt idx="1">
                  <c:v>0.41337924176611091</c:v>
                </c:pt>
                <c:pt idx="2">
                  <c:v>0.48476437487833918</c:v>
                </c:pt>
                <c:pt idx="3">
                  <c:v>0.54531541339463352</c:v>
                </c:pt>
                <c:pt idx="4">
                  <c:v>0.56490581210054713</c:v>
                </c:pt>
                <c:pt idx="5">
                  <c:v>0.54020971945102503</c:v>
                </c:pt>
                <c:pt idx="6">
                  <c:v>0.47599658075013951</c:v>
                </c:pt>
                <c:pt idx="7">
                  <c:v>0.39657835275475328</c:v>
                </c:pt>
                <c:pt idx="8">
                  <c:v>0.21253676362715243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E1-4FCF-BE18-B548CF94DDA6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Details'!$U$175:$U$183</c:f>
              <c:numCache>
                <c:formatCode>0.000</c:formatCode>
                <c:ptCount val="9"/>
                <c:pt idx="0">
                  <c:v>0.28367705684045075</c:v>
                </c:pt>
                <c:pt idx="1">
                  <c:v>0.44304954078049363</c:v>
                </c:pt>
                <c:pt idx="2">
                  <c:v>0.50628176776122169</c:v>
                </c:pt>
                <c:pt idx="3">
                  <c:v>0.56257245298606107</c:v>
                </c:pt>
                <c:pt idx="4">
                  <c:v>0.58259669281475479</c:v>
                </c:pt>
                <c:pt idx="5">
                  <c:v>0.56257245298606107</c:v>
                </c:pt>
                <c:pt idx="6">
                  <c:v>0.50628176776122169</c:v>
                </c:pt>
                <c:pt idx="7">
                  <c:v>0.44304954078049363</c:v>
                </c:pt>
                <c:pt idx="8">
                  <c:v>0.28367705684045075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E1-4FCF-BE18-B548CF94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0000"/>
        <c:axId val="212482304"/>
      </c:scatterChart>
      <c:valAx>
        <c:axId val="21248000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274598411838253"/>
              <c:y val="0.898879692180523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82304"/>
        <c:crosses val="autoZero"/>
        <c:crossBetween val="midCat"/>
        <c:majorUnit val="2"/>
      </c:valAx>
      <c:valAx>
        <c:axId val="2124823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490244887877055E-2"/>
              <c:y val="0.3370798845676966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8000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82360375230498"/>
          <c:y val="0.46442117429327023"/>
          <c:w val="0.31568687899601605"/>
          <c:h val="0.329589220466191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 North Field</a:t>
            </a:r>
          </a:p>
        </c:rich>
      </c:tx>
      <c:layout>
        <c:manualLayout>
          <c:xMode val="edge"/>
          <c:yMode val="edge"/>
          <c:x val="0.38491332291287988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8901452686629879E-2"/>
          <c:w val="0.82398530432606254"/>
          <c:h val="0.7179512861696086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Details'!$P$47:$P$55</c:f>
              <c:numCache>
                <c:formatCode>0.000</c:formatCode>
                <c:ptCount val="9"/>
                <c:pt idx="0">
                  <c:v>0.45719893361884373</c:v>
                </c:pt>
                <c:pt idx="1">
                  <c:v>0.57862901498929331</c:v>
                </c:pt>
                <c:pt idx="2">
                  <c:v>0.64155749464668099</c:v>
                </c:pt>
                <c:pt idx="3">
                  <c:v>0.66129528907922919</c:v>
                </c:pt>
                <c:pt idx="4">
                  <c:v>0.6654552462526766</c:v>
                </c:pt>
                <c:pt idx="5">
                  <c:v>0.66129528907922919</c:v>
                </c:pt>
                <c:pt idx="6">
                  <c:v>0.64155749464668099</c:v>
                </c:pt>
                <c:pt idx="7">
                  <c:v>0.57862901498929331</c:v>
                </c:pt>
                <c:pt idx="8">
                  <c:v>0.45719893361884373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7-428E-A39E-65332C4DABF0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Details'!$R$47:$R$55</c:f>
              <c:numCache>
                <c:formatCode>0.000</c:formatCode>
                <c:ptCount val="9"/>
                <c:pt idx="0">
                  <c:v>0.65592599628628978</c:v>
                </c:pt>
                <c:pt idx="1">
                  <c:v>0.80689770935819982</c:v>
                </c:pt>
                <c:pt idx="2">
                  <c:v>0.84894664015836807</c:v>
                </c:pt>
                <c:pt idx="3">
                  <c:v>0.8613537252560759</c:v>
                </c:pt>
                <c:pt idx="4">
                  <c:v>0.86607783981381936</c:v>
                </c:pt>
                <c:pt idx="5">
                  <c:v>0.86202842103156774</c:v>
                </c:pt>
                <c:pt idx="6">
                  <c:v>0.85972649119828193</c:v>
                </c:pt>
                <c:pt idx="7">
                  <c:v>0.83689169277020192</c:v>
                </c:pt>
                <c:pt idx="8">
                  <c:v>0.77063142936208351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97-428E-A39E-65332C4DABF0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Details'!$T$47:$T$55</c:f>
              <c:numCache>
                <c:formatCode>0.000</c:formatCode>
                <c:ptCount val="9"/>
                <c:pt idx="0">
                  <c:v>0.86672047699003929</c:v>
                </c:pt>
                <c:pt idx="1">
                  <c:v>0.89469028649641824</c:v>
                </c:pt>
                <c:pt idx="2">
                  <c:v>0.90501980523672243</c:v>
                </c:pt>
                <c:pt idx="3">
                  <c:v>0.90785469547465414</c:v>
                </c:pt>
                <c:pt idx="4">
                  <c:v>0.90843072297269889</c:v>
                </c:pt>
                <c:pt idx="5">
                  <c:v>0.90785469547465414</c:v>
                </c:pt>
                <c:pt idx="6">
                  <c:v>0.90501980523672243</c:v>
                </c:pt>
                <c:pt idx="7">
                  <c:v>0.89469028649641824</c:v>
                </c:pt>
                <c:pt idx="8">
                  <c:v>0.86672047699003929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97-428E-A39E-65332C4DABF0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Details'!$S$47:$S$55</c:f>
              <c:numCache>
                <c:formatCode>0.000</c:formatCode>
                <c:ptCount val="9"/>
                <c:pt idx="0">
                  <c:v>0.29988866603496933</c:v>
                </c:pt>
                <c:pt idx="1">
                  <c:v>0.46689442676305226</c:v>
                </c:pt>
                <c:pt idx="2">
                  <c:v>0.54464807954872008</c:v>
                </c:pt>
                <c:pt idx="3">
                  <c:v>0.56960916074268764</c:v>
                </c:pt>
                <c:pt idx="4">
                  <c:v>0.5763360421672914</c:v>
                </c:pt>
                <c:pt idx="5">
                  <c:v>0.57005533388058205</c:v>
                </c:pt>
                <c:pt idx="6">
                  <c:v>0.55156397377455157</c:v>
                </c:pt>
                <c:pt idx="7">
                  <c:v>0.48424981584034421</c:v>
                </c:pt>
                <c:pt idx="8">
                  <c:v>0.35233186771750985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97-428E-A39E-65332C4DABF0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Details'!$U$47:$U$55</c:f>
              <c:numCache>
                <c:formatCode>0.000</c:formatCode>
                <c:ptCount val="9"/>
                <c:pt idx="0">
                  <c:v>0.39626367782546157</c:v>
                </c:pt>
                <c:pt idx="1">
                  <c:v>0.5176937591959111</c:v>
                </c:pt>
                <c:pt idx="2">
                  <c:v>0.58062223885329878</c:v>
                </c:pt>
                <c:pt idx="3">
                  <c:v>0.60036003328584697</c:v>
                </c:pt>
                <c:pt idx="4">
                  <c:v>0.60451999045929439</c:v>
                </c:pt>
                <c:pt idx="5">
                  <c:v>0.60036003328584697</c:v>
                </c:pt>
                <c:pt idx="6">
                  <c:v>0.58062223885329878</c:v>
                </c:pt>
                <c:pt idx="7">
                  <c:v>0.5176937591959111</c:v>
                </c:pt>
                <c:pt idx="8">
                  <c:v>0.39626367782546157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97-428E-A39E-65332C4DA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8128"/>
        <c:axId val="212610432"/>
      </c:scatterChart>
      <c:valAx>
        <c:axId val="2126081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10432"/>
        <c:crosses val="autoZero"/>
        <c:crossBetween val="midCat"/>
        <c:majorUnit val="2"/>
      </c:valAx>
      <c:valAx>
        <c:axId val="2126104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45E-2"/>
              <c:y val="0.3406605592539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081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45"/>
          <c:y val="0.46154011253760496"/>
          <c:w val="0.31141228637675228"/>
          <c:h val="0.32234547542308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295 North Field</a:t>
            </a:r>
          </a:p>
        </c:rich>
      </c:tx>
      <c:layout>
        <c:manualLayout>
          <c:xMode val="edge"/>
          <c:yMode val="edge"/>
          <c:x val="0.39648437500000133"/>
          <c:y val="1.93050556999874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328125"/>
          <c:y val="9.6525278499937042E-2"/>
          <c:w val="0.843750000000001"/>
          <c:h val="0.7374531277395174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Details'!$P$162:$P$170</c:f>
              <c:numCache>
                <c:formatCode>0.000</c:formatCode>
                <c:ptCount val="9"/>
                <c:pt idx="0">
                  <c:v>0.45719893361884373</c:v>
                </c:pt>
                <c:pt idx="1">
                  <c:v>0.57862901498929331</c:v>
                </c:pt>
                <c:pt idx="2">
                  <c:v>0.64155749464668099</c:v>
                </c:pt>
                <c:pt idx="3">
                  <c:v>0.66129528907922919</c:v>
                </c:pt>
                <c:pt idx="4">
                  <c:v>0.6654552462526766</c:v>
                </c:pt>
                <c:pt idx="5">
                  <c:v>0.66129528907922919</c:v>
                </c:pt>
                <c:pt idx="6">
                  <c:v>0.64155749464668099</c:v>
                </c:pt>
                <c:pt idx="7">
                  <c:v>0.57862901498929331</c:v>
                </c:pt>
                <c:pt idx="8">
                  <c:v>0.45719893361884373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AD-44EF-87BB-E2C153E8E998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Details'!$R$162:$R$170</c:f>
              <c:numCache>
                <c:formatCode>0.000</c:formatCode>
                <c:ptCount val="9"/>
                <c:pt idx="0">
                  <c:v>0.77046304370506768</c:v>
                </c:pt>
                <c:pt idx="1">
                  <c:v>0.85033690374496707</c:v>
                </c:pt>
                <c:pt idx="2">
                  <c:v>0.87553848595926764</c:v>
                </c:pt>
                <c:pt idx="3">
                  <c:v>0.88577637394890751</c:v>
                </c:pt>
                <c:pt idx="4">
                  <c:v>0.88207678681263157</c:v>
                </c:pt>
                <c:pt idx="5">
                  <c:v>0.87761334874525621</c:v>
                </c:pt>
                <c:pt idx="6">
                  <c:v>0.87448264823678035</c:v>
                </c:pt>
                <c:pt idx="7">
                  <c:v>0.84935623097175794</c:v>
                </c:pt>
                <c:pt idx="8">
                  <c:v>0.77654595925858394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AD-44EF-87BB-E2C153E8E998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Details'!$T$162:$T$170</c:f>
              <c:numCache>
                <c:formatCode>0.000</c:formatCode>
                <c:ptCount val="9"/>
                <c:pt idx="0">
                  <c:v>0.86672047699003929</c:v>
                </c:pt>
                <c:pt idx="1">
                  <c:v>0.89469028649641824</c:v>
                </c:pt>
                <c:pt idx="2">
                  <c:v>0.90501980523672243</c:v>
                </c:pt>
                <c:pt idx="3">
                  <c:v>0.90785469547465414</c:v>
                </c:pt>
                <c:pt idx="4">
                  <c:v>0.90843072297269889</c:v>
                </c:pt>
                <c:pt idx="5">
                  <c:v>0.90785469547465414</c:v>
                </c:pt>
                <c:pt idx="6">
                  <c:v>0.90501980523672243</c:v>
                </c:pt>
                <c:pt idx="7">
                  <c:v>0.89469028649641824</c:v>
                </c:pt>
                <c:pt idx="8">
                  <c:v>0.86672047699003929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AD-44EF-87BB-E2C153E8E998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Details'!$S$162:$S$170</c:f>
              <c:numCache>
                <c:formatCode>0.000</c:formatCode>
                <c:ptCount val="9"/>
                <c:pt idx="0">
                  <c:v>0.35225488197468552</c:v>
                </c:pt>
                <c:pt idx="1">
                  <c:v>0.49202960502299581</c:v>
                </c:pt>
                <c:pt idx="2">
                  <c:v>0.56170827751877606</c:v>
                </c:pt>
                <c:pt idx="3">
                  <c:v>0.58575974327009417</c:v>
                </c:pt>
                <c:pt idx="4">
                  <c:v>0.5869826253821695</c:v>
                </c:pt>
                <c:pt idx="5">
                  <c:v>0.58036157315828463</c:v>
                </c:pt>
                <c:pt idx="6">
                  <c:v>0.56103089691478358</c:v>
                </c:pt>
                <c:pt idx="7">
                  <c:v>0.49146215930220699</c:v>
                </c:pt>
                <c:pt idx="8">
                  <c:v>0.35503598447904666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AD-44EF-87BB-E2C153E8E998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Details'!$U$162:$U$170</c:f>
              <c:numCache>
                <c:formatCode>0.000</c:formatCode>
                <c:ptCount val="9"/>
                <c:pt idx="0">
                  <c:v>0.39626367782546157</c:v>
                </c:pt>
                <c:pt idx="1">
                  <c:v>0.5176937591959111</c:v>
                </c:pt>
                <c:pt idx="2">
                  <c:v>0.58062223885329878</c:v>
                </c:pt>
                <c:pt idx="3">
                  <c:v>0.60036003328584697</c:v>
                </c:pt>
                <c:pt idx="4">
                  <c:v>0.60451999045929439</c:v>
                </c:pt>
                <c:pt idx="5">
                  <c:v>0.60036003328584697</c:v>
                </c:pt>
                <c:pt idx="6">
                  <c:v>0.58062223885329878</c:v>
                </c:pt>
                <c:pt idx="7">
                  <c:v>0.5176937591959111</c:v>
                </c:pt>
                <c:pt idx="8">
                  <c:v>0.39626367782546157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AD-44EF-87BB-E2C153E8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9200"/>
        <c:axId val="212678144"/>
      </c:scatterChart>
      <c:valAx>
        <c:axId val="21265920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875"/>
              <c:y val="0.90347660675940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78144"/>
        <c:crosses val="autoZero"/>
        <c:crossBetween val="midCat"/>
        <c:majorUnit val="2"/>
      </c:valAx>
      <c:valAx>
        <c:axId val="21267814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484375000000056E-2"/>
              <c:y val="0.355213024879767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5920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085937500000089"/>
          <c:y val="0.4710433590796918"/>
          <c:w val="0.31445312500000044"/>
          <c:h val="0.339768980319778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 North Field</a:t>
            </a:r>
          </a:p>
        </c:rich>
      </c:tx>
      <c:layout>
        <c:manualLayout>
          <c:xMode val="edge"/>
          <c:yMode val="edge"/>
          <c:x val="0.37911060950213232"/>
          <c:y val="1.83823529411764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9264705882353046E-2"/>
          <c:w val="0.82398530432606254"/>
          <c:h val="0.7205882352941176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Details'!$P$76:$P$86</c:f>
              <c:numCache>
                <c:formatCode>0.000</c:formatCode>
                <c:ptCount val="11"/>
                <c:pt idx="0">
                  <c:v>0.32710004282655247</c:v>
                </c:pt>
                <c:pt idx="1">
                  <c:v>0.52114464668094218</c:v>
                </c:pt>
                <c:pt idx="2">
                  <c:v>0.61522269807280516</c:v>
                </c:pt>
                <c:pt idx="3">
                  <c:v>0.64611873661670238</c:v>
                </c:pt>
                <c:pt idx="4">
                  <c:v>0.66735396145610282</c:v>
                </c:pt>
                <c:pt idx="5">
                  <c:v>0.67725578158458244</c:v>
                </c:pt>
                <c:pt idx="6">
                  <c:v>0.66735396145610282</c:v>
                </c:pt>
                <c:pt idx="7">
                  <c:v>0.64611873661670238</c:v>
                </c:pt>
                <c:pt idx="8">
                  <c:v>0.61522269807280516</c:v>
                </c:pt>
                <c:pt idx="9">
                  <c:v>0.52114464668094218</c:v>
                </c:pt>
                <c:pt idx="10">
                  <c:v>0.32710004282655247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AD-41C4-B5A2-7157DECB5731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Details'!$R$76:$R$86</c:f>
              <c:numCache>
                <c:formatCode>0.000</c:formatCode>
                <c:ptCount val="11"/>
                <c:pt idx="0">
                  <c:v>0.63537022044916758</c:v>
                </c:pt>
                <c:pt idx="1">
                  <c:v>0.82838678760869255</c:v>
                </c:pt>
                <c:pt idx="2">
                  <c:v>0.87586165043121911</c:v>
                </c:pt>
                <c:pt idx="3">
                  <c:v>0.88861499118188303</c:v>
                </c:pt>
                <c:pt idx="4">
                  <c:v>0.89518796673241419</c:v>
                </c:pt>
                <c:pt idx="5">
                  <c:v>0.89893994180845571</c:v>
                </c:pt>
                <c:pt idx="6">
                  <c:v>0.89208704343490564</c:v>
                </c:pt>
                <c:pt idx="7">
                  <c:v>0.88688719429940477</c:v>
                </c:pt>
                <c:pt idx="8">
                  <c:v>0.87834695863752965</c:v>
                </c:pt>
                <c:pt idx="9">
                  <c:v>0.83800055136570806</c:v>
                </c:pt>
                <c:pt idx="10">
                  <c:v>0.71490686980688634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AD-41C4-B5A2-7157DECB5731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Details'!$T$76:$T$86</c:f>
              <c:numCache>
                <c:formatCode>0.000</c:formatCode>
                <c:ptCount val="11"/>
                <c:pt idx="0">
                  <c:v>0.81371064562747975</c:v>
                </c:pt>
                <c:pt idx="1">
                  <c:v>0.88307419795738917</c:v>
                </c:pt>
                <c:pt idx="2">
                  <c:v>0.90095414882405533</c:v>
                </c:pt>
                <c:pt idx="3">
                  <c:v>0.9056903130337004</c:v>
                </c:pt>
                <c:pt idx="4">
                  <c:v>0.90869125035172149</c:v>
                </c:pt>
                <c:pt idx="5">
                  <c:v>0.91002623019206808</c:v>
                </c:pt>
                <c:pt idx="6">
                  <c:v>0.90869125035172149</c:v>
                </c:pt>
                <c:pt idx="7">
                  <c:v>0.9056903130337004</c:v>
                </c:pt>
                <c:pt idx="8">
                  <c:v>0.90095414882405533</c:v>
                </c:pt>
                <c:pt idx="9">
                  <c:v>0.88307419795738917</c:v>
                </c:pt>
                <c:pt idx="10">
                  <c:v>0.81371064562747975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AD-41C4-B5A2-7157DECB5731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Details'!$S$76:$S$86</c:f>
              <c:numCache>
                <c:formatCode>0.000</c:formatCode>
                <c:ptCount val="11"/>
                <c:pt idx="0">
                  <c:v>0.2078296263196388</c:v>
                </c:pt>
                <c:pt idx="1">
                  <c:v>0.43170933974349279</c:v>
                </c:pt>
                <c:pt idx="2">
                  <c:v>0.53884996771679472</c:v>
                </c:pt>
                <c:pt idx="3">
                  <c:v>0.57415079544110037</c:v>
                </c:pt>
                <c:pt idx="4">
                  <c:v>0.59740723584671063</c:v>
                </c:pt>
                <c:pt idx="5">
                  <c:v>0.60881227288708473</c:v>
                </c:pt>
                <c:pt idx="6">
                  <c:v>0.5953378223999467</c:v>
                </c:pt>
                <c:pt idx="7">
                  <c:v>0.57303443350226324</c:v>
                </c:pt>
                <c:pt idx="8">
                  <c:v>0.54037898573702359</c:v>
                </c:pt>
                <c:pt idx="9">
                  <c:v>0.43671950125991665</c:v>
                </c:pt>
                <c:pt idx="10">
                  <c:v>0.23384606773082908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AD-41C4-B5A2-7157DECB5731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Details'!$U$76:$U$86</c:f>
              <c:numCache>
                <c:formatCode>0.000</c:formatCode>
                <c:ptCount val="11"/>
                <c:pt idx="0">
                  <c:v>0.26616478703317031</c:v>
                </c:pt>
                <c:pt idx="1">
                  <c:v>0.46020939088755997</c:v>
                </c:pt>
                <c:pt idx="2">
                  <c:v>0.55428744227942295</c:v>
                </c:pt>
                <c:pt idx="3">
                  <c:v>0.58518348082332017</c:v>
                </c:pt>
                <c:pt idx="4">
                  <c:v>0.6064187056627206</c:v>
                </c:pt>
                <c:pt idx="5">
                  <c:v>0.61632052579120022</c:v>
                </c:pt>
                <c:pt idx="6">
                  <c:v>0.6064187056627206</c:v>
                </c:pt>
                <c:pt idx="7">
                  <c:v>0.58518348082332017</c:v>
                </c:pt>
                <c:pt idx="8">
                  <c:v>0.55428744227942295</c:v>
                </c:pt>
                <c:pt idx="9">
                  <c:v>0.46020939088755997</c:v>
                </c:pt>
                <c:pt idx="10">
                  <c:v>0.26616478703317031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AD-41C4-B5A2-7157DECB5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21664"/>
        <c:axId val="212723968"/>
      </c:scatterChart>
      <c:valAx>
        <c:axId val="21272166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0735294117647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23968"/>
        <c:crosses val="autoZero"/>
        <c:crossBetween val="midCat"/>
        <c:majorUnit val="2"/>
      </c:valAx>
      <c:valAx>
        <c:axId val="2127239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45E-2"/>
              <c:y val="0.3419117647058829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2166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45"/>
          <c:y val="0.45955882352941235"/>
          <c:w val="0.31141228637675228"/>
          <c:h val="0.32352941176470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234 North Field</a:t>
            </a:r>
          </a:p>
        </c:rich>
      </c:tx>
      <c:layout>
        <c:manualLayout>
          <c:xMode val="edge"/>
          <c:yMode val="edge"/>
          <c:x val="0.37911060950213232"/>
          <c:y val="1.85185854983561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295"/>
          <c:w val="0.82978801773681043"/>
          <c:h val="0.7222248344358904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Details'!$P$134:$P$144</c:f>
              <c:numCache>
                <c:formatCode>0.000</c:formatCode>
                <c:ptCount val="11"/>
                <c:pt idx="0">
                  <c:v>0.32710004282655247</c:v>
                </c:pt>
                <c:pt idx="1">
                  <c:v>0.52114464668094218</c:v>
                </c:pt>
                <c:pt idx="2">
                  <c:v>0.61522269807280516</c:v>
                </c:pt>
                <c:pt idx="3">
                  <c:v>0.64611873661670238</c:v>
                </c:pt>
                <c:pt idx="4">
                  <c:v>0.66735396145610282</c:v>
                </c:pt>
                <c:pt idx="5">
                  <c:v>0.67725578158458244</c:v>
                </c:pt>
                <c:pt idx="6">
                  <c:v>0.66735396145610282</c:v>
                </c:pt>
                <c:pt idx="7">
                  <c:v>0.64611873661670238</c:v>
                </c:pt>
                <c:pt idx="8">
                  <c:v>0.61522269807280516</c:v>
                </c:pt>
                <c:pt idx="9">
                  <c:v>0.52114464668094218</c:v>
                </c:pt>
                <c:pt idx="10">
                  <c:v>0.32710004282655247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FF-4897-856C-B736EA3312A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Details'!$R$134:$R$144</c:f>
              <c:numCache>
                <c:formatCode>0.000</c:formatCode>
                <c:ptCount val="11"/>
                <c:pt idx="0">
                  <c:v>0.63085080634440494</c:v>
                </c:pt>
                <c:pt idx="1">
                  <c:v>0.82530725030984942</c:v>
                </c:pt>
                <c:pt idx="2">
                  <c:v>0.86721927925729614</c:v>
                </c:pt>
                <c:pt idx="3">
                  <c:v>0.88347547644658075</c:v>
                </c:pt>
                <c:pt idx="4">
                  <c:v>0.88683599571836114</c:v>
                </c:pt>
                <c:pt idx="5">
                  <c:v>0.89145443399572355</c:v>
                </c:pt>
                <c:pt idx="6">
                  <c:v>0.88575350181237356</c:v>
                </c:pt>
                <c:pt idx="7">
                  <c:v>0.87984052049010364</c:v>
                </c:pt>
                <c:pt idx="8">
                  <c:v>0.86675253281021203</c:v>
                </c:pt>
                <c:pt idx="9">
                  <c:v>0.82375280252256466</c:v>
                </c:pt>
                <c:pt idx="10">
                  <c:v>0.67289889631559729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FF-4897-856C-B736EA3312A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Details'!$T$134:$T$144</c:f>
              <c:numCache>
                <c:formatCode>0.000</c:formatCode>
                <c:ptCount val="11"/>
                <c:pt idx="0">
                  <c:v>0.81371064562747975</c:v>
                </c:pt>
                <c:pt idx="1">
                  <c:v>0.88307419795738917</c:v>
                </c:pt>
                <c:pt idx="2">
                  <c:v>0.90095414882405533</c:v>
                </c:pt>
                <c:pt idx="3">
                  <c:v>0.9056903130337004</c:v>
                </c:pt>
                <c:pt idx="4">
                  <c:v>0.90869125035172149</c:v>
                </c:pt>
                <c:pt idx="5">
                  <c:v>0.91002623019206808</c:v>
                </c:pt>
                <c:pt idx="6">
                  <c:v>0.90869125035172149</c:v>
                </c:pt>
                <c:pt idx="7">
                  <c:v>0.9056903130337004</c:v>
                </c:pt>
                <c:pt idx="8">
                  <c:v>0.90095414882405533</c:v>
                </c:pt>
                <c:pt idx="9">
                  <c:v>0.88307419795738917</c:v>
                </c:pt>
                <c:pt idx="10">
                  <c:v>0.81371064562747975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FF-4897-856C-B736EA3312A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Details'!$S$134:$S$144</c:f>
              <c:numCache>
                <c:formatCode>0.000</c:formatCode>
                <c:ptCount val="11"/>
                <c:pt idx="0">
                  <c:v>0.20635132577242002</c:v>
                </c:pt>
                <c:pt idx="1">
                  <c:v>0.43010445536594638</c:v>
                </c:pt>
                <c:pt idx="2">
                  <c:v>0.53353298480542721</c:v>
                </c:pt>
                <c:pt idx="3">
                  <c:v>0.570830058673504</c:v>
                </c:pt>
                <c:pt idx="4">
                  <c:v>0.59183351490451575</c:v>
                </c:pt>
                <c:pt idx="5">
                  <c:v>0.60374266944281529</c:v>
                </c:pt>
                <c:pt idx="6">
                  <c:v>0.59111110830810287</c:v>
                </c:pt>
                <c:pt idx="7">
                  <c:v>0.56848144552324764</c:v>
                </c:pt>
                <c:pt idx="8">
                  <c:v>0.53324583179693619</c:v>
                </c:pt>
                <c:pt idx="9">
                  <c:v>0.42929436322305792</c:v>
                </c:pt>
                <c:pt idx="10">
                  <c:v>0.22010525780277176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FF-4897-856C-B736EA3312AC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Details'!$U$134:$U$144</c:f>
              <c:numCache>
                <c:formatCode>0.000</c:formatCode>
                <c:ptCount val="11"/>
                <c:pt idx="0">
                  <c:v>0.26616478703317031</c:v>
                </c:pt>
                <c:pt idx="1">
                  <c:v>0.46020939088755997</c:v>
                </c:pt>
                <c:pt idx="2">
                  <c:v>0.55428744227942295</c:v>
                </c:pt>
                <c:pt idx="3">
                  <c:v>0.58518348082332017</c:v>
                </c:pt>
                <c:pt idx="4">
                  <c:v>0.6064187056627206</c:v>
                </c:pt>
                <c:pt idx="5">
                  <c:v>0.61632052579120022</c:v>
                </c:pt>
                <c:pt idx="6">
                  <c:v>0.6064187056627206</c:v>
                </c:pt>
                <c:pt idx="7">
                  <c:v>0.58518348082332017</c:v>
                </c:pt>
                <c:pt idx="8">
                  <c:v>0.55428744227942295</c:v>
                </c:pt>
                <c:pt idx="9">
                  <c:v>0.46020939088755997</c:v>
                </c:pt>
                <c:pt idx="10">
                  <c:v>0.26616478703317031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FF-4897-856C-B736EA331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39904"/>
        <c:axId val="212942208"/>
      </c:scatterChart>
      <c:valAx>
        <c:axId val="2129399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405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42208"/>
        <c:crosses val="autoZero"/>
        <c:crossBetween val="midCat"/>
        <c:majorUnit val="2"/>
      </c:valAx>
      <c:valAx>
        <c:axId val="2129422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70011E-2"/>
              <c:y val="0.3407419731697530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399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45"/>
          <c:y val="0.46666835455857403"/>
          <c:w val="0.31141228637675228"/>
          <c:h val="0.325927104771068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142 North Field</a:t>
            </a:r>
          </a:p>
        </c:rich>
      </c:tx>
      <c:layout>
        <c:manualLayout>
          <c:xMode val="edge"/>
          <c:yMode val="edge"/>
          <c:x val="0.37911060950213232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8540321589020027E-2"/>
          <c:w val="0.82398530432606254"/>
          <c:h val="0.722629024986145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Details'!$P$89:$P$101</c:f>
              <c:numCache>
                <c:formatCode>0.000</c:formatCode>
                <c:ptCount val="13"/>
                <c:pt idx="0">
                  <c:v>0.23670229014989294</c:v>
                </c:pt>
                <c:pt idx="1">
                  <c:v>0.37943276231263379</c:v>
                </c:pt>
                <c:pt idx="2">
                  <c:v>0.53521423982869376</c:v>
                </c:pt>
                <c:pt idx="3">
                  <c:v>0.60912740899357598</c:v>
                </c:pt>
                <c:pt idx="4">
                  <c:v>0.63780985010706637</c:v>
                </c:pt>
                <c:pt idx="5">
                  <c:v>0.65766541755888652</c:v>
                </c:pt>
                <c:pt idx="6">
                  <c:v>0.6604275160599572</c:v>
                </c:pt>
                <c:pt idx="7">
                  <c:v>0.65766541755888652</c:v>
                </c:pt>
                <c:pt idx="8">
                  <c:v>0.63780985010706637</c:v>
                </c:pt>
                <c:pt idx="9">
                  <c:v>0.60912740899357598</c:v>
                </c:pt>
                <c:pt idx="10">
                  <c:v>0.53521423982869376</c:v>
                </c:pt>
                <c:pt idx="11">
                  <c:v>0.37943276231263379</c:v>
                </c:pt>
                <c:pt idx="12">
                  <c:v>0.23670229014989294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C-4905-9E5C-7F0B8349CAC1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Details'!$R$89:$R$101</c:f>
              <c:numCache>
                <c:formatCode>0.000</c:formatCode>
                <c:ptCount val="13"/>
                <c:pt idx="0">
                  <c:v>0.13246450340759219</c:v>
                </c:pt>
                <c:pt idx="1">
                  <c:v>0.70797363128397328</c:v>
                </c:pt>
                <c:pt idx="2">
                  <c:v>0.83157975960092667</c:v>
                </c:pt>
                <c:pt idx="3">
                  <c:v>0.86403253951998116</c:v>
                </c:pt>
                <c:pt idx="4">
                  <c:v>0.8759191140094742</c:v>
                </c:pt>
                <c:pt idx="5">
                  <c:v>0.88504020705153852</c:v>
                </c:pt>
                <c:pt idx="6">
                  <c:v>0.88876219177743943</c:v>
                </c:pt>
                <c:pt idx="7">
                  <c:v>0.88736636105182898</c:v>
                </c:pt>
                <c:pt idx="8">
                  <c:v>0.8808270293051722</c:v>
                </c:pt>
                <c:pt idx="9">
                  <c:v>0.86773241326331707</c:v>
                </c:pt>
                <c:pt idx="10">
                  <c:v>0.8411104057172385</c:v>
                </c:pt>
                <c:pt idx="11">
                  <c:v>0.75018989744237929</c:v>
                </c:pt>
                <c:pt idx="12">
                  <c:v>0.43676624792479646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C-4905-9E5C-7F0B8349CAC1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Details'!$T$89:$T$101</c:f>
              <c:numCache>
                <c:formatCode>0.000</c:formatCode>
                <c:ptCount val="13"/>
                <c:pt idx="0">
                  <c:v>0.74256583764020778</c:v>
                </c:pt>
                <c:pt idx="1">
                  <c:v>0.83940433761707012</c:v>
                </c:pt>
                <c:pt idx="2">
                  <c:v>0.88614791749022648</c:v>
                </c:pt>
                <c:pt idx="3">
                  <c:v>0.89996303746360418</c:v>
                </c:pt>
                <c:pt idx="4">
                  <c:v>0.90446172039652062</c:v>
                </c:pt>
                <c:pt idx="5">
                  <c:v>0.9073461152639577</c:v>
                </c:pt>
                <c:pt idx="6">
                  <c:v>0.90773362055397744</c:v>
                </c:pt>
                <c:pt idx="7">
                  <c:v>0.9073461152639577</c:v>
                </c:pt>
                <c:pt idx="8">
                  <c:v>0.90446172039652062</c:v>
                </c:pt>
                <c:pt idx="9">
                  <c:v>0.89996303746360418</c:v>
                </c:pt>
                <c:pt idx="10">
                  <c:v>0.88614791749022648</c:v>
                </c:pt>
                <c:pt idx="11">
                  <c:v>0.83940433761707012</c:v>
                </c:pt>
                <c:pt idx="12">
                  <c:v>0.74256583764020778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BC-4905-9E5C-7F0B8349CAC1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Details'!$S$89:$S$101</c:f>
              <c:numCache>
                <c:formatCode>0.000</c:formatCode>
                <c:ptCount val="13"/>
                <c:pt idx="0">
                  <c:v>3.1354651320145373E-2</c:v>
                </c:pt>
                <c:pt idx="1">
                  <c:v>0.26862839056258409</c:v>
                </c:pt>
                <c:pt idx="2">
                  <c:v>0.4450733288917379</c:v>
                </c:pt>
                <c:pt idx="3">
                  <c:v>0.52630590208394568</c:v>
                </c:pt>
                <c:pt idx="4">
                  <c:v>0.55866983881229715</c:v>
                </c:pt>
                <c:pt idx="5">
                  <c:v>0.5820603373269535</c:v>
                </c:pt>
                <c:pt idx="6">
                  <c:v>0.58696300668357759</c:v>
                </c:pt>
                <c:pt idx="7">
                  <c:v>0.5835901683688608</c:v>
                </c:pt>
                <c:pt idx="8">
                  <c:v>0.5618001555313844</c:v>
                </c:pt>
                <c:pt idx="9">
                  <c:v>0.52855959659082719</c:v>
                </c:pt>
                <c:pt idx="10">
                  <c:v>0.45017426640795599</c:v>
                </c:pt>
                <c:pt idx="11">
                  <c:v>0.2846466250455934</c:v>
                </c:pt>
                <c:pt idx="12">
                  <c:v>0.10338357114397524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C-4905-9E5C-7F0B8349CAC1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Details'!$U$89:$U$101</c:f>
              <c:numCache>
                <c:formatCode>0.000</c:formatCode>
                <c:ptCount val="13"/>
                <c:pt idx="0">
                  <c:v>0.17576703435651075</c:v>
                </c:pt>
                <c:pt idx="1">
                  <c:v>0.31849750651925157</c:v>
                </c:pt>
                <c:pt idx="2">
                  <c:v>0.4742789840353116</c:v>
                </c:pt>
                <c:pt idx="3">
                  <c:v>0.54819215320019377</c:v>
                </c:pt>
                <c:pt idx="4">
                  <c:v>0.57687459431368415</c:v>
                </c:pt>
                <c:pt idx="5">
                  <c:v>0.59673016176550431</c:v>
                </c:pt>
                <c:pt idx="6">
                  <c:v>0.59949226026657498</c:v>
                </c:pt>
                <c:pt idx="7">
                  <c:v>0.59673016176550431</c:v>
                </c:pt>
                <c:pt idx="8">
                  <c:v>0.57687459431368415</c:v>
                </c:pt>
                <c:pt idx="9">
                  <c:v>0.54819215320019377</c:v>
                </c:pt>
                <c:pt idx="10">
                  <c:v>0.4742789840353116</c:v>
                </c:pt>
                <c:pt idx="11">
                  <c:v>0.31849750651925157</c:v>
                </c:pt>
                <c:pt idx="12">
                  <c:v>0.17576703435651075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BC-4905-9E5C-7F0B8349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1808"/>
        <c:axId val="212982784"/>
      </c:scatterChart>
      <c:valAx>
        <c:axId val="21287180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82784"/>
        <c:crosses val="autoZero"/>
        <c:crossBetween val="midCat"/>
        <c:majorUnit val="2"/>
      </c:valAx>
      <c:valAx>
        <c:axId val="2129827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45E-2"/>
              <c:y val="0.343066304791402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87180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45"/>
          <c:y val="0.45985483408209232"/>
          <c:w val="0.31141228637675228"/>
          <c:h val="0.3211684555493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203 North Field</a:t>
            </a:r>
          </a:p>
        </c:rich>
      </c:tx>
      <c:layout>
        <c:manualLayout>
          <c:xMode val="edge"/>
          <c:yMode val="edge"/>
          <c:x val="0.37911060950213232"/>
          <c:y val="1.85185854983561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295"/>
          <c:w val="0.82978801773681043"/>
          <c:h val="0.7222248344358904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Details'!$P$119:$P$131</c:f>
              <c:numCache>
                <c:formatCode>0.000</c:formatCode>
                <c:ptCount val="13"/>
                <c:pt idx="0">
                  <c:v>0.23670229014989294</c:v>
                </c:pt>
                <c:pt idx="1">
                  <c:v>0.37943276231263379</c:v>
                </c:pt>
                <c:pt idx="2">
                  <c:v>0.53521423982869376</c:v>
                </c:pt>
                <c:pt idx="3">
                  <c:v>0.60912740899357598</c:v>
                </c:pt>
                <c:pt idx="4">
                  <c:v>0.63780985010706637</c:v>
                </c:pt>
                <c:pt idx="5">
                  <c:v>0.65766541755888652</c:v>
                </c:pt>
                <c:pt idx="6">
                  <c:v>0.6604275160599572</c:v>
                </c:pt>
                <c:pt idx="7">
                  <c:v>0.65766541755888652</c:v>
                </c:pt>
                <c:pt idx="8">
                  <c:v>0.63780985010706637</c:v>
                </c:pt>
                <c:pt idx="9">
                  <c:v>0.60912740899357598</c:v>
                </c:pt>
                <c:pt idx="10">
                  <c:v>0.53521423982869376</c:v>
                </c:pt>
                <c:pt idx="11">
                  <c:v>0.37943276231263379</c:v>
                </c:pt>
                <c:pt idx="12">
                  <c:v>0.23670229014989294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F7-4FD4-9C1F-1FB80B27D8AB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Details'!$R$119:$R$131</c:f>
              <c:numCache>
                <c:formatCode>0.000</c:formatCode>
                <c:ptCount val="13"/>
                <c:pt idx="0">
                  <c:v>0.13387681428765374</c:v>
                </c:pt>
                <c:pt idx="1">
                  <c:v>0.70431397910133486</c:v>
                </c:pt>
                <c:pt idx="2">
                  <c:v>0.82934023703868376</c:v>
                </c:pt>
                <c:pt idx="3">
                  <c:v>0.86329531238138557</c:v>
                </c:pt>
                <c:pt idx="4">
                  <c:v>0.87790383527609095</c:v>
                </c:pt>
                <c:pt idx="5">
                  <c:v>0.88394398049144163</c:v>
                </c:pt>
                <c:pt idx="6">
                  <c:v>0.88560799220817865</c:v>
                </c:pt>
                <c:pt idx="7">
                  <c:v>0.88718941020316122</c:v>
                </c:pt>
                <c:pt idx="8">
                  <c:v>0.88084620744657782</c:v>
                </c:pt>
                <c:pt idx="9">
                  <c:v>0.87447294723220925</c:v>
                </c:pt>
                <c:pt idx="10">
                  <c:v>0.84805344593581111</c:v>
                </c:pt>
                <c:pt idx="11">
                  <c:v>0.75624434322998324</c:v>
                </c:pt>
                <c:pt idx="12">
                  <c:v>0.50404207114824695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F7-4FD4-9C1F-1FB80B27D8AB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Details'!$T$119:$T$131</c:f>
              <c:numCache>
                <c:formatCode>0.000</c:formatCode>
                <c:ptCount val="13"/>
                <c:pt idx="0">
                  <c:v>0.74256583764020778</c:v>
                </c:pt>
                <c:pt idx="1">
                  <c:v>0.83940433761707012</c:v>
                </c:pt>
                <c:pt idx="2">
                  <c:v>0.88614791749022648</c:v>
                </c:pt>
                <c:pt idx="3">
                  <c:v>0.89996303746360418</c:v>
                </c:pt>
                <c:pt idx="4">
                  <c:v>0.90446172039652062</c:v>
                </c:pt>
                <c:pt idx="5">
                  <c:v>0.9073461152639577</c:v>
                </c:pt>
                <c:pt idx="6">
                  <c:v>0.90773362055397744</c:v>
                </c:pt>
                <c:pt idx="7">
                  <c:v>0.9073461152639577</c:v>
                </c:pt>
                <c:pt idx="8">
                  <c:v>0.90446172039652062</c:v>
                </c:pt>
                <c:pt idx="9">
                  <c:v>0.89996303746360418</c:v>
                </c:pt>
                <c:pt idx="10">
                  <c:v>0.88614791749022648</c:v>
                </c:pt>
                <c:pt idx="11">
                  <c:v>0.83940433761707012</c:v>
                </c:pt>
                <c:pt idx="12">
                  <c:v>0.74256583764020778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F7-4FD4-9C1F-1FB80B27D8AB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Details'!$S$119:$S$131</c:f>
              <c:numCache>
                <c:formatCode>0.000</c:formatCode>
                <c:ptCount val="13"/>
                <c:pt idx="0">
                  <c:v>3.1688948539859547E-2</c:v>
                </c:pt>
                <c:pt idx="1">
                  <c:v>0.26723979862582209</c:v>
                </c:pt>
                <c:pt idx="2">
                  <c:v>0.4438747045260078</c:v>
                </c:pt>
                <c:pt idx="3">
                  <c:v>0.52585683682717321</c:v>
                </c:pt>
                <c:pt idx="4">
                  <c:v>0.55993571358586225</c:v>
                </c:pt>
                <c:pt idx="5">
                  <c:v>0.58133938702856824</c:v>
                </c:pt>
                <c:pt idx="6">
                  <c:v>0.58487988649689338</c:v>
                </c:pt>
                <c:pt idx="7">
                  <c:v>0.58347379391508425</c:v>
                </c:pt>
                <c:pt idx="8">
                  <c:v>0.56181238753887974</c:v>
                </c:pt>
                <c:pt idx="9">
                  <c:v>0.53266544058253174</c:v>
                </c:pt>
                <c:pt idx="10">
                  <c:v>0.45389028040063939</c:v>
                </c:pt>
                <c:pt idx="11">
                  <c:v>0.28694388013505606</c:v>
                </c:pt>
                <c:pt idx="12">
                  <c:v>0.11930791257268533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F7-4FD4-9C1F-1FB80B27D8AB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Details'!$U$119:$U$131</c:f>
              <c:numCache>
                <c:formatCode>0.000</c:formatCode>
                <c:ptCount val="13"/>
                <c:pt idx="0">
                  <c:v>0.17576703435651075</c:v>
                </c:pt>
                <c:pt idx="1">
                  <c:v>0.31849750651925157</c:v>
                </c:pt>
                <c:pt idx="2">
                  <c:v>0.4742789840353116</c:v>
                </c:pt>
                <c:pt idx="3">
                  <c:v>0.54819215320019377</c:v>
                </c:pt>
                <c:pt idx="4">
                  <c:v>0.57687459431368415</c:v>
                </c:pt>
                <c:pt idx="5">
                  <c:v>0.59673016176550431</c:v>
                </c:pt>
                <c:pt idx="6">
                  <c:v>0.59949226026657498</c:v>
                </c:pt>
                <c:pt idx="7">
                  <c:v>0.59673016176550431</c:v>
                </c:pt>
                <c:pt idx="8">
                  <c:v>0.57687459431368415</c:v>
                </c:pt>
                <c:pt idx="9">
                  <c:v>0.54819215320019377</c:v>
                </c:pt>
                <c:pt idx="10">
                  <c:v>0.4742789840353116</c:v>
                </c:pt>
                <c:pt idx="11">
                  <c:v>0.31849750651925157</c:v>
                </c:pt>
                <c:pt idx="12">
                  <c:v>0.17576703435651075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F7-4FD4-9C1F-1FB80B27D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25824"/>
        <c:axId val="213002112"/>
      </c:scatterChart>
      <c:valAx>
        <c:axId val="2129258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405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02112"/>
        <c:crosses val="autoZero"/>
        <c:crossBetween val="midCat"/>
        <c:majorUnit val="2"/>
      </c:valAx>
      <c:valAx>
        <c:axId val="2130021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70011E-2"/>
              <c:y val="0.3407419731697530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258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45"/>
          <c:y val="0.46666835455857403"/>
          <c:w val="0.31141228637675228"/>
          <c:h val="0.325927104771068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53, East Field</a:t>
            </a:r>
          </a:p>
        </c:rich>
      </c:tx>
      <c:layout>
        <c:manualLayout>
          <c:xMode val="edge"/>
          <c:yMode val="edge"/>
          <c:x val="0.37400000000000044"/>
          <c:y val="1.85185854983561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0.10370407879079424"/>
          <c:w val="0.83600000000000063"/>
          <c:h val="0.7259285515355606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Details'!$AQ$47:$AQ$55</c:f>
              <c:numCache>
                <c:formatCode>0.000</c:formatCode>
                <c:ptCount val="9"/>
                <c:pt idx="0">
                  <c:v>0.3073558244111349</c:v>
                </c:pt>
                <c:pt idx="1">
                  <c:v>0.41103667344753742</c:v>
                </c:pt>
                <c:pt idx="2">
                  <c:v>0.471438800856531</c:v>
                </c:pt>
                <c:pt idx="3">
                  <c:v>0.51925600642398284</c:v>
                </c:pt>
                <c:pt idx="4">
                  <c:v>0.56908120985010702</c:v>
                </c:pt>
                <c:pt idx="5">
                  <c:v>0.59156871520342613</c:v>
                </c:pt>
                <c:pt idx="6">
                  <c:v>0.59431177730192719</c:v>
                </c:pt>
                <c:pt idx="7">
                  <c:v>0.56303339668094221</c:v>
                </c:pt>
                <c:pt idx="8">
                  <c:v>0.45952404496788007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4B-4D95-A2EF-75E577D39FBB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Details'!$AS$47:$AS$55</c:f>
              <c:numCache>
                <c:formatCode>0.000</c:formatCode>
                <c:ptCount val="9"/>
                <c:pt idx="0">
                  <c:v>0.48818192111613246</c:v>
                </c:pt>
                <c:pt idx="1">
                  <c:v>0.72816394389075767</c:v>
                </c:pt>
                <c:pt idx="2">
                  <c:v>0.7944390344581489</c:v>
                </c:pt>
                <c:pt idx="3">
                  <c:v>0.82342789067002531</c:v>
                </c:pt>
                <c:pt idx="4">
                  <c:v>0.84339809056626769</c:v>
                </c:pt>
                <c:pt idx="5">
                  <c:v>0.84576609131997127</c:v>
                </c:pt>
                <c:pt idx="6">
                  <c:v>0.84857523557637637</c:v>
                </c:pt>
                <c:pt idx="7">
                  <c:v>0.83237371050223585</c:v>
                </c:pt>
                <c:pt idx="8">
                  <c:v>0.77179199423903089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4B-4D95-A2EF-75E577D39FBB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Details'!$AT$47:$AT$55</c:f>
              <c:numCache>
                <c:formatCode>0.000</c:formatCode>
                <c:ptCount val="9"/>
                <c:pt idx="0">
                  <c:v>0.15004555682726051</c:v>
                </c:pt>
                <c:pt idx="1">
                  <c:v>0.29930208522129631</c:v>
                </c:pt>
                <c:pt idx="2">
                  <c:v>0.37452938575857003</c:v>
                </c:pt>
                <c:pt idx="3">
                  <c:v>0.42756987808744129</c:v>
                </c:pt>
                <c:pt idx="4">
                  <c:v>0.47996200576472176</c:v>
                </c:pt>
                <c:pt idx="5">
                  <c:v>0.50032876000477899</c:v>
                </c:pt>
                <c:pt idx="6">
                  <c:v>0.50431825642979777</c:v>
                </c:pt>
                <c:pt idx="7">
                  <c:v>0.46865419753199311</c:v>
                </c:pt>
                <c:pt idx="8">
                  <c:v>0.35465697906654625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4B-4D95-A2EF-75E577D39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5648"/>
        <c:axId val="213058688"/>
      </c:scatterChart>
      <c:valAx>
        <c:axId val="213035648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58688"/>
        <c:crosses val="autoZero"/>
        <c:crossBetween val="midCat"/>
      </c:valAx>
      <c:valAx>
        <c:axId val="2130586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81494073690953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3564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00000000000001"/>
          <c:y val="0.52222411105364241"/>
          <c:w val="0.20600000000000004"/>
          <c:h val="0.27407506537567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82, East Field</a:t>
            </a:r>
          </a:p>
        </c:rich>
      </c:tx>
      <c:layout>
        <c:manualLayout>
          <c:xMode val="edge"/>
          <c:yMode val="edge"/>
          <c:x val="0.3847699155830368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2856868871403"/>
          <c:y val="9.8181818181818245E-2"/>
          <c:w val="0.83767617038390363"/>
          <c:h val="0.7381818181818193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Details'!$AQ$61:$AQ$71</c:f>
              <c:numCache>
                <c:formatCode>0.000</c:formatCode>
                <c:ptCount val="11"/>
                <c:pt idx="0">
                  <c:v>0.19749879014989291</c:v>
                </c:pt>
                <c:pt idx="1">
                  <c:v>0.35730457173447538</c:v>
                </c:pt>
                <c:pt idx="2">
                  <c:v>0.45778447537473232</c:v>
                </c:pt>
                <c:pt idx="3">
                  <c:v>0.51970418415417552</c:v>
                </c:pt>
                <c:pt idx="4">
                  <c:v>0.56558370021413273</c:v>
                </c:pt>
                <c:pt idx="5">
                  <c:v>0.59303010706638115</c:v>
                </c:pt>
                <c:pt idx="6">
                  <c:v>0.6212411569593147</c:v>
                </c:pt>
                <c:pt idx="7">
                  <c:v>0.63082014089935756</c:v>
                </c:pt>
                <c:pt idx="8">
                  <c:v>0.62538384368308353</c:v>
                </c:pt>
                <c:pt idx="9">
                  <c:v>0.51990244111349038</c:v>
                </c:pt>
                <c:pt idx="10">
                  <c:v>0.31235364025695933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50-4665-BBE3-62DB94A814C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Details'!$AS$61:$AS$71</c:f>
              <c:numCache>
                <c:formatCode>0.000</c:formatCode>
                <c:ptCount val="11"/>
                <c:pt idx="0">
                  <c:v>#N/A</c:v>
                </c:pt>
                <c:pt idx="1">
                  <c:v>0.69391000801980929</c:v>
                </c:pt>
                <c:pt idx="2">
                  <c:v>0.80756514975067373</c:v>
                </c:pt>
                <c:pt idx="3">
                  <c:v>0.84090924703249226</c:v>
                </c:pt>
                <c:pt idx="4">
                  <c:v>0.8619362624568061</c:v>
                </c:pt>
                <c:pt idx="5">
                  <c:v>0.8662415458958862</c:v>
                </c:pt>
                <c:pt idx="6">
                  <c:v>0.87247627226777269</c:v>
                </c:pt>
                <c:pt idx="7">
                  <c:v>0.87018800075907332</c:v>
                </c:pt>
                <c:pt idx="8">
                  <c:v>0.86106740136386717</c:v>
                </c:pt>
                <c:pt idx="9">
                  <c:v>0.8122294378664735</c:v>
                </c:pt>
                <c:pt idx="10">
                  <c:v>0.61786871099037244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50-4665-BBE3-62DB94A814C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Details'!$AT$61:$AT$71</c:f>
              <c:numCache>
                <c:formatCode>0.000</c:formatCode>
                <c:ptCount val="11"/>
                <c:pt idx="0">
                  <c:v>#N/A</c:v>
                </c:pt>
                <c:pt idx="1">
                  <c:v>0.24793721823778433</c:v>
                </c:pt>
                <c:pt idx="2">
                  <c:v>0.36969078840952929</c:v>
                </c:pt>
                <c:pt idx="3">
                  <c:v>0.43702405417672341</c:v>
                </c:pt>
                <c:pt idx="4">
                  <c:v>0.48749710066906027</c:v>
                </c:pt>
                <c:pt idx="5">
                  <c:v>0.51370731670798486</c:v>
                </c:pt>
                <c:pt idx="6">
                  <c:v>0.54201816880318121</c:v>
                </c:pt>
                <c:pt idx="7">
                  <c:v>0.54893211724776891</c:v>
                </c:pt>
                <c:pt idx="8">
                  <c:v>0.53849764113513965</c:v>
                </c:pt>
                <c:pt idx="9">
                  <c:v>0.42228006749101765</c:v>
                </c:pt>
                <c:pt idx="10">
                  <c:v>0.19299354107871797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50-4665-BBE3-62DB94A81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8992"/>
        <c:axId val="213119744"/>
      </c:scatterChart>
      <c:valAx>
        <c:axId val="2131089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12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19744"/>
        <c:crosses val="autoZero"/>
        <c:crossBetween val="midCat"/>
        <c:majorUnit val="2"/>
      </c:valAx>
      <c:valAx>
        <c:axId val="21311974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49090909090909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089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090224482387131"/>
          <c:y val="0.53090909090909177"/>
          <c:w val="0.20641302763048341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112, East Field</a:t>
            </a:r>
          </a:p>
        </c:rich>
      </c:tx>
      <c:layout>
        <c:manualLayout>
          <c:xMode val="edge"/>
          <c:yMode val="edge"/>
          <c:x val="0.37875788565205254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2856868871403"/>
          <c:y val="9.8540321589020027E-2"/>
          <c:w val="0.83767617038390363"/>
          <c:h val="0.7372275911474808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Details'!$AQ$76:$AQ$86</c:f>
              <c:numCache>
                <c:formatCode>0.000</c:formatCode>
                <c:ptCount val="11"/>
                <c:pt idx="0">
                  <c:v>0.2991055674518201</c:v>
                </c:pt>
                <c:pt idx="1">
                  <c:v>0.41503303747323345</c:v>
                </c:pt>
                <c:pt idx="2">
                  <c:v>0.49712338329764455</c:v>
                </c:pt>
                <c:pt idx="3">
                  <c:v>0.55784626445396146</c:v>
                </c:pt>
                <c:pt idx="4">
                  <c:v>0.58655462419700211</c:v>
                </c:pt>
                <c:pt idx="5">
                  <c:v>0.62215771092077088</c:v>
                </c:pt>
                <c:pt idx="6">
                  <c:v>0.63411634892933622</c:v>
                </c:pt>
                <c:pt idx="7">
                  <c:v>0.65386370128479665</c:v>
                </c:pt>
                <c:pt idx="8">
                  <c:v>0.65489732119914346</c:v>
                </c:pt>
                <c:pt idx="9">
                  <c:v>0.55435471092077093</c:v>
                </c:pt>
                <c:pt idx="10">
                  <c:v>0.39040214132762308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40-4362-AC17-C61D37CE6CD4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Details'!$AS$76:$AS$86</c:f>
              <c:numCache>
                <c:formatCode>0.000</c:formatCode>
                <c:ptCount val="11"/>
                <c:pt idx="0">
                  <c:v>0.60124307440005864</c:v>
                </c:pt>
                <c:pt idx="1">
                  <c:v>0.78451039107165699</c:v>
                </c:pt>
                <c:pt idx="2">
                  <c:v>0.84637067391721643</c:v>
                </c:pt>
                <c:pt idx="3">
                  <c:v>0.87098965116124494</c:v>
                </c:pt>
                <c:pt idx="4">
                  <c:v>0.88074985223217728</c:v>
                </c:pt>
                <c:pt idx="5">
                  <c:v>0.88999009817590502</c:v>
                </c:pt>
                <c:pt idx="6">
                  <c:v>0.88643071704782472</c:v>
                </c:pt>
                <c:pt idx="7">
                  <c:v>0.8882270066822282</c:v>
                </c:pt>
                <c:pt idx="8">
                  <c:v>0.88571687512976882</c:v>
                </c:pt>
                <c:pt idx="9">
                  <c:v>0.84770555069190767</c:v>
                </c:pt>
                <c:pt idx="10">
                  <c:v>0.76113354609531914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40-4362-AC17-C61D37CE6CD4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Details'!$AT$76:$AT$86</c:f>
              <c:numCache>
                <c:formatCode>0.000</c:formatCode>
                <c:ptCount val="11"/>
                <c:pt idx="0">
                  <c:v>0.17983515094490643</c:v>
                </c:pt>
                <c:pt idx="1">
                  <c:v>0.32559773053578406</c:v>
                </c:pt>
                <c:pt idx="2">
                  <c:v>0.42075065294163411</c:v>
                </c:pt>
                <c:pt idx="3">
                  <c:v>0.4858783232783595</c:v>
                </c:pt>
                <c:pt idx="4">
                  <c:v>0.51660789858760991</c:v>
                </c:pt>
                <c:pt idx="5">
                  <c:v>0.55371420222327317</c:v>
                </c:pt>
                <c:pt idx="6">
                  <c:v>0.5621002098731801</c:v>
                </c:pt>
                <c:pt idx="7">
                  <c:v>0.58077939817035751</c:v>
                </c:pt>
                <c:pt idx="8">
                  <c:v>0.58005360886336188</c:v>
                </c:pt>
                <c:pt idx="9">
                  <c:v>0.46992956549974541</c:v>
                </c:pt>
                <c:pt idx="10">
                  <c:v>0.29714816623189971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40-4362-AC17-C61D37CE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53664"/>
        <c:axId val="213176704"/>
      </c:scatterChart>
      <c:valAx>
        <c:axId val="21315366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12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76704"/>
        <c:crosses val="autoZero"/>
        <c:crossBetween val="midCat"/>
        <c:majorUnit val="2"/>
      </c:valAx>
      <c:valAx>
        <c:axId val="2131767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5036558787207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5366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090224482387131"/>
          <c:y val="0.52919802334844024"/>
          <c:w val="0.20641302763048341"/>
          <c:h val="0.270073473984721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142, East Field</a:t>
            </a:r>
          </a:p>
        </c:rich>
      </c:tx>
      <c:layout>
        <c:manualLayout>
          <c:xMode val="edge"/>
          <c:yMode val="edge"/>
          <c:x val="0.37800000000000045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2"/>
          <c:y val="9.8181818181818245E-2"/>
          <c:w val="0.84800000000000064"/>
          <c:h val="0.7490909090909091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Details'!$AQ$89:$AQ$101</c:f>
              <c:numCache>
                <c:formatCode>0.000</c:formatCode>
                <c:ptCount val="13"/>
                <c:pt idx="0">
                  <c:v>0.22592223768736616</c:v>
                </c:pt>
                <c:pt idx="1">
                  <c:v>0.37852980728051394</c:v>
                </c:pt>
                <c:pt idx="2">
                  <c:v>0.46215623126338329</c:v>
                </c:pt>
                <c:pt idx="3">
                  <c:v>0.53069940042826558</c:v>
                </c:pt>
                <c:pt idx="4">
                  <c:v>0.58371996573875795</c:v>
                </c:pt>
                <c:pt idx="5">
                  <c:v>0.61856921841541757</c:v>
                </c:pt>
                <c:pt idx="6">
                  <c:v>0.64029013822269809</c:v>
                </c:pt>
                <c:pt idx="7">
                  <c:v>0.6572770877944325</c:v>
                </c:pt>
                <c:pt idx="8">
                  <c:v>0.66494046408993579</c:v>
                </c:pt>
                <c:pt idx="9">
                  <c:v>0.673826852248394</c:v>
                </c:pt>
                <c:pt idx="10">
                  <c:v>0.60354706423982873</c:v>
                </c:pt>
                <c:pt idx="11">
                  <c:v>0.48369065524625265</c:v>
                </c:pt>
                <c:pt idx="12">
                  <c:v>0.26160857773019275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B7-4E53-9216-82460453138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Details'!$AS$89:$AS$101</c:f>
              <c:numCache>
                <c:formatCode>0.000</c:formatCode>
                <c:ptCount val="13"/>
                <c:pt idx="0">
                  <c:v>9.1069383289705041E-2</c:v>
                </c:pt>
                <c:pt idx="1">
                  <c:v>0.70727702384627045</c:v>
                </c:pt>
                <c:pt idx="2">
                  <c:v>0.80495575989413737</c:v>
                </c:pt>
                <c:pt idx="3">
                  <c:v>0.84393894765512312</c:v>
                </c:pt>
                <c:pt idx="4">
                  <c:v>0.8644212705751646</c:v>
                </c:pt>
                <c:pt idx="5">
                  <c:v>0.87777426037200845</c:v>
                </c:pt>
                <c:pt idx="6">
                  <c:v>0.88526371875678023</c:v>
                </c:pt>
                <c:pt idx="7">
                  <c:v>0.887299815305302</c:v>
                </c:pt>
                <c:pt idx="8">
                  <c:v>0.88568947344825544</c:v>
                </c:pt>
                <c:pt idx="9">
                  <c:v>0.88043246995290581</c:v>
                </c:pt>
                <c:pt idx="10">
                  <c:v>0.85909968176575235</c:v>
                </c:pt>
                <c:pt idx="11">
                  <c:v>0.80403562434179421</c:v>
                </c:pt>
                <c:pt idx="12">
                  <c:v>0.49038857914125977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B7-4E53-9216-82460453138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Details'!$AT$89:$AT$101</c:f>
              <c:numCache>
                <c:formatCode>0.000</c:formatCode>
                <c:ptCount val="13"/>
                <c:pt idx="0">
                  <c:v>2.0574598857618594E-2</c:v>
                </c:pt>
                <c:pt idx="1">
                  <c:v>0.26772543553046424</c:v>
                </c:pt>
                <c:pt idx="2">
                  <c:v>0.37201532032642737</c:v>
                </c:pt>
                <c:pt idx="3">
                  <c:v>0.44787789351863527</c:v>
                </c:pt>
                <c:pt idx="4">
                  <c:v>0.50457995444398873</c:v>
                </c:pt>
                <c:pt idx="5">
                  <c:v>0.54296413818348455</c:v>
                </c:pt>
                <c:pt idx="6">
                  <c:v>0.56682562884631849</c:v>
                </c:pt>
                <c:pt idx="7">
                  <c:v>0.58320183860440677</c:v>
                </c:pt>
                <c:pt idx="8">
                  <c:v>0.58893076951425383</c:v>
                </c:pt>
                <c:pt idx="9">
                  <c:v>0.59325903984564521</c:v>
                </c:pt>
                <c:pt idx="10">
                  <c:v>0.51850709081909097</c:v>
                </c:pt>
                <c:pt idx="11">
                  <c:v>0.38890451797921227</c:v>
                </c:pt>
                <c:pt idx="12">
                  <c:v>0.12828985872427504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B7-4E53-9216-824604531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80256"/>
        <c:axId val="213286912"/>
      </c:scatterChart>
      <c:valAx>
        <c:axId val="21328025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86912"/>
        <c:crosses val="autoZero"/>
        <c:crossBetween val="midCat"/>
        <c:majorUnit val="2"/>
      </c:valAx>
      <c:valAx>
        <c:axId val="2132869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8025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3454545454545543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173, East Field</a:t>
            </a:r>
          </a:p>
        </c:rich>
      </c:tx>
      <c:layout>
        <c:manualLayout>
          <c:xMode val="edge"/>
          <c:yMode val="edge"/>
          <c:x val="0.37800000000000045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2"/>
          <c:y val="9.8540321589020027E-2"/>
          <c:w val="0.84800000000000064"/>
          <c:h val="0.7481765157684836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Details'!$AQ$104:$AQ$116</c:f>
              <c:numCache>
                <c:formatCode>0.000</c:formatCode>
                <c:ptCount val="13"/>
                <c:pt idx="0">
                  <c:v>0.25556020728051393</c:v>
                </c:pt>
                <c:pt idx="1">
                  <c:v>0.39297514989293364</c:v>
                </c:pt>
                <c:pt idx="2">
                  <c:v>0.46882619914346896</c:v>
                </c:pt>
                <c:pt idx="3">
                  <c:v>0.53319541992505348</c:v>
                </c:pt>
                <c:pt idx="4">
                  <c:v>0.58620650438972166</c:v>
                </c:pt>
                <c:pt idx="5">
                  <c:v>0.61375055353319063</c:v>
                </c:pt>
                <c:pt idx="6">
                  <c:v>0.63990011777301925</c:v>
                </c:pt>
                <c:pt idx="7">
                  <c:v>0.66105230620985012</c:v>
                </c:pt>
                <c:pt idx="8">
                  <c:v>0.65390513918629545</c:v>
                </c:pt>
                <c:pt idx="9">
                  <c:v>0.66968042826552465</c:v>
                </c:pt>
                <c:pt idx="10">
                  <c:v>0.6174021604925054</c:v>
                </c:pt>
                <c:pt idx="11">
                  <c:v>0.51598821199143463</c:v>
                </c:pt>
                <c:pt idx="12">
                  <c:v>0.29972894004282657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38-4D2A-B6A1-88FF66868BCE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Details'!$AS$104:$AS$116</c:f>
              <c:numCache>
                <c:formatCode>0.000</c:formatCode>
                <c:ptCount val="13"/>
                <c:pt idx="0">
                  <c:v>0.41659416409406413</c:v>
                </c:pt>
                <c:pt idx="1">
                  <c:v>0.75858423435958766</c:v>
                </c:pt>
                <c:pt idx="2">
                  <c:v>0.82667040717067564</c:v>
                </c:pt>
                <c:pt idx="3">
                  <c:v>0.85928607819683989</c:v>
                </c:pt>
                <c:pt idx="4">
                  <c:v>0.87587257046982581</c:v>
                </c:pt>
                <c:pt idx="5">
                  <c:v>0.88372037132320114</c:v>
                </c:pt>
                <c:pt idx="6">
                  <c:v>0.88919885341447136</c:v>
                </c:pt>
                <c:pt idx="7">
                  <c:v>0.88846595020095187</c:v>
                </c:pt>
                <c:pt idx="8">
                  <c:v>0.88935325284175393</c:v>
                </c:pt>
                <c:pt idx="9">
                  <c:v>0.88283847788211678</c:v>
                </c:pt>
                <c:pt idx="10">
                  <c:v>0.86797081861165892</c:v>
                </c:pt>
                <c:pt idx="11">
                  <c:v>0.82381876942248222</c:v>
                </c:pt>
                <c:pt idx="12">
                  <c:v>0.61500844205083971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38-4D2A-B6A1-88FF66868BCE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Details'!$AT$104:$AT$116</c:f>
              <c:numCache>
                <c:formatCode>0.000</c:formatCode>
                <c:ptCount val="13"/>
                <c:pt idx="0">
                  <c:v>0.10646489092773147</c:v>
                </c:pt>
                <c:pt idx="1">
                  <c:v>0.29810475320387525</c:v>
                </c:pt>
                <c:pt idx="2">
                  <c:v>0.38756474493821175</c:v>
                </c:pt>
                <c:pt idx="3">
                  <c:v>0.4581674012999164</c:v>
                </c:pt>
                <c:pt idx="4">
                  <c:v>0.51344219782595668</c:v>
                </c:pt>
                <c:pt idx="5">
                  <c:v>0.54238386706817143</c:v>
                </c:pt>
                <c:pt idx="6">
                  <c:v>0.56899845102355395</c:v>
                </c:pt>
                <c:pt idx="7">
                  <c:v>0.58732246536926513</c:v>
                </c:pt>
                <c:pt idx="8">
                  <c:v>0.58155266258527172</c:v>
                </c:pt>
                <c:pt idx="9">
                  <c:v>0.59121964995737986</c:v>
                </c:pt>
                <c:pt idx="10">
                  <c:v>0.53588705865528674</c:v>
                </c:pt>
                <c:pt idx="11">
                  <c:v>0.42508077383929055</c:v>
                </c:pt>
                <c:pt idx="12">
                  <c:v>0.18433582845328833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38-4D2A-B6A1-88FF66868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23616"/>
        <c:axId val="213426176"/>
      </c:scatterChart>
      <c:valAx>
        <c:axId val="21342361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26176"/>
        <c:crosses val="autoZero"/>
        <c:crossBetween val="midCat"/>
        <c:majorUnit val="2"/>
      </c:valAx>
      <c:valAx>
        <c:axId val="2134261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4015229412404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2361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3649730642910765"/>
          <c:w val="0.20600000000000004"/>
          <c:h val="0.270073473984721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203, East Field</a:t>
            </a:r>
          </a:p>
        </c:rich>
      </c:tx>
      <c:layout>
        <c:manualLayout>
          <c:xMode val="edge"/>
          <c:yMode val="edge"/>
          <c:x val="0.39200000000000057"/>
          <c:y val="2.03252839386589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000000000000024E-2"/>
          <c:y val="0.10569147648102666"/>
          <c:w val="0.86400000000000088"/>
          <c:h val="0.7398403353671864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Details'!$AQ$119:$AQ$131</c:f>
              <c:numCache>
                <c:formatCode>0.000</c:formatCode>
                <c:ptCount val="13"/>
                <c:pt idx="0">
                  <c:v>0.22592223768736616</c:v>
                </c:pt>
                <c:pt idx="1">
                  <c:v>0.37852980728051394</c:v>
                </c:pt>
                <c:pt idx="2">
                  <c:v>0.46215623126338329</c:v>
                </c:pt>
                <c:pt idx="3">
                  <c:v>0.53069940042826558</c:v>
                </c:pt>
                <c:pt idx="4">
                  <c:v>0.58371996573875795</c:v>
                </c:pt>
                <c:pt idx="5">
                  <c:v>0.61856921841541757</c:v>
                </c:pt>
                <c:pt idx="6">
                  <c:v>0.64029013822269809</c:v>
                </c:pt>
                <c:pt idx="7">
                  <c:v>0.6572770877944325</c:v>
                </c:pt>
                <c:pt idx="8">
                  <c:v>0.66494046408993579</c:v>
                </c:pt>
                <c:pt idx="9">
                  <c:v>0.673826852248394</c:v>
                </c:pt>
                <c:pt idx="10">
                  <c:v>0.60354706423982873</c:v>
                </c:pt>
                <c:pt idx="11">
                  <c:v>0.48369065524625265</c:v>
                </c:pt>
                <c:pt idx="12">
                  <c:v>0.26160857773019275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83-400F-BB8A-60C3E4B0F02D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Details'!$AS$119:$AS$131</c:f>
              <c:numCache>
                <c:formatCode>0.000</c:formatCode>
                <c:ptCount val="13"/>
                <c:pt idx="0">
                  <c:v>9.2549083664206333E-2</c:v>
                </c:pt>
                <c:pt idx="1">
                  <c:v>0.7036086418323465</c:v>
                </c:pt>
                <c:pt idx="2">
                  <c:v>0.80236221190182011</c:v>
                </c:pt>
                <c:pt idx="3">
                  <c:v>0.84309277135190874</c:v>
                </c:pt>
                <c:pt idx="4">
                  <c:v>0.86658990424861293</c:v>
                </c:pt>
                <c:pt idx="5">
                  <c:v>0.87660874764211205</c:v>
                </c:pt>
                <c:pt idx="6">
                  <c:v>0.88201031836478516</c:v>
                </c:pt>
                <c:pt idx="7">
                  <c:v>0.88712275991125666</c:v>
                </c:pt>
                <c:pt idx="8">
                  <c:v>0.88570786909140831</c:v>
                </c:pt>
                <c:pt idx="9">
                  <c:v>0.88652579196582992</c:v>
                </c:pt>
                <c:pt idx="10">
                  <c:v>0.8652566398769872</c:v>
                </c:pt>
                <c:pt idx="11">
                  <c:v>0.80878505471541406</c:v>
                </c:pt>
                <c:pt idx="12">
                  <c:v>0.55125944800525206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83-400F-BB8A-60C3E4B0F02D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Details'!$AT$119:$AT$131</c:f>
              <c:numCache>
                <c:formatCode>0.000</c:formatCode>
                <c:ptCount val="13"/>
                <c:pt idx="0">
                  <c:v>2.0908896077332761E-2</c:v>
                </c:pt>
                <c:pt idx="1">
                  <c:v>0.2663368435937023</c:v>
                </c:pt>
                <c:pt idx="2">
                  <c:v>0.37081669596069733</c:v>
                </c:pt>
                <c:pt idx="3">
                  <c:v>0.44742882826186275</c:v>
                </c:pt>
                <c:pt idx="4">
                  <c:v>0.50584582921755383</c:v>
                </c:pt>
                <c:pt idx="5">
                  <c:v>0.54224318788509929</c:v>
                </c:pt>
                <c:pt idx="6">
                  <c:v>0.56474250865963427</c:v>
                </c:pt>
                <c:pt idx="7">
                  <c:v>0.58308546415063034</c:v>
                </c:pt>
                <c:pt idx="8">
                  <c:v>0.58894300152174917</c:v>
                </c:pt>
                <c:pt idx="9">
                  <c:v>0.59736488383734976</c:v>
                </c:pt>
                <c:pt idx="10">
                  <c:v>0.52222310481177436</c:v>
                </c:pt>
                <c:pt idx="11">
                  <c:v>0.39120177306867493</c:v>
                </c:pt>
                <c:pt idx="12">
                  <c:v>0.14421420015298514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83-400F-BB8A-60C3E4B0F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4192"/>
        <c:axId val="213466496"/>
      </c:scatterChart>
      <c:valAx>
        <c:axId val="2134641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898377550088724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66496"/>
        <c:crosses val="autoZero"/>
        <c:crossBetween val="midCat"/>
        <c:majorUnit val="2"/>
      </c:valAx>
      <c:valAx>
        <c:axId val="2134664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617900541081282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641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2"/>
          <c:y val="0.52439232561739957"/>
          <c:w val="0.20600000000000004"/>
          <c:h val="0.3008142022921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234, East Field</a:t>
            </a:r>
          </a:p>
        </c:rich>
      </c:tx>
      <c:layout>
        <c:manualLayout>
          <c:xMode val="edge"/>
          <c:yMode val="edge"/>
          <c:x val="0.37800000000000045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2"/>
          <c:y val="9.8181818181818245E-2"/>
          <c:w val="0.84800000000000064"/>
          <c:h val="0.7490909090909091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Details'!$AQ$134:$AQ$144</c:f>
              <c:numCache>
                <c:formatCode>0.000</c:formatCode>
                <c:ptCount val="11"/>
                <c:pt idx="0">
                  <c:v>0.2991055674518201</c:v>
                </c:pt>
                <c:pt idx="1">
                  <c:v>0.41503303747323345</c:v>
                </c:pt>
                <c:pt idx="2">
                  <c:v>0.49712338329764455</c:v>
                </c:pt>
                <c:pt idx="3">
                  <c:v>0.55784626445396146</c:v>
                </c:pt>
                <c:pt idx="4">
                  <c:v>0.58655462419700211</c:v>
                </c:pt>
                <c:pt idx="5">
                  <c:v>0.62215771092077088</c:v>
                </c:pt>
                <c:pt idx="6">
                  <c:v>0.63411634892933622</c:v>
                </c:pt>
                <c:pt idx="7">
                  <c:v>0.65386370128479665</c:v>
                </c:pt>
                <c:pt idx="8">
                  <c:v>0.65489732119914346</c:v>
                </c:pt>
                <c:pt idx="9">
                  <c:v>0.55435471092077093</c:v>
                </c:pt>
                <c:pt idx="10">
                  <c:v>0.39040214132762308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2-40E8-83CE-E9A9334F7354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Details'!$AS$134:$AS$144</c:f>
              <c:numCache>
                <c:formatCode>0.000</c:formatCode>
                <c:ptCount val="11"/>
                <c:pt idx="0">
                  <c:v>0.59630067041937418</c:v>
                </c:pt>
                <c:pt idx="1">
                  <c:v>0.78064350763674517</c:v>
                </c:pt>
                <c:pt idx="2">
                  <c:v>0.83567517438931738</c:v>
                </c:pt>
                <c:pt idx="3">
                  <c:v>0.8650368699396177</c:v>
                </c:pt>
                <c:pt idx="4">
                  <c:v>0.87124737673839814</c:v>
                </c:pt>
                <c:pt idx="5">
                  <c:v>0.88184167639267808</c:v>
                </c:pt>
                <c:pt idx="6">
                  <c:v>0.87976519880502835</c:v>
                </c:pt>
                <c:pt idx="7">
                  <c:v>0.88126380017593442</c:v>
                </c:pt>
                <c:pt idx="8">
                  <c:v>0.87482485632134521</c:v>
                </c:pt>
                <c:pt idx="9">
                  <c:v>0.8343113503891344</c:v>
                </c:pt>
                <c:pt idx="10">
                  <c:v>0.72593699240498966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22-40E8-83CE-E9A9334F7354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Details'!$AT$134:$AT$144</c:f>
              <c:numCache>
                <c:formatCode>0.000</c:formatCode>
                <c:ptCount val="11"/>
                <c:pt idx="0">
                  <c:v>0.17835685039768767</c:v>
                </c:pt>
                <c:pt idx="1">
                  <c:v>0.32399284615823765</c:v>
                </c:pt>
                <c:pt idx="2">
                  <c:v>0.4154336700302666</c:v>
                </c:pt>
                <c:pt idx="3">
                  <c:v>0.48255758651076303</c:v>
                </c:pt>
                <c:pt idx="4">
                  <c:v>0.51103417764541503</c:v>
                </c:pt>
                <c:pt idx="5">
                  <c:v>0.54864459877900373</c:v>
                </c:pt>
                <c:pt idx="6">
                  <c:v>0.55787349578133616</c:v>
                </c:pt>
                <c:pt idx="7">
                  <c:v>0.57622641019134191</c:v>
                </c:pt>
                <c:pt idx="8">
                  <c:v>0.57292045492327459</c:v>
                </c:pt>
                <c:pt idx="9">
                  <c:v>0.46250442746288661</c:v>
                </c:pt>
                <c:pt idx="10">
                  <c:v>0.28340735630384239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22-40E8-83CE-E9A9334F7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0832"/>
        <c:axId val="213322752"/>
      </c:scatterChart>
      <c:valAx>
        <c:axId val="2133208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322752"/>
        <c:crosses val="autoZero"/>
        <c:crossBetween val="midCat"/>
        <c:majorUnit val="2"/>
      </c:valAx>
      <c:valAx>
        <c:axId val="2133227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3208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3454545454545543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264, East Field</a:t>
            </a:r>
          </a:p>
        </c:rich>
      </c:tx>
      <c:layout>
        <c:manualLayout>
          <c:xMode val="edge"/>
          <c:yMode val="edge"/>
          <c:x val="0.37800000000000045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2"/>
          <c:y val="9.8181818181818245E-2"/>
          <c:w val="0.84800000000000064"/>
          <c:h val="0.7490909090909091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Details'!$AQ$148:$AQ$158</c:f>
              <c:numCache>
                <c:formatCode>0.000</c:formatCode>
                <c:ptCount val="11"/>
                <c:pt idx="0">
                  <c:v>0.19749879014989291</c:v>
                </c:pt>
                <c:pt idx="1">
                  <c:v>0.35730457173447538</c:v>
                </c:pt>
                <c:pt idx="2">
                  <c:v>0.45778447537473232</c:v>
                </c:pt>
                <c:pt idx="3">
                  <c:v>0.51970418415417552</c:v>
                </c:pt>
                <c:pt idx="4">
                  <c:v>0.56558370021413273</c:v>
                </c:pt>
                <c:pt idx="5">
                  <c:v>0.59303010706638115</c:v>
                </c:pt>
                <c:pt idx="6">
                  <c:v>0.6212411569593147</c:v>
                </c:pt>
                <c:pt idx="7">
                  <c:v>0.63082014089935756</c:v>
                </c:pt>
                <c:pt idx="8">
                  <c:v>0.62538384368308353</c:v>
                </c:pt>
                <c:pt idx="9">
                  <c:v>0.51990244111349038</c:v>
                </c:pt>
                <c:pt idx="10">
                  <c:v>0.31235364025695933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CC-4E5F-AB4F-5D448EE0B0EE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Details'!$AS$148:$AS$158</c:f>
              <c:numCache>
                <c:formatCode>0.000</c:formatCode>
                <c:ptCount val="11"/>
                <c:pt idx="0">
                  <c:v>0.35159787448774149</c:v>
                </c:pt>
                <c:pt idx="1">
                  <c:v>0.74674077406074946</c:v>
                </c:pt>
                <c:pt idx="2">
                  <c:v>0.82744917228835402</c:v>
                </c:pt>
                <c:pt idx="3">
                  <c:v>0.86049180805063907</c:v>
                </c:pt>
                <c:pt idx="4">
                  <c:v>0.87141867661569195</c:v>
                </c:pt>
                <c:pt idx="5">
                  <c:v>0.87845986622270433</c:v>
                </c:pt>
                <c:pt idx="6">
                  <c:v>0.87894917138233097</c:v>
                </c:pt>
                <c:pt idx="7">
                  <c:v>0.8747646188578605</c:v>
                </c:pt>
                <c:pt idx="8">
                  <c:v>0.8650643901296331</c:v>
                </c:pt>
                <c:pt idx="9">
                  <c:v>0.80024408283667392</c:v>
                </c:pt>
                <c:pt idx="10">
                  <c:v>0.61401520424646638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CC-4E5F-AB4F-5D448EE0B0EE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Details'!$AT$148:$AT$158</c:f>
              <c:numCache>
                <c:formatCode>0.000</c:formatCode>
                <c:ptCount val="11"/>
                <c:pt idx="0">
                  <c:v>6.944015483060284E-2</c:v>
                </c:pt>
                <c:pt idx="1">
                  <c:v>0.26681389247244675</c:v>
                </c:pt>
                <c:pt idx="2">
                  <c:v>0.37879338523528067</c:v>
                </c:pt>
                <c:pt idx="3">
                  <c:v>0.44720119307430878</c:v>
                </c:pt>
                <c:pt idx="4">
                  <c:v>0.4928601995560058</c:v>
                </c:pt>
                <c:pt idx="5">
                  <c:v>0.5209531485195692</c:v>
                </c:pt>
                <c:pt idx="6">
                  <c:v>0.54603940013799024</c:v>
                </c:pt>
                <c:pt idx="7">
                  <c:v>0.55181914012168842</c:v>
                </c:pt>
                <c:pt idx="8">
                  <c:v>0.54099729333263247</c:v>
                </c:pt>
                <c:pt idx="9">
                  <c:v>0.41604885215341297</c:v>
                </c:pt>
                <c:pt idx="10">
                  <c:v>0.19178988421950416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CC-4E5F-AB4F-5D448EE0B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1504"/>
        <c:axId val="213383808"/>
      </c:scatterChart>
      <c:valAx>
        <c:axId val="2133815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383808"/>
        <c:crosses val="autoZero"/>
        <c:crossBetween val="midCat"/>
        <c:majorUnit val="2"/>
      </c:valAx>
      <c:valAx>
        <c:axId val="2133838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3815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3454545454545543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264, East Field</a:t>
            </a:r>
          </a:p>
        </c:rich>
      </c:tx>
      <c:layout>
        <c:manualLayout>
          <c:xMode val="edge"/>
          <c:yMode val="edge"/>
          <c:x val="0.37800000000000045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2"/>
          <c:y val="9.8181818181818245E-2"/>
          <c:w val="0.84800000000000064"/>
          <c:h val="0.7490909090909091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Details'!$AQ$162:$AQ$170</c:f>
              <c:numCache>
                <c:formatCode>0.000</c:formatCode>
                <c:ptCount val="9"/>
                <c:pt idx="0">
                  <c:v>0.3073558244111349</c:v>
                </c:pt>
                <c:pt idx="1">
                  <c:v>0.41103667344753742</c:v>
                </c:pt>
                <c:pt idx="2">
                  <c:v>0.471438800856531</c:v>
                </c:pt>
                <c:pt idx="3">
                  <c:v>0.51925600642398284</c:v>
                </c:pt>
                <c:pt idx="4">
                  <c:v>0.56908120985010702</c:v>
                </c:pt>
                <c:pt idx="5">
                  <c:v>0.59156871520342613</c:v>
                </c:pt>
                <c:pt idx="6">
                  <c:v>0.59431177730192719</c:v>
                </c:pt>
                <c:pt idx="7">
                  <c:v>0.56303339668094221</c:v>
                </c:pt>
                <c:pt idx="8">
                  <c:v>0.45952404496788007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F8-4DB9-9CD6-A41514C9B53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Details'!$AS$162:$AS$170</c:f>
              <c:numCache>
                <c:formatCode>0.000</c:formatCode>
                <c:ptCount val="9"/>
                <c:pt idx="0">
                  <c:v>0.65855844168490629</c:v>
                </c:pt>
                <c:pt idx="1">
                  <c:v>0.78931463891055786</c:v>
                </c:pt>
                <c:pt idx="2">
                  <c:v>0.83062654795737778</c:v>
                </c:pt>
                <c:pt idx="3">
                  <c:v>0.85453120450289277</c:v>
                </c:pt>
                <c:pt idx="4">
                  <c:v>0.86210646299290672</c:v>
                </c:pt>
                <c:pt idx="5">
                  <c:v>0.86318797150536686</c:v>
                </c:pt>
                <c:pt idx="6">
                  <c:v>0.86450445572949242</c:v>
                </c:pt>
                <c:pt idx="7">
                  <c:v>0.84518350740660997</c:v>
                </c:pt>
                <c:pt idx="8">
                  <c:v>0.77767659764803365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F8-4DB9-9CD6-A41514C9B53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Details'!$AT$162:$AT$170</c:f>
              <c:numCache>
                <c:formatCode>0.000</c:formatCode>
                <c:ptCount val="9"/>
                <c:pt idx="0">
                  <c:v>0.20241177276697669</c:v>
                </c:pt>
                <c:pt idx="1">
                  <c:v>0.32443726348123986</c:v>
                </c:pt>
                <c:pt idx="2">
                  <c:v>0.39158958372862601</c:v>
                </c:pt>
                <c:pt idx="3">
                  <c:v>0.44372046061484788</c:v>
                </c:pt>
                <c:pt idx="4">
                  <c:v>0.49060858897959986</c:v>
                </c:pt>
                <c:pt idx="5">
                  <c:v>0.51063499928248146</c:v>
                </c:pt>
                <c:pt idx="6">
                  <c:v>0.51378517957002989</c:v>
                </c:pt>
                <c:pt idx="7">
                  <c:v>0.47586654099385589</c:v>
                </c:pt>
                <c:pt idx="8">
                  <c:v>0.35736109582808301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F8-4DB9-9CD6-A41514C9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2512"/>
        <c:axId val="213587840"/>
      </c:scatterChart>
      <c:valAx>
        <c:axId val="21355251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87840"/>
        <c:crosses val="autoZero"/>
        <c:crossBetween val="midCat"/>
        <c:majorUnit val="2"/>
      </c:valAx>
      <c:valAx>
        <c:axId val="2135878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5251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3454545454545543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326, East Field</a:t>
            </a:r>
          </a:p>
        </c:rich>
      </c:tx>
      <c:layout>
        <c:manualLayout>
          <c:xMode val="edge"/>
          <c:yMode val="edge"/>
          <c:x val="0.37800000000000045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9.8181818181818245E-2"/>
          <c:w val="0.83600000000000063"/>
          <c:h val="0.7381818181818193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Details'!$AQ$175:$AQ$183</c:f>
              <c:numCache>
                <c:formatCode>0.000</c:formatCode>
                <c:ptCount val="9"/>
                <c:pt idx="0">
                  <c:v>0.24388382426124197</c:v>
                </c:pt>
                <c:pt idx="1">
                  <c:v>0.34356234475374736</c:v>
                </c:pt>
                <c:pt idx="2">
                  <c:v>0.42795029764453962</c:v>
                </c:pt>
                <c:pt idx="3">
                  <c:v>0.48534974946466808</c:v>
                </c:pt>
                <c:pt idx="4">
                  <c:v>0.53547348072805145</c:v>
                </c:pt>
                <c:pt idx="5">
                  <c:v>0.54571203426124193</c:v>
                </c:pt>
                <c:pt idx="6">
                  <c:v>0.52321386820128479</c:v>
                </c:pt>
                <c:pt idx="7">
                  <c:v>0.49753485438972167</c:v>
                </c:pt>
                <c:pt idx="8">
                  <c:v>0.34746124197002143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7A-467B-8D10-11377DC537F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Details'!$AS$175:$AS$183</c:f>
              <c:numCache>
                <c:formatCode>0.000</c:formatCode>
                <c:ptCount val="9"/>
                <c:pt idx="0">
                  <c:v>0.6289598970487793</c:v>
                </c:pt>
                <c:pt idx="1">
                  <c:v>0.77008222424355166</c:v>
                </c:pt>
                <c:pt idx="2">
                  <c:v>0.8305808139895523</c:v>
                </c:pt>
                <c:pt idx="3">
                  <c:v>0.85016269043439363</c:v>
                </c:pt>
                <c:pt idx="4">
                  <c:v>0.86539583912014983</c:v>
                </c:pt>
                <c:pt idx="5">
                  <c:v>0.86219516503217886</c:v>
                </c:pt>
                <c:pt idx="6">
                  <c:v>0.84900820567073187</c:v>
                </c:pt>
                <c:pt idx="7">
                  <c:v>0.83039067593774918</c:v>
                </c:pt>
                <c:pt idx="8">
                  <c:v>0.70110741453851766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7A-467B-8D10-11377DC537F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Details'!$AT$175:$AT$183</c:f>
              <c:numCache>
                <c:formatCode>0.000</c:formatCode>
                <c:ptCount val="9"/>
                <c:pt idx="0">
                  <c:v>0.15339314499921333</c:v>
                </c:pt>
                <c:pt idx="1">
                  <c:v>0.2645712546142957</c:v>
                </c:pt>
                <c:pt idx="2">
                  <c:v>0.35544730656467288</c:v>
                </c:pt>
                <c:pt idx="3">
                  <c:v>0.41262624880654114</c:v>
                </c:pt>
                <c:pt idx="4">
                  <c:v>0.46339652218123945</c:v>
                </c:pt>
                <c:pt idx="5">
                  <c:v>0.47051027743991752</c:v>
                </c:pt>
                <c:pt idx="6">
                  <c:v>0.4442128674236156</c:v>
                </c:pt>
                <c:pt idx="7">
                  <c:v>0.41314830403927061</c:v>
                </c:pt>
                <c:pt idx="8">
                  <c:v>0.243607653009944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7A-467B-8D10-11377DC53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1760"/>
        <c:axId val="213628416"/>
      </c:scatterChart>
      <c:valAx>
        <c:axId val="21362176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628416"/>
        <c:crosses val="autoZero"/>
        <c:crossBetween val="midCat"/>
        <c:majorUnit val="2"/>
      </c:valAx>
      <c:valAx>
        <c:axId val="21362841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2E-2"/>
              <c:y val="0.349090909090909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62176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00000000000001"/>
          <c:y val="0.53090909090909177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356, East Field</a:t>
            </a:r>
          </a:p>
        </c:rich>
      </c:tx>
      <c:layout>
        <c:manualLayout>
          <c:xMode val="edge"/>
          <c:yMode val="edge"/>
          <c:x val="0.37875788565205254"/>
          <c:y val="1.81818181818182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23257866570914"/>
          <c:y val="9.8181818181818245E-2"/>
          <c:w val="0.8356721604069075"/>
          <c:h val="0.7381818181818193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Details'!$AQ$188:$AQ$196</c:f>
              <c:numCache>
                <c:formatCode>0.000</c:formatCode>
                <c:ptCount val="9"/>
                <c:pt idx="0">
                  <c:v>0.21122095074946468</c:v>
                </c:pt>
                <c:pt idx="1">
                  <c:v>0.30916255888650962</c:v>
                </c:pt>
                <c:pt idx="2">
                  <c:v>0.3957484154175589</c:v>
                </c:pt>
                <c:pt idx="3">
                  <c:v>0.46406153394004279</c:v>
                </c:pt>
                <c:pt idx="4">
                  <c:v>0.51887105995717342</c:v>
                </c:pt>
                <c:pt idx="5">
                  <c:v>0.51680462526766602</c:v>
                </c:pt>
                <c:pt idx="6">
                  <c:v>0.49118511777301932</c:v>
                </c:pt>
                <c:pt idx="7">
                  <c:v>0.46311591241970024</c:v>
                </c:pt>
                <c:pt idx="8">
                  <c:v>0.28878692291220559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FD-4EB8-AF80-2C53B077D177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Details'!$AS$188:$AS$196</c:f>
              <c:numCache>
                <c:formatCode>0.000</c:formatCode>
                <c:ptCount val="9"/>
                <c:pt idx="0">
                  <c:v>0.17054274191845964</c:v>
                </c:pt>
                <c:pt idx="1">
                  <c:v>0.64216507418713165</c:v>
                </c:pt>
                <c:pt idx="2">
                  <c:v>0.7631157985167899</c:v>
                </c:pt>
                <c:pt idx="3">
                  <c:v>0.80969772657486583</c:v>
                </c:pt>
                <c:pt idx="4">
                  <c:v>0.82793352132478371</c:v>
                </c:pt>
                <c:pt idx="5">
                  <c:v>0.8269838414964904</c:v>
                </c:pt>
                <c:pt idx="6">
                  <c:v>0.81233659476940545</c:v>
                </c:pt>
                <c:pt idx="7">
                  <c:v>0.76839037045610359</c:v>
                </c:pt>
                <c:pt idx="8">
                  <c:v>0.48438196191043703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FD-4EB8-AF80-2C53B077D177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Details'!$AT$188:$AT$196</c:f>
              <c:numCache>
                <c:formatCode>0.000</c:formatCode>
                <c:ptCount val="9"/>
                <c:pt idx="0">
                  <c:v>0</c:v>
                </c:pt>
                <c:pt idx="1">
                  <c:v>0.1985333975632389</c:v>
                </c:pt>
                <c:pt idx="2">
                  <c:v>0.30200186804312473</c:v>
                </c:pt>
                <c:pt idx="3">
                  <c:v>0.37574956902209761</c:v>
                </c:pt>
                <c:pt idx="4">
                  <c:v>0.42959074378386558</c:v>
                </c:pt>
                <c:pt idx="5">
                  <c:v>0.42738907430700862</c:v>
                </c:pt>
                <c:pt idx="6">
                  <c:v>0.39900764597314387</c:v>
                </c:pt>
                <c:pt idx="7">
                  <c:v>0.35585380750828988</c:v>
                </c:pt>
                <c:pt idx="8">
                  <c:v>0.13988317629429228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FD-4EB8-AF80-2C53B077D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4624"/>
        <c:axId val="213681280"/>
      </c:scatterChart>
      <c:valAx>
        <c:axId val="2136746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12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681280"/>
        <c:crosses val="autoZero"/>
        <c:crossBetween val="midCat"/>
        <c:majorUnit val="2"/>
      </c:valAx>
      <c:valAx>
        <c:axId val="2136812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2024059861969905E-2"/>
              <c:y val="0.349090909090909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6746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90625480086638"/>
          <c:y val="0.53090909090909177"/>
          <c:w val="0.20641302763048341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53 West Field</a:t>
            </a:r>
          </a:p>
        </c:rich>
      </c:tx>
      <c:layout>
        <c:manualLayout>
          <c:xMode val="edge"/>
          <c:yMode val="edge"/>
          <c:x val="0.39842285815546929"/>
          <c:y val="1.908400503191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5420025159577149E-2"/>
          <c:w val="0.83826591443600995"/>
          <c:h val="0.7328257932255525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Details'!$BR$47:$BR$55</c:f>
              <c:numCache>
                <c:formatCode>0.000</c:formatCode>
                <c:ptCount val="9"/>
                <c:pt idx="0">
                  <c:v>0.45952404496788007</c:v>
                </c:pt>
                <c:pt idx="1">
                  <c:v>0.56303339668094221</c:v>
                </c:pt>
                <c:pt idx="2">
                  <c:v>0.59431177730192719</c:v>
                </c:pt>
                <c:pt idx="3">
                  <c:v>0.59156871520342613</c:v>
                </c:pt>
                <c:pt idx="4">
                  <c:v>0.56908120985010702</c:v>
                </c:pt>
                <c:pt idx="5">
                  <c:v>0.51925600642398284</c:v>
                </c:pt>
                <c:pt idx="6">
                  <c:v>0.471438800856531</c:v>
                </c:pt>
                <c:pt idx="7">
                  <c:v>0.41103667344753742</c:v>
                </c:pt>
                <c:pt idx="8">
                  <c:v>0.3073558244111349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7C-407C-ABC4-10BFFB45398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Details'!$BT$47:$BT$55</c:f>
              <c:numCache>
                <c:formatCode>0.000</c:formatCode>
                <c:ptCount val="9"/>
                <c:pt idx="0">
                  <c:v>0.65766695060566405</c:v>
                </c:pt>
                <c:pt idx="1">
                  <c:v>0.80154891541973938</c:v>
                </c:pt>
                <c:pt idx="2">
                  <c:v>0.83693842390619788</c:v>
                </c:pt>
                <c:pt idx="3">
                  <c:v>0.84501187101313679</c:v>
                </c:pt>
                <c:pt idx="4">
                  <c:v>0.84339809056626769</c:v>
                </c:pt>
                <c:pt idx="5">
                  <c:v>0.82428714531970593</c:v>
                </c:pt>
                <c:pt idx="6">
                  <c:v>0.8091087948030049</c:v>
                </c:pt>
                <c:pt idx="7">
                  <c:v>0.77038740033255171</c:v>
                </c:pt>
                <c:pt idx="8">
                  <c:v>0.65880891926401808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7C-407C-ABC4-10BFFB45398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Details'!$BU$47:$BU$55</c:f>
              <c:numCache>
                <c:formatCode>0.000</c:formatCode>
                <c:ptCount val="9"/>
                <c:pt idx="0">
                  <c:v>0.30221377738400573</c:v>
                </c:pt>
                <c:pt idx="1">
                  <c:v>0.45129880845470111</c:v>
                </c:pt>
                <c:pt idx="2">
                  <c:v>0.49740236220396622</c:v>
                </c:pt>
                <c:pt idx="3">
                  <c:v>0.49988258686688458</c:v>
                </c:pt>
                <c:pt idx="4">
                  <c:v>0.47996200576472176</c:v>
                </c:pt>
                <c:pt idx="5">
                  <c:v>0.4280160512253357</c:v>
                </c:pt>
                <c:pt idx="6">
                  <c:v>0.38144527998440164</c:v>
                </c:pt>
                <c:pt idx="7">
                  <c:v>0.31665747429858832</c:v>
                </c:pt>
                <c:pt idx="8">
                  <c:v>0.20248875850980108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7C-407C-ABC4-10BFFB453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11104"/>
        <c:axId val="213811968"/>
      </c:scatterChart>
      <c:valAx>
        <c:axId val="2137111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0765037506407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811968"/>
        <c:crosses val="autoZero"/>
        <c:crossBetween val="midCat"/>
        <c:majorUnit val="2"/>
      </c:valAx>
      <c:valAx>
        <c:axId val="2138119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3806732708357831E-2"/>
              <c:y val="0.351145692587243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11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381773284256626"/>
          <c:w val="0.2031562098515507"/>
          <c:h val="0.282443274472347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82 West Field</a:t>
            </a:r>
          </a:p>
        </c:rich>
      </c:tx>
      <c:layout>
        <c:manualLayout>
          <c:xMode val="edge"/>
          <c:yMode val="edge"/>
          <c:x val="0.39842285815546929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2"/>
          <c:y val="9.3984962406015213E-2"/>
          <c:w val="0.82840396250146853"/>
          <c:h val="0.7255639097744350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Details'!$BR$61:$BR$71</c:f>
              <c:numCache>
                <c:formatCode>0.000</c:formatCode>
                <c:ptCount val="11"/>
                <c:pt idx="0">
                  <c:v>0.31235364025695933</c:v>
                </c:pt>
                <c:pt idx="1">
                  <c:v>0.51990244111349038</c:v>
                </c:pt>
                <c:pt idx="2">
                  <c:v>0.62538384368308353</c:v>
                </c:pt>
                <c:pt idx="3">
                  <c:v>0.63082014089935756</c:v>
                </c:pt>
                <c:pt idx="4">
                  <c:v>0.6212411569593147</c:v>
                </c:pt>
                <c:pt idx="5">
                  <c:v>0.59303010706638115</c:v>
                </c:pt>
                <c:pt idx="6">
                  <c:v>0.56558370021413273</c:v>
                </c:pt>
                <c:pt idx="7">
                  <c:v>0.51970418415417552</c:v>
                </c:pt>
                <c:pt idx="8">
                  <c:v>0.45778447537473232</c:v>
                </c:pt>
                <c:pt idx="9">
                  <c:v>0.35730457173447538</c:v>
                </c:pt>
                <c:pt idx="10">
                  <c:v>0.19749879014989291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E5-4B03-99A6-45D90B4690EC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Details'!$BT$61:$BT$71</c:f>
              <c:numCache>
                <c:formatCode>0.000</c:formatCode>
                <c:ptCount val="11"/>
                <c:pt idx="0">
                  <c:v>0.28413709992112146</c:v>
                </c:pt>
                <c:pt idx="1">
                  <c:v>0.78963869978672196</c:v>
                </c:pt>
                <c:pt idx="2">
                  <c:v>0.85913661209027825</c:v>
                </c:pt>
                <c:pt idx="3">
                  <c:v>0.86893232378475527</c:v>
                </c:pt>
                <c:pt idx="4">
                  <c:v>0.87430549526488255</c:v>
                </c:pt>
                <c:pt idx="5">
                  <c:v>0.8662415458958862</c:v>
                </c:pt>
                <c:pt idx="6">
                  <c:v>0.85992703091312683</c:v>
                </c:pt>
                <c:pt idx="7">
                  <c:v>0.84243339548081109</c:v>
                </c:pt>
                <c:pt idx="8">
                  <c:v>0.81020281983826403</c:v>
                </c:pt>
                <c:pt idx="9">
                  <c:v>0.72678106762367678</c:v>
                </c:pt>
                <c:pt idx="10">
                  <c:v>0.39564136525771987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E5-4B03-99A6-45D90B4690EC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Details'!$BU$61:$BU$71</c:f>
              <c:numCache>
                <c:formatCode>0.000</c:formatCode>
                <c:ptCount val="11"/>
                <c:pt idx="0">
                  <c:v>8.8751257492417676E-2</c:v>
                </c:pt>
                <c:pt idx="1">
                  <c:v>0.4105350876167993</c:v>
                </c:pt>
                <c:pt idx="2">
                  <c:v>0.5372901567178805</c:v>
                </c:pt>
                <c:pt idx="3">
                  <c:v>0.54814001092190545</c:v>
                </c:pt>
                <c:pt idx="4">
                  <c:v>0.54315455741424223</c:v>
                </c:pt>
                <c:pt idx="5">
                  <c:v>0.51370731670798486</c:v>
                </c:pt>
                <c:pt idx="6">
                  <c:v>0.48636071205799919</c:v>
                </c:pt>
                <c:pt idx="7">
                  <c:v>0.43781616050258682</c:v>
                </c:pt>
                <c:pt idx="8">
                  <c:v>0.37089827282678844</c:v>
                </c:pt>
                <c:pt idx="9">
                  <c:v>0.2596821981120026</c:v>
                </c:pt>
                <c:pt idx="10">
                  <c:v>7.8138690971651548E-2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E5-4B03-99A6-45D90B46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54080"/>
        <c:axId val="213856640"/>
      </c:scatterChart>
      <c:valAx>
        <c:axId val="21385408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856640"/>
        <c:crosses val="autoZero"/>
        <c:crossBetween val="midCat"/>
        <c:majorUnit val="2"/>
      </c:valAx>
      <c:valAx>
        <c:axId val="2138566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0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85408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23"/>
          <c:y val="0.49248120300751935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112 West Field</a:t>
            </a:r>
          </a:p>
        </c:rich>
      </c:tx>
      <c:layout>
        <c:manualLayout>
          <c:xMode val="edge"/>
          <c:yMode val="edge"/>
          <c:x val="0.3925056869947447"/>
          <c:y val="1.88679592938519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2"/>
          <c:y val="9.4339796469259524E-2"/>
          <c:w val="0.82840396250146853"/>
          <c:h val="0.7245296368839133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Details'!$BR$76:$BR$86</c:f>
              <c:numCache>
                <c:formatCode>0.000</c:formatCode>
                <c:ptCount val="11"/>
                <c:pt idx="0">
                  <c:v>0.39040214132762308</c:v>
                </c:pt>
                <c:pt idx="1">
                  <c:v>0.55435471092077093</c:v>
                </c:pt>
                <c:pt idx="2">
                  <c:v>0.65489732119914346</c:v>
                </c:pt>
                <c:pt idx="3">
                  <c:v>0.65386370128479665</c:v>
                </c:pt>
                <c:pt idx="4">
                  <c:v>0.63411634892933622</c:v>
                </c:pt>
                <c:pt idx="5">
                  <c:v>0.62215771092077088</c:v>
                </c:pt>
                <c:pt idx="6">
                  <c:v>0.58655462419700211</c:v>
                </c:pt>
                <c:pt idx="7">
                  <c:v>0.55784626445396146</c:v>
                </c:pt>
                <c:pt idx="8">
                  <c:v>0.49712338329764455</c:v>
                </c:pt>
                <c:pt idx="9">
                  <c:v>0.41503303747323345</c:v>
                </c:pt>
                <c:pt idx="10">
                  <c:v>0.2991055674518201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E3-4A24-BF3F-404EDF752677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Details'!$BT$76:$BT$86</c:f>
              <c:numCache>
                <c:formatCode>0.000</c:formatCode>
                <c:ptCount val="11"/>
                <c:pt idx="0">
                  <c:v>0.69449343668731911</c:v>
                </c:pt>
                <c:pt idx="1">
                  <c:v>0.83866772451721516</c:v>
                </c:pt>
                <c:pt idx="2">
                  <c:v>0.88338213047479131</c:v>
                </c:pt>
                <c:pt idx="3">
                  <c:v>0.88993433794506416</c:v>
                </c:pt>
                <c:pt idx="4">
                  <c:v>0.8896941772160698</c:v>
                </c:pt>
                <c:pt idx="5">
                  <c:v>0.88999009817590502</c:v>
                </c:pt>
                <c:pt idx="6">
                  <c:v>0.87722176914938366</c:v>
                </c:pt>
                <c:pt idx="7">
                  <c:v>0.86898845117126222</c:v>
                </c:pt>
                <c:pt idx="8">
                  <c:v>0.84944640535854632</c:v>
                </c:pt>
                <c:pt idx="9">
                  <c:v>0.79658210841475396</c:v>
                </c:pt>
                <c:pt idx="10">
                  <c:v>0.68822387396468399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E3-4A24-BF3F-404EDF752677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Details'!$BU$76:$BU$86</c:f>
              <c:numCache>
                <c:formatCode>0.000</c:formatCode>
                <c:ptCount val="11"/>
                <c:pt idx="0">
                  <c:v>0.27113172482070941</c:v>
                </c:pt>
                <c:pt idx="1">
                  <c:v>0.46491940398332154</c:v>
                </c:pt>
                <c:pt idx="2">
                  <c:v>0.57852459084313301</c:v>
                </c:pt>
                <c:pt idx="3">
                  <c:v>0.58189576010919475</c:v>
                </c:pt>
                <c:pt idx="4">
                  <c:v>0.56416962331994402</c:v>
                </c:pt>
                <c:pt idx="5">
                  <c:v>0.55371420222327317</c:v>
                </c:pt>
                <c:pt idx="6">
                  <c:v>0.5145384851408461</c:v>
                </c:pt>
                <c:pt idx="7">
                  <c:v>0.48476196133952232</c:v>
                </c:pt>
                <c:pt idx="8">
                  <c:v>0.42227967096186297</c:v>
                </c:pt>
                <c:pt idx="9">
                  <c:v>0.33060789205220786</c:v>
                </c:pt>
                <c:pt idx="10">
                  <c:v>0.20585159235609671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E3-4A24-BF3F-404EDF752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07712"/>
        <c:axId val="211104128"/>
      </c:scatterChart>
      <c:valAx>
        <c:axId val="21390771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1888454246120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04128"/>
        <c:crosses val="autoZero"/>
        <c:crossBetween val="midCat"/>
        <c:majorUnit val="2"/>
      </c:valAx>
      <c:valAx>
        <c:axId val="2111041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71704510068748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0771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23"/>
          <c:y val="0.49811412535769073"/>
          <c:w val="0.2031562098515507"/>
          <c:h val="0.279245797549007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142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984962406015213E-2"/>
          <c:w val="0.83826591443600995"/>
          <c:h val="0.733082706766916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Details'!$BR$89:$BR$101</c:f>
              <c:numCache>
                <c:formatCode>0.000</c:formatCode>
                <c:ptCount val="13"/>
                <c:pt idx="0">
                  <c:v>0.26160857773019275</c:v>
                </c:pt>
                <c:pt idx="1">
                  <c:v>0.48369065524625265</c:v>
                </c:pt>
                <c:pt idx="2">
                  <c:v>0.60354706423982873</c:v>
                </c:pt>
                <c:pt idx="3">
                  <c:v>0.673826852248394</c:v>
                </c:pt>
                <c:pt idx="4">
                  <c:v>0.66494046408993579</c:v>
                </c:pt>
                <c:pt idx="5">
                  <c:v>0.6572770877944325</c:v>
                </c:pt>
                <c:pt idx="6">
                  <c:v>0.64029013822269809</c:v>
                </c:pt>
                <c:pt idx="7">
                  <c:v>0.61856921841541757</c:v>
                </c:pt>
                <c:pt idx="8">
                  <c:v>0.58371996573875795</c:v>
                </c:pt>
                <c:pt idx="9">
                  <c:v>0.53069940042826558</c:v>
                </c:pt>
                <c:pt idx="10">
                  <c:v>0.46215623126338329</c:v>
                </c:pt>
                <c:pt idx="11">
                  <c:v>0.37852980728051394</c:v>
                </c:pt>
                <c:pt idx="12">
                  <c:v>0.22592223768736616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5B-4BCF-B722-6916DF26FCC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Details'!$BT$89:$BT$101</c:f>
              <c:numCache>
                <c:formatCode>0.000</c:formatCode>
                <c:ptCount val="13"/>
                <c:pt idx="0">
                  <c:v>0.21505769951652476</c:v>
                </c:pt>
                <c:pt idx="1">
                  <c:v>0.77091893227989294</c:v>
                </c:pt>
                <c:pt idx="2">
                  <c:v>0.85064808317725982</c:v>
                </c:pt>
                <c:pt idx="3">
                  <c:v>0.87708785033829484</c:v>
                </c:pt>
                <c:pt idx="4">
                  <c:v>0.88098180879534305</c:v>
                </c:pt>
                <c:pt idx="5">
                  <c:v>0.884972286976206</c:v>
                </c:pt>
                <c:pt idx="6">
                  <c:v>0.88526371875678023</c:v>
                </c:pt>
                <c:pt idx="7">
                  <c:v>0.88024743717480214</c:v>
                </c:pt>
                <c:pt idx="8">
                  <c:v>0.86978397341697256</c:v>
                </c:pt>
                <c:pt idx="9">
                  <c:v>0.84818559746302347</c:v>
                </c:pt>
                <c:pt idx="10">
                  <c:v>0.81599301779775546</c:v>
                </c:pt>
                <c:pt idx="11">
                  <c:v>0.74959399380456704</c:v>
                </c:pt>
                <c:pt idx="12">
                  <c:v>0.40989111841922488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5B-4BCF-B722-6916DF26FCC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Details'!$BU$89:$BU$101</c:f>
              <c:numCache>
                <c:formatCode>0.000</c:formatCode>
                <c:ptCount val="13"/>
                <c:pt idx="0">
                  <c:v>5.6260938900445201E-2</c:v>
                </c:pt>
                <c:pt idx="1">
                  <c:v>0.3728862834962029</c:v>
                </c:pt>
                <c:pt idx="2">
                  <c:v>0.51340615330287276</c:v>
                </c:pt>
                <c:pt idx="3">
                  <c:v>0.5910053453387637</c:v>
                </c:pt>
                <c:pt idx="4">
                  <c:v>0.58580045279516646</c:v>
                </c:pt>
                <c:pt idx="5">
                  <c:v>0.58167200756249948</c:v>
                </c:pt>
                <c:pt idx="6">
                  <c:v>0.56682562884631849</c:v>
                </c:pt>
                <c:pt idx="7">
                  <c:v>0.54449396922539173</c:v>
                </c:pt>
                <c:pt idx="8">
                  <c:v>0.50771027116307599</c:v>
                </c:pt>
                <c:pt idx="9">
                  <c:v>0.45013158802551678</c:v>
                </c:pt>
                <c:pt idx="10">
                  <c:v>0.37711625784264552</c:v>
                </c:pt>
                <c:pt idx="11">
                  <c:v>0.2837436700134735</c:v>
                </c:pt>
                <c:pt idx="12">
                  <c:v>9.2603518681448477E-2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5B-4BCF-B722-6916DF26F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1760"/>
        <c:axId val="211144064"/>
      </c:scatterChart>
      <c:valAx>
        <c:axId val="21114176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44064"/>
        <c:crosses val="autoZero"/>
        <c:crossBetween val="midCat"/>
        <c:majorUnit val="2"/>
      </c:valAx>
      <c:valAx>
        <c:axId val="2111440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49624060150376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4176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375939849624052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173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984962406015213E-2"/>
          <c:w val="0.83826591443600995"/>
          <c:h val="0.733082706766916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Details'!$BR$104:$BR$116</c:f>
              <c:numCache>
                <c:formatCode>0.000</c:formatCode>
                <c:ptCount val="13"/>
                <c:pt idx="0">
                  <c:v>0.29972894004282657</c:v>
                </c:pt>
                <c:pt idx="1">
                  <c:v>0.51598821199143463</c:v>
                </c:pt>
                <c:pt idx="2">
                  <c:v>0.6174021604925054</c:v>
                </c:pt>
                <c:pt idx="3">
                  <c:v>0.66968042826552465</c:v>
                </c:pt>
                <c:pt idx="4">
                  <c:v>0.65390513918629545</c:v>
                </c:pt>
                <c:pt idx="5">
                  <c:v>0.66105230620985012</c:v>
                </c:pt>
                <c:pt idx="6">
                  <c:v>0.63990011777301925</c:v>
                </c:pt>
                <c:pt idx="7">
                  <c:v>0.61375055353319063</c:v>
                </c:pt>
                <c:pt idx="8">
                  <c:v>0.58620650438972166</c:v>
                </c:pt>
                <c:pt idx="9">
                  <c:v>0.53319541992505348</c:v>
                </c:pt>
                <c:pt idx="10">
                  <c:v>0.46882619914346896</c:v>
                </c:pt>
                <c:pt idx="11">
                  <c:v>0.39297514989293364</c:v>
                </c:pt>
                <c:pt idx="12">
                  <c:v>0.25556020728051393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A-4761-9E55-0BC4668E719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Details'!$BT$104:$BT$116</c:f>
              <c:numCache>
                <c:formatCode>0.000</c:formatCode>
                <c:ptCount val="13"/>
                <c:pt idx="0">
                  <c:v>0.50256616417660882</c:v>
                </c:pt>
                <c:pt idx="1">
                  <c:v>0.8161384417622447</c:v>
                </c:pt>
                <c:pt idx="2">
                  <c:v>0.86838164910139859</c:v>
                </c:pt>
                <c:pt idx="3">
                  <c:v>0.88796444474350245</c:v>
                </c:pt>
                <c:pt idx="4">
                  <c:v>0.88872345206781656</c:v>
                </c:pt>
                <c:pt idx="5">
                  <c:v>0.89204078740122583</c:v>
                </c:pt>
                <c:pt idx="6">
                  <c:v>0.88919885341447136</c:v>
                </c:pt>
                <c:pt idx="7">
                  <c:v>0.8798700214343711</c:v>
                </c:pt>
                <c:pt idx="8">
                  <c:v>0.87657510440566111</c:v>
                </c:pt>
                <c:pt idx="9">
                  <c:v>0.85284798898090064</c:v>
                </c:pt>
                <c:pt idx="10">
                  <c:v>0.82612938017085169</c:v>
                </c:pt>
                <c:pt idx="11">
                  <c:v>0.76866873598263941</c:v>
                </c:pt>
                <c:pt idx="12">
                  <c:v>0.54846995618970595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A-4761-9E55-0BC4668E719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Details'!$BU$104:$BU$116</c:f>
              <c:numCache>
                <c:formatCode>0.000</c:formatCode>
                <c:ptCount val="13"/>
                <c:pt idx="0">
                  <c:v>0.15063362369004413</c:v>
                </c:pt>
                <c:pt idx="1">
                  <c:v>0.42111781530237624</c:v>
                </c:pt>
                <c:pt idx="2">
                  <c:v>0.53614070628724819</c:v>
                </c:pt>
                <c:pt idx="3">
                  <c:v>0.59465240964038757</c:v>
                </c:pt>
                <c:pt idx="4">
                  <c:v>0.58114083262253058</c:v>
                </c:pt>
                <c:pt idx="5">
                  <c:v>0.58968561974483091</c:v>
                </c:pt>
                <c:pt idx="6">
                  <c:v>0.56899845102355395</c:v>
                </c:pt>
                <c:pt idx="7">
                  <c:v>0.54002071269260554</c:v>
                </c:pt>
                <c:pt idx="8">
                  <c:v>0.51385402778869793</c:v>
                </c:pt>
                <c:pt idx="9">
                  <c:v>0.45473464161690869</c:v>
                </c:pt>
                <c:pt idx="10">
                  <c:v>0.3873110973062503</c:v>
                </c:pt>
                <c:pt idx="11">
                  <c:v>0.30206771174078956</c:v>
                </c:pt>
                <c:pt idx="12">
                  <c:v>0.14016709569097566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EA-4761-9E55-0BC4668E7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75104"/>
        <c:axId val="213777408"/>
      </c:scatterChart>
      <c:valAx>
        <c:axId val="2137751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77408"/>
        <c:crosses val="autoZero"/>
        <c:crossBetween val="midCat"/>
        <c:majorUnit val="2"/>
      </c:valAx>
      <c:valAx>
        <c:axId val="2137774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49624060150376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751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751879699248126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203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984962406015213E-2"/>
          <c:w val="0.83826591443600995"/>
          <c:h val="0.733082706766916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Details'!$BR$119:$BR$131</c:f>
              <c:numCache>
                <c:formatCode>0.000</c:formatCode>
                <c:ptCount val="13"/>
                <c:pt idx="0">
                  <c:v>0.26160857773019275</c:v>
                </c:pt>
                <c:pt idx="1">
                  <c:v>0.48369065524625265</c:v>
                </c:pt>
                <c:pt idx="2">
                  <c:v>0.60354706423982873</c:v>
                </c:pt>
                <c:pt idx="3">
                  <c:v>0.673826852248394</c:v>
                </c:pt>
                <c:pt idx="4">
                  <c:v>0.66494046408993579</c:v>
                </c:pt>
                <c:pt idx="5">
                  <c:v>0.6572770877944325</c:v>
                </c:pt>
                <c:pt idx="6">
                  <c:v>0.64029013822269809</c:v>
                </c:pt>
                <c:pt idx="7">
                  <c:v>0.61856921841541757</c:v>
                </c:pt>
                <c:pt idx="8">
                  <c:v>0.58371996573875795</c:v>
                </c:pt>
                <c:pt idx="9">
                  <c:v>0.53069940042826558</c:v>
                </c:pt>
                <c:pt idx="10">
                  <c:v>0.46215623126338329</c:v>
                </c:pt>
                <c:pt idx="11">
                  <c:v>0.37852980728051394</c:v>
                </c:pt>
                <c:pt idx="12">
                  <c:v>0.22592223768736616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C2-4162-A37F-35A00E395DFC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Details'!$BT$119:$BT$131</c:f>
              <c:numCache>
                <c:formatCode>0.000</c:formatCode>
                <c:ptCount val="13"/>
                <c:pt idx="0">
                  <c:v>0.21633555218716205</c:v>
                </c:pt>
                <c:pt idx="1">
                  <c:v>0.76804810580908811</c:v>
                </c:pt>
                <c:pt idx="2">
                  <c:v>0.84866211648675871</c:v>
                </c:pt>
                <c:pt idx="3">
                  <c:v>0.87642141020567899</c:v>
                </c:pt>
                <c:pt idx="4">
                  <c:v>0.88288555032098137</c:v>
                </c:pt>
                <c:pt idx="5">
                  <c:v>0.88387541274801029</c:v>
                </c:pt>
                <c:pt idx="6">
                  <c:v>0.88201031836478516</c:v>
                </c:pt>
                <c:pt idx="7">
                  <c:v>0.88005930228171048</c:v>
                </c:pt>
                <c:pt idx="8">
                  <c:v>0.86980492868356141</c:v>
                </c:pt>
                <c:pt idx="9">
                  <c:v>0.85592226343323408</c:v>
                </c:pt>
                <c:pt idx="10">
                  <c:v>0.82403361909512407</c:v>
                </c:pt>
                <c:pt idx="11">
                  <c:v>0.75566288202757625</c:v>
                </c:pt>
                <c:pt idx="12">
                  <c:v>0.48037705903188099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C2-4162-A37F-35A00E395DFC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Details'!$BU$119:$BU$131</c:f>
              <c:numCache>
                <c:formatCode>0.000</c:formatCode>
                <c:ptCount val="13"/>
                <c:pt idx="0">
                  <c:v>5.6595236120159355E-2</c:v>
                </c:pt>
                <c:pt idx="1">
                  <c:v>0.37149769155944101</c:v>
                </c:pt>
                <c:pt idx="2">
                  <c:v>0.51220752893714283</c:v>
                </c:pt>
                <c:pt idx="3">
                  <c:v>0.59055628008199113</c:v>
                </c:pt>
                <c:pt idx="4">
                  <c:v>0.58706632756873167</c:v>
                </c:pt>
                <c:pt idx="5">
                  <c:v>0.58095105726411422</c:v>
                </c:pt>
                <c:pt idx="6">
                  <c:v>0.56474250865963427</c:v>
                </c:pt>
                <c:pt idx="7">
                  <c:v>0.5443775947716154</c:v>
                </c:pt>
                <c:pt idx="8">
                  <c:v>0.50772250317057122</c:v>
                </c:pt>
                <c:pt idx="9">
                  <c:v>0.45423743201722133</c:v>
                </c:pt>
                <c:pt idx="10">
                  <c:v>0.38083227183532886</c:v>
                </c:pt>
                <c:pt idx="11">
                  <c:v>0.28604092510293616</c:v>
                </c:pt>
                <c:pt idx="12">
                  <c:v>0.10852786011015854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C2-4162-A37F-35A00E395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30368"/>
        <c:axId val="213932672"/>
      </c:scatterChart>
      <c:valAx>
        <c:axId val="21393036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32672"/>
        <c:crosses val="autoZero"/>
        <c:crossBetween val="midCat"/>
        <c:majorUnit val="2"/>
      </c:valAx>
      <c:valAx>
        <c:axId val="2139326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49624060150376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3036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375939849624052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234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984962406015213E-2"/>
          <c:w val="0.83826591443600995"/>
          <c:h val="0.733082706766916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Details'!$BR$134:$BR$144</c:f>
              <c:numCache>
                <c:formatCode>0.000</c:formatCode>
                <c:ptCount val="11"/>
                <c:pt idx="0">
                  <c:v>0.39040214132762308</c:v>
                </c:pt>
                <c:pt idx="1">
                  <c:v>0.55435471092077093</c:v>
                </c:pt>
                <c:pt idx="2">
                  <c:v>0.65489732119914346</c:v>
                </c:pt>
                <c:pt idx="3">
                  <c:v>0.65386370128479665</c:v>
                </c:pt>
                <c:pt idx="4">
                  <c:v>0.63411634892933622</c:v>
                </c:pt>
                <c:pt idx="5">
                  <c:v>0.62215771092077088</c:v>
                </c:pt>
                <c:pt idx="6">
                  <c:v>0.58655462419700211</c:v>
                </c:pt>
                <c:pt idx="7">
                  <c:v>0.55784626445396146</c:v>
                </c:pt>
                <c:pt idx="8">
                  <c:v>0.49712338329764455</c:v>
                </c:pt>
                <c:pt idx="9">
                  <c:v>0.41503303747323345</c:v>
                </c:pt>
                <c:pt idx="10">
                  <c:v>0.2991055674518201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0C-46DC-B299-D39840BECC7D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Details'!$BT$134:$BT$144</c:f>
              <c:numCache>
                <c:formatCode>0.000</c:formatCode>
                <c:ptCount val="11"/>
                <c:pt idx="0">
                  <c:v>0.69070682695666652</c:v>
                </c:pt>
                <c:pt idx="1">
                  <c:v>0.83577267492905394</c:v>
                </c:pt>
                <c:pt idx="2">
                  <c:v>0.87526332659629635</c:v>
                </c:pt>
                <c:pt idx="3">
                  <c:v>0.88485570036192351</c:v>
                </c:pt>
                <c:pt idx="4">
                  <c:v>0.88090443231892945</c:v>
                </c:pt>
                <c:pt idx="5">
                  <c:v>0.88184167639267808</c:v>
                </c:pt>
                <c:pt idx="6">
                  <c:v>0.87001576664342717</c:v>
                </c:pt>
                <c:pt idx="7">
                  <c:v>0.86082672585528786</c:v>
                </c:pt>
                <c:pt idx="8">
                  <c:v>0.8350975451364222</c:v>
                </c:pt>
                <c:pt idx="9">
                  <c:v>0.77869163376226902</c:v>
                </c:pt>
                <c:pt idx="10">
                  <c:v>0.64228420776214601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0C-46DC-B299-D39840BECC7D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Details'!$BU$134:$BU$144</c:f>
              <c:numCache>
                <c:formatCode>0.000</c:formatCode>
                <c:ptCount val="11"/>
                <c:pt idx="0">
                  <c:v>0.26965342427349059</c:v>
                </c:pt>
                <c:pt idx="1">
                  <c:v>0.46331451960577513</c:v>
                </c:pt>
                <c:pt idx="2">
                  <c:v>0.57320760793176551</c:v>
                </c:pt>
                <c:pt idx="3">
                  <c:v>0.57857502334159827</c:v>
                </c:pt>
                <c:pt idx="4">
                  <c:v>0.55859590237774914</c:v>
                </c:pt>
                <c:pt idx="5">
                  <c:v>0.54864459877900373</c:v>
                </c:pt>
                <c:pt idx="6">
                  <c:v>0.51031177104900205</c:v>
                </c:pt>
                <c:pt idx="7">
                  <c:v>0.48020897336050672</c:v>
                </c:pt>
                <c:pt idx="8">
                  <c:v>0.41514651702177563</c:v>
                </c:pt>
                <c:pt idx="9">
                  <c:v>0.32318275401534918</c:v>
                </c:pt>
                <c:pt idx="10">
                  <c:v>0.19211078242803939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0C-46DC-B299-D39840BE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65152"/>
        <c:axId val="214067456"/>
      </c:scatterChart>
      <c:valAx>
        <c:axId val="21406515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67456"/>
        <c:crosses val="autoZero"/>
        <c:crossBetween val="midCat"/>
        <c:majorUnit val="2"/>
      </c:valAx>
      <c:valAx>
        <c:axId val="21406745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49624060150376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6515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751879699248126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984962406015213E-2"/>
          <c:w val="0.83826591443600995"/>
          <c:h val="0.733082706766916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Details'!$BR$148:$BR$158</c:f>
              <c:numCache>
                <c:formatCode>0.000</c:formatCode>
                <c:ptCount val="11"/>
                <c:pt idx="0">
                  <c:v>0.31235364025695933</c:v>
                </c:pt>
                <c:pt idx="1">
                  <c:v>0.51990244111349038</c:v>
                </c:pt>
                <c:pt idx="2">
                  <c:v>0.62538384368308353</c:v>
                </c:pt>
                <c:pt idx="3">
                  <c:v>0.63082014089935756</c:v>
                </c:pt>
                <c:pt idx="4">
                  <c:v>0.6212411569593147</c:v>
                </c:pt>
                <c:pt idx="5">
                  <c:v>0.59303010706638115</c:v>
                </c:pt>
                <c:pt idx="6">
                  <c:v>0.56558370021413273</c:v>
                </c:pt>
                <c:pt idx="7">
                  <c:v>0.51970418415417552</c:v>
                </c:pt>
                <c:pt idx="8">
                  <c:v>0.45778447537473232</c:v>
                </c:pt>
                <c:pt idx="9">
                  <c:v>0.35730457173447538</c:v>
                </c:pt>
                <c:pt idx="10">
                  <c:v>0.19749879014989291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B3-438B-934E-A63DEAEED3B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Details'!$BT$148:$BT$158</c:f>
              <c:numCache>
                <c:formatCode>0.000</c:formatCode>
                <c:ptCount val="11"/>
                <c:pt idx="0">
                  <c:v>0.59002035252753271</c:v>
                </c:pt>
                <c:pt idx="1">
                  <c:v>0.82594680827383293</c:v>
                </c:pt>
                <c:pt idx="2">
                  <c:v>0.87369182792723243</c:v>
                </c:pt>
                <c:pt idx="3">
                  <c:v>0.88506551015238744</c:v>
                </c:pt>
                <c:pt idx="4">
                  <c:v>0.88293837289519816</c:v>
                </c:pt>
                <c:pt idx="5">
                  <c:v>0.87845986622270433</c:v>
                </c:pt>
                <c:pt idx="6">
                  <c:v>0.8670369093153627</c:v>
                </c:pt>
                <c:pt idx="7">
                  <c:v>0.84798852272808967</c:v>
                </c:pt>
                <c:pt idx="8">
                  <c:v>0.81566314523581407</c:v>
                </c:pt>
                <c:pt idx="9">
                  <c:v>0.70934156130178383</c:v>
                </c:pt>
                <c:pt idx="10">
                  <c:v>0.38954686281393125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B3-438B-934E-A63DEAEED3B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Details'!$BU$148:$BU$158</c:f>
              <c:numCache>
                <c:formatCode>0.000</c:formatCode>
                <c:ptCount val="11"/>
                <c:pt idx="0">
                  <c:v>0.18429500493766929</c:v>
                </c:pt>
                <c:pt idx="1">
                  <c:v>0.42941176185146174</c:v>
                </c:pt>
                <c:pt idx="2">
                  <c:v>0.54639275354363182</c:v>
                </c:pt>
                <c:pt idx="3">
                  <c:v>0.55831714981949088</c:v>
                </c:pt>
                <c:pt idx="4">
                  <c:v>0.54851765630118776</c:v>
                </c:pt>
                <c:pt idx="5">
                  <c:v>0.5209531485195692</c:v>
                </c:pt>
                <c:pt idx="6">
                  <c:v>0.49038194339280827</c:v>
                </c:pt>
                <c:pt idx="7">
                  <c:v>0.44070318337650638</c:v>
                </c:pt>
                <c:pt idx="8">
                  <c:v>0.37339792502428126</c:v>
                </c:pt>
                <c:pt idx="9">
                  <c:v>0.25345098277439798</c:v>
                </c:pt>
                <c:pt idx="10">
                  <c:v>7.6935034112437725E-2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B3-438B-934E-A63DEAEED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3184"/>
        <c:axId val="214140800"/>
      </c:scatterChart>
      <c:valAx>
        <c:axId val="21409318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40800"/>
        <c:crosses val="autoZero"/>
        <c:crossBetween val="midCat"/>
        <c:majorUnit val="2"/>
      </c:valAx>
      <c:valAx>
        <c:axId val="2141408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49624060150376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9318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751879699248126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295 West Field</a:t>
            </a:r>
          </a:p>
        </c:rich>
      </c:tx>
      <c:layout>
        <c:manualLayout>
          <c:xMode val="edge"/>
          <c:yMode val="edge"/>
          <c:x val="0.3925056869947447"/>
          <c:y val="1.87266602537609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24"/>
          <c:y val="9.3633301268804564E-2"/>
          <c:w val="0.83826591443600995"/>
          <c:h val="0.7340850819474263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Details'!$BR$162:$BR$170</c:f>
              <c:numCache>
                <c:formatCode>0.000</c:formatCode>
                <c:ptCount val="9"/>
                <c:pt idx="0">
                  <c:v>0.45952404496788007</c:v>
                </c:pt>
                <c:pt idx="1">
                  <c:v>0.56303339668094221</c:v>
                </c:pt>
                <c:pt idx="2">
                  <c:v>0.59431177730192719</c:v>
                </c:pt>
                <c:pt idx="3">
                  <c:v>0.59156871520342613</c:v>
                </c:pt>
                <c:pt idx="4">
                  <c:v>0.56908120985010702</c:v>
                </c:pt>
                <c:pt idx="5">
                  <c:v>0.51925600642398284</c:v>
                </c:pt>
                <c:pt idx="6">
                  <c:v>0.471438800856531</c:v>
                </c:pt>
                <c:pt idx="7">
                  <c:v>0.41103667344753742</c:v>
                </c:pt>
                <c:pt idx="8">
                  <c:v>0.3073558244111349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F6-44B3-AE07-3407687B863E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Details'!$BT$162:$BT$170</c:f>
              <c:numCache>
                <c:formatCode>0.000</c:formatCode>
                <c:ptCount val="9"/>
                <c:pt idx="0">
                  <c:v>0.77162446058400791</c:v>
                </c:pt>
                <c:pt idx="1">
                  <c:v>0.8461913441071216</c:v>
                </c:pt>
                <c:pt idx="2">
                  <c:v>0.86564422887527714</c:v>
                </c:pt>
                <c:pt idx="3">
                  <c:v>0.87231314998941389</c:v>
                </c:pt>
                <c:pt idx="4">
                  <c:v>0.86210646299290672</c:v>
                </c:pt>
                <c:pt idx="5">
                  <c:v>0.84413523402777813</c:v>
                </c:pt>
                <c:pt idx="6">
                  <c:v>0.82918971118712959</c:v>
                </c:pt>
                <c:pt idx="7">
                  <c:v>0.78793411557177795</c:v>
                </c:pt>
                <c:pt idx="8">
                  <c:v>0.66760691997448962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F6-44B3-AE07-3407687B863E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Details'!$BU$162:$BU$170</c:f>
              <c:numCache>
                <c:formatCode>0.000</c:formatCode>
                <c:ptCount val="9"/>
                <c:pt idx="0">
                  <c:v>0.35457999332372186</c:v>
                </c:pt>
                <c:pt idx="1">
                  <c:v>0.47643398671464465</c:v>
                </c:pt>
                <c:pt idx="2">
                  <c:v>0.51446256017402225</c:v>
                </c:pt>
                <c:pt idx="3">
                  <c:v>0.51603316939429111</c:v>
                </c:pt>
                <c:pt idx="4">
                  <c:v>0.49060858897959986</c:v>
                </c:pt>
                <c:pt idx="5">
                  <c:v>0.43832229050303823</c:v>
                </c:pt>
                <c:pt idx="6">
                  <c:v>0.39091220312463365</c:v>
                </c:pt>
                <c:pt idx="7">
                  <c:v>0.3238698177604511</c:v>
                </c:pt>
                <c:pt idx="8">
                  <c:v>0.20519287527133781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F6-44B3-AE07-3407687B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4240"/>
        <c:axId val="214164992"/>
      </c:scatterChart>
      <c:valAx>
        <c:axId val="21415424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88"/>
              <c:y val="0.902625024231275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64992"/>
        <c:crosses val="autoZero"/>
        <c:crossBetween val="midCat"/>
        <c:majorUnit val="2"/>
      </c:valAx>
      <c:valAx>
        <c:axId val="21416499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33E-2"/>
              <c:y val="0.3520612127707044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5424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879"/>
          <c:y val="0.5093651589022945"/>
          <c:w val="0.2031562098515507"/>
          <c:h val="0.277154571755661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326 West Field</a:t>
            </a:r>
          </a:p>
        </c:rich>
      </c:tx>
      <c:layout>
        <c:manualLayout>
          <c:xMode val="edge"/>
          <c:yMode val="edge"/>
          <c:x val="0.3925056869947447"/>
          <c:y val="1.87266602537609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2"/>
          <c:y val="9.3633301268804564E-2"/>
          <c:w val="0.82840396250146853"/>
          <c:h val="0.7265944178459220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Details'!$BR$175:$BR$183</c:f>
              <c:numCache>
                <c:formatCode>0.000</c:formatCode>
                <c:ptCount val="9"/>
                <c:pt idx="0">
                  <c:v>0.34746124197002143</c:v>
                </c:pt>
                <c:pt idx="1">
                  <c:v>0.49753485438972167</c:v>
                </c:pt>
                <c:pt idx="2">
                  <c:v>0.52321386820128479</c:v>
                </c:pt>
                <c:pt idx="3">
                  <c:v>0.54571203426124193</c:v>
                </c:pt>
                <c:pt idx="4">
                  <c:v>0.53547348072805145</c:v>
                </c:pt>
                <c:pt idx="5">
                  <c:v>0.48534974946466808</c:v>
                </c:pt>
                <c:pt idx="6">
                  <c:v>0.42795029764453962</c:v>
                </c:pt>
                <c:pt idx="7">
                  <c:v>0.34356234475374736</c:v>
                </c:pt>
                <c:pt idx="8">
                  <c:v>0.24388382426124197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F-4A8C-929A-E00E9DDE953B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Details'!$BT$175:$BT$183</c:f>
              <c:numCache>
                <c:formatCode>0.000</c:formatCode>
                <c:ptCount val="9"/>
                <c:pt idx="0">
                  <c:v>0.73956612038520231</c:v>
                </c:pt>
                <c:pt idx="1">
                  <c:v>0.8412350623428333</c:v>
                </c:pt>
                <c:pt idx="2">
                  <c:v>0.86142761978171767</c:v>
                </c:pt>
                <c:pt idx="3">
                  <c:v>0.86673649087365934</c:v>
                </c:pt>
                <c:pt idx="4">
                  <c:v>0.86539583912014983</c:v>
                </c:pt>
                <c:pt idx="5">
                  <c:v>0.84505656610666724</c:v>
                </c:pt>
                <c:pt idx="6">
                  <c:v>0.81539678506477331</c:v>
                </c:pt>
                <c:pt idx="7">
                  <c:v>0.75437776683316038</c:v>
                </c:pt>
                <c:pt idx="8">
                  <c:v>0.57416778552384784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1F-4A8C-929A-E00E9DDE953B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Details'!$BU$175:$BU$183</c:f>
              <c:numCache>
                <c:formatCode>0.000</c:formatCode>
                <c:ptCount val="9"/>
                <c:pt idx="0">
                  <c:v>0.25697056270799279</c:v>
                </c:pt>
                <c:pt idx="1">
                  <c:v>0.41854376425027001</c:v>
                </c:pt>
                <c:pt idx="2">
                  <c:v>0.45071087712141811</c:v>
                </c:pt>
                <c:pt idx="3">
                  <c:v>0.47298853360311499</c:v>
                </c:pt>
                <c:pt idx="4">
                  <c:v>0.46339652218123945</c:v>
                </c:pt>
                <c:pt idx="5">
                  <c:v>0.41014799264334367</c:v>
                </c:pt>
                <c:pt idx="6">
                  <c:v>0.34894929686687043</c:v>
                </c:pt>
                <c:pt idx="7">
                  <c:v>0.2591757944032963</c:v>
                </c:pt>
                <c:pt idx="8">
                  <c:v>0.14003023530116457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1F-4A8C-929A-E00E9DDE9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9872"/>
        <c:axId val="214242432"/>
      </c:scatterChart>
      <c:valAx>
        <c:axId val="21423987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625024231275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42432"/>
        <c:crosses val="autoZero"/>
        <c:crossBetween val="midCat"/>
        <c:majorUnit val="2"/>
      </c:valAx>
      <c:valAx>
        <c:axId val="2142424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83158807199532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3987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23"/>
          <c:y val="0.49812916275003932"/>
          <c:w val="0.2031562098515507"/>
          <c:h val="0.277154571755661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356 West Field</a:t>
            </a:r>
          </a:p>
        </c:rich>
      </c:tx>
      <c:layout>
        <c:manualLayout>
          <c:xMode val="edge"/>
          <c:yMode val="edge"/>
          <c:x val="0.392505686994744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2"/>
          <c:y val="9.3984962406015213E-2"/>
          <c:w val="0.82840396250146853"/>
          <c:h val="0.7255639097744350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Details'!$BR$188:$BR$196</c:f>
              <c:numCache>
                <c:formatCode>0.000</c:formatCode>
                <c:ptCount val="9"/>
                <c:pt idx="0">
                  <c:v>0.28878692291220559</c:v>
                </c:pt>
                <c:pt idx="1">
                  <c:v>0.46311591241970024</c:v>
                </c:pt>
                <c:pt idx="2">
                  <c:v>0.49118511777301932</c:v>
                </c:pt>
                <c:pt idx="3">
                  <c:v>0.51680462526766602</c:v>
                </c:pt>
                <c:pt idx="4">
                  <c:v>0.51887105995717342</c:v>
                </c:pt>
                <c:pt idx="5">
                  <c:v>0.46406153394004279</c:v>
                </c:pt>
                <c:pt idx="6">
                  <c:v>0.3957484154175589</c:v>
                </c:pt>
                <c:pt idx="7">
                  <c:v>0.30916255888650962</c:v>
                </c:pt>
                <c:pt idx="8">
                  <c:v>0.21122095074946468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FD-4FA3-B5B3-219C6BD358A9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Details'!$BT$188:$BT$196</c:f>
              <c:numCache>
                <c:formatCode>0.000</c:formatCode>
                <c:ptCount val="9"/>
                <c:pt idx="0">
                  <c:v>0.39332865598180344</c:v>
                </c:pt>
                <c:pt idx="1">
                  <c:v>0.76111993054772709</c:v>
                </c:pt>
                <c:pt idx="2">
                  <c:v>0.80914212588632384</c:v>
                </c:pt>
                <c:pt idx="3">
                  <c:v>0.82911924429428963</c:v>
                </c:pt>
                <c:pt idx="4">
                  <c:v>0.82793352132478371</c:v>
                </c:pt>
                <c:pt idx="5">
                  <c:v>0.80731962375444377</c:v>
                </c:pt>
                <c:pt idx="6">
                  <c:v>0.76708062948876776</c:v>
                </c:pt>
                <c:pt idx="7">
                  <c:v>0.65305596739227023</c:v>
                </c:pt>
                <c:pt idx="8">
                  <c:v>0.2950332526694649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FD-4FA3-B5B3-219C6BD358A9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Details'!$BU$188:$BU$196</c:f>
              <c:numCache>
                <c:formatCode>0.000</c:formatCode>
                <c:ptCount val="9"/>
                <c:pt idx="0">
                  <c:v>0.1135881722541785</c:v>
                </c:pt>
                <c:pt idx="1">
                  <c:v>0.35248675109642952</c:v>
                </c:pt>
                <c:pt idx="2">
                  <c:v>0.39743857039858521</c:v>
                </c:pt>
                <c:pt idx="3">
                  <c:v>0.42849266034972078</c:v>
                </c:pt>
                <c:pt idx="4">
                  <c:v>0.42959074378386558</c:v>
                </c:pt>
                <c:pt idx="5">
                  <c:v>0.37464598297938539</c:v>
                </c:pt>
                <c:pt idx="6">
                  <c:v>0.30357094361768344</c:v>
                </c:pt>
                <c:pt idx="7">
                  <c:v>0.20190045397509926</c:v>
                </c:pt>
                <c:pt idx="8">
                  <c:v>6.231720413155141E-2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FD-4FA3-B5B3-219C6BD3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80832"/>
        <c:axId val="214295680"/>
      </c:scatterChart>
      <c:valAx>
        <c:axId val="2142808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95680"/>
        <c:crosses val="autoZero"/>
        <c:crossBetween val="midCat"/>
        <c:majorUnit val="2"/>
      </c:valAx>
      <c:valAx>
        <c:axId val="2142956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0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808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23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60526315789547E-2"/>
          <c:y val="0.12956810631229262"/>
          <c:w val="0.85197368421052722"/>
          <c:h val="0.76079734219269202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Calcs'!$B$41:$B$46</c:f>
              <c:numCache>
                <c:formatCode>0.0</c:formatCode>
                <c:ptCount val="6"/>
              </c:numCache>
            </c:numRef>
          </c:xVal>
          <c:yVal>
            <c:numRef>
              <c:f>'Design Point Calcs'!$P$41:$P$46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D-4930-BE08-2C32E91020AE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'Design Point Calcs'!$B$59:$B$64</c:f>
              <c:numCache>
                <c:formatCode>0.0</c:formatCode>
                <c:ptCount val="6"/>
              </c:numCache>
            </c:numRef>
          </c:xVal>
          <c:yVal>
            <c:numRef>
              <c:f>'Design Point Calcs'!$P$59:$P$64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7D-4930-BE08-2C32E91020AE}"/>
            </c:ext>
          </c:extLst>
        </c:ser>
        <c:ser>
          <c:idx val="4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'Design Point Calcs'!$B$74:$B$78</c:f>
              <c:numCache>
                <c:formatCode>0.0</c:formatCode>
                <c:ptCount val="5"/>
              </c:numCache>
            </c:numRef>
          </c:xVal>
          <c:yVal>
            <c:numRef>
              <c:f>'Design Point Calcs'!$R$74:$R$78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7D-4930-BE08-2C32E91020AE}"/>
            </c:ext>
          </c:extLst>
        </c:ser>
        <c:ser>
          <c:idx val="2"/>
          <c:order val="3"/>
          <c:tx>
            <c:v>P(100m)*(150/100)^2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Calcs'!$B$41:$B$46</c:f>
              <c:numCache>
                <c:formatCode>0.0</c:formatCode>
                <c:ptCount val="6"/>
              </c:numCache>
            </c:numRef>
          </c:xVal>
          <c:yVal>
            <c:numRef>
              <c:f>'Design Point Calcs'!$X$41:$X$46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7D-4930-BE08-2C32E91020AE}"/>
            </c:ext>
          </c:extLst>
        </c:ser>
        <c:ser>
          <c:idx val="3"/>
          <c:order val="4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'Design Point Calcs'!$B$59:$B$64</c:f>
              <c:numCache>
                <c:formatCode>0.0</c:formatCode>
                <c:ptCount val="6"/>
              </c:numCache>
            </c:numRef>
          </c:xVal>
          <c:yVal>
            <c:numRef>
              <c:f>'Design Point Calcs'!$P$59:$P$64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7D-4930-BE08-2C32E9102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30848"/>
        <c:axId val="214433152"/>
      </c:scatterChart>
      <c:valAx>
        <c:axId val="214430848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1282894736842207"/>
              <c:y val="0.933554817275747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433152"/>
        <c:crosses val="autoZero"/>
        <c:crossBetween val="midCat"/>
        <c:majorUnit val="10"/>
      </c:valAx>
      <c:valAx>
        <c:axId val="214433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CPC Exit Power, kW </a:t>
                </a:r>
              </a:p>
            </c:rich>
          </c:tx>
          <c:layout>
            <c:manualLayout>
              <c:xMode val="edge"/>
              <c:yMode val="edge"/>
              <c:x val="1.8092105263157937E-2"/>
              <c:y val="0.377076411960133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4308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7763157894736842"/>
          <c:y val="0.23421926910299057"/>
          <c:w val="0.39473684210526361"/>
          <c:h val="0.179401993355482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200m Tower, D82H10</a:t>
            </a:r>
          </a:p>
        </c:rich>
      </c:tx>
      <c:layout>
        <c:manualLayout>
          <c:xMode val="edge"/>
          <c:yMode val="edge"/>
          <c:x val="0.31740640782183965"/>
          <c:y val="1.1235967384971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39942689398706"/>
          <c:y val="9.4382126033758382E-2"/>
          <c:w val="0.8191133105079712"/>
          <c:h val="0.75955139522405568"/>
        </c:manualLayout>
      </c:layout>
      <c:scatterChart>
        <c:scatterStyle val="smoothMarker"/>
        <c:varyColors val="0"/>
        <c:ser>
          <c:idx val="3"/>
          <c:order val="0"/>
          <c:tx>
            <c:v>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1EFE-486C-A895-70110D5125ED}"/>
              </c:ext>
            </c:extLst>
          </c:dPt>
          <c:xVal>
            <c:numRef>
              <c:f>'Design Point Calcs'!$AJ$6:$AJ$9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'Design Point Calcs'!$AK$6:$AK$9</c:f>
              <c:numCache>
                <c:formatCode>General</c:formatCode>
                <c:ptCount val="4"/>
                <c:pt idx="0">
                  <c:v>12.29</c:v>
                </c:pt>
                <c:pt idx="1">
                  <c:v>16.509</c:v>
                </c:pt>
                <c:pt idx="2">
                  <c:v>25.266999999999999</c:v>
                </c:pt>
                <c:pt idx="3">
                  <c:v>46.868000000000002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FE-486C-A895-70110D5125ED}"/>
            </c:ext>
          </c:extLst>
        </c:ser>
        <c:ser>
          <c:idx val="2"/>
          <c:order val="1"/>
          <c:tx>
            <c:v>Acceptance 30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'Design Point Calcs'!$AE$6:$AE$9</c:f>
              <c:numCache>
                <c:formatCode>0.0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</c:numCache>
            </c:numRef>
          </c:xVal>
          <c:yVal>
            <c:numRef>
              <c:f>'Design Point Calcs'!$AF$6:$AF$9</c:f>
              <c:numCache>
                <c:formatCode>General</c:formatCode>
                <c:ptCount val="4"/>
                <c:pt idx="0" formatCode="0.0">
                  <c:v>30.710712000000001</c:v>
                </c:pt>
                <c:pt idx="1">
                  <c:v>38.665844</c:v>
                </c:pt>
                <c:pt idx="2">
                  <c:v>50.609430000000003</c:v>
                </c:pt>
                <c:pt idx="3">
                  <c:v>69.494450000000001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FE-486C-A895-70110D5125ED}"/>
            </c:ext>
          </c:extLst>
        </c:ser>
        <c:ser>
          <c:idx val="0"/>
          <c:order val="2"/>
          <c:tx>
            <c:v>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3-1EFE-486C-A895-70110D5125ED}"/>
              </c:ext>
            </c:extLst>
          </c:dPt>
          <c:xVal>
            <c:numRef>
              <c:f>'Design Point Calcs'!$AE$13:$AE$15</c:f>
              <c:numCache>
                <c:formatCode>0.0</c:formatCode>
                <c:ptCount val="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</c:numCache>
            </c:numRef>
          </c:xVal>
          <c:yVal>
            <c:numRef>
              <c:f>'Design Point Calcs'!$AF$13:$AF$15</c:f>
              <c:numCache>
                <c:formatCode>0.0</c:formatCode>
                <c:ptCount val="3"/>
                <c:pt idx="0">
                  <c:v>62.082439100000002</c:v>
                </c:pt>
                <c:pt idx="1">
                  <c:v>84.591580730000004</c:v>
                </c:pt>
                <c:pt idx="2">
                  <c:v>124.13033999999999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FE-486C-A895-70110D5125ED}"/>
            </c:ext>
          </c:extLst>
        </c:ser>
        <c:ser>
          <c:idx val="1"/>
          <c:order val="3"/>
          <c:tx>
            <c:v>Acceptance 40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Calcs'!$AE$21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'Design Point Calcs'!$AF$21</c:f>
              <c:numCache>
                <c:formatCode>0.0</c:formatCode>
                <c:ptCount val="1"/>
                <c:pt idx="0">
                  <c:v>142.88454999999999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EFE-486C-A895-70110D512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41824"/>
        <c:axId val="214704128"/>
      </c:scatterChart>
      <c:valAx>
        <c:axId val="214541824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0443719706331083"/>
              <c:y val="0.919102132090647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704128"/>
        <c:crosses val="autoZero"/>
        <c:crossBetween val="midCat"/>
        <c:majorUnit val="5"/>
      </c:valAx>
      <c:valAx>
        <c:axId val="214704128"/>
        <c:scaling>
          <c:orientation val="minMax"/>
          <c:max val="16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CPC Exit Power, MW</a:t>
                </a:r>
              </a:p>
            </c:rich>
          </c:tx>
          <c:layout>
            <c:manualLayout>
              <c:xMode val="edge"/>
              <c:yMode val="edge"/>
              <c:x val="8.5324303177913962E-3"/>
              <c:y val="0.2561800563773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41824"/>
        <c:crosses val="autoZero"/>
        <c:crossBetween val="midCat"/>
        <c:majorUnit val="2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112643911852661"/>
          <c:y val="0.18426986511352841"/>
          <c:w val="0.32593883813963093"/>
          <c:h val="0.18426986511352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200m Tower, D82H10</a:t>
            </a:r>
          </a:p>
        </c:rich>
      </c:tx>
      <c:layout>
        <c:manualLayout>
          <c:xMode val="edge"/>
          <c:yMode val="edge"/>
          <c:x val="0.31856899488926876"/>
          <c:y val="1.1235967384971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65758091993192"/>
          <c:y val="9.4382126033758382E-2"/>
          <c:w val="0.82793867120954101"/>
          <c:h val="0.75056262131607854"/>
        </c:manualLayout>
      </c:layout>
      <c:scatterChart>
        <c:scatterStyle val="smoothMarker"/>
        <c:varyColors val="0"/>
        <c:ser>
          <c:idx val="3"/>
          <c:order val="0"/>
          <c:tx>
            <c:v>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056A-43FF-93D6-B71E6DDB8396}"/>
              </c:ext>
            </c:extLst>
          </c:dPt>
          <c:xVal>
            <c:numRef>
              <c:f>'Design Point Calcs'!$AJ$6:$AJ$9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'Design Point Calcs'!$AL$6:$AL$9</c:f>
              <c:numCache>
                <c:formatCode>0.000</c:formatCode>
                <c:ptCount val="4"/>
                <c:pt idx="0">
                  <c:v>0.74939024390243902</c:v>
                </c:pt>
                <c:pt idx="1">
                  <c:v>0.75040909090909091</c:v>
                </c:pt>
                <c:pt idx="2">
                  <c:v>0.70578212290502795</c:v>
                </c:pt>
                <c:pt idx="3">
                  <c:v>0.59251580278128946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6A-43FF-93D6-B71E6DDB8396}"/>
            </c:ext>
          </c:extLst>
        </c:ser>
        <c:ser>
          <c:idx val="2"/>
          <c:order val="1"/>
          <c:tx>
            <c:v>Acceptance 30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'Design Point Calcs'!$AE$6:$AE$9</c:f>
              <c:numCache>
                <c:formatCode>0.0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</c:numCache>
            </c:numRef>
          </c:xVal>
          <c:yVal>
            <c:numRef>
              <c:f>'Design Point Calcs'!$AG$6:$AG$9</c:f>
              <c:numCache>
                <c:formatCode>General</c:formatCode>
                <c:ptCount val="4"/>
                <c:pt idx="0" formatCode="0.000">
                  <c:v>0.72774199052132704</c:v>
                </c:pt>
                <c:pt idx="1">
                  <c:v>0.70173945553539019</c:v>
                </c:pt>
                <c:pt idx="2">
                  <c:v>0.66242709424083768</c:v>
                </c:pt>
                <c:pt idx="3">
                  <c:v>0.57960341951626349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6A-43FF-93D6-B71E6DDB8396}"/>
            </c:ext>
          </c:extLst>
        </c:ser>
        <c:ser>
          <c:idx val="0"/>
          <c:order val="2"/>
          <c:tx>
            <c:v>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3-056A-43FF-93D6-B71E6DDB8396}"/>
              </c:ext>
            </c:extLst>
          </c:dPt>
          <c:xVal>
            <c:numRef>
              <c:f>'Design Point Calcs'!$AE$13:$AE$15</c:f>
              <c:numCache>
                <c:formatCode>0.0</c:formatCode>
                <c:ptCount val="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</c:numCache>
            </c:numRef>
          </c:xVal>
          <c:yVal>
            <c:numRef>
              <c:f>'Design Point Calcs'!$AG$13:$AG$15</c:f>
              <c:numCache>
                <c:formatCode>0.000</c:formatCode>
                <c:ptCount val="3"/>
                <c:pt idx="0">
                  <c:v>0.6646942087794433</c:v>
                </c:pt>
                <c:pt idx="1">
                  <c:v>0.59279313756131746</c:v>
                </c:pt>
                <c:pt idx="2">
                  <c:v>0.47054715693707355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6A-43FF-93D6-B71E6DDB8396}"/>
            </c:ext>
          </c:extLst>
        </c:ser>
        <c:ser>
          <c:idx val="1"/>
          <c:order val="3"/>
          <c:tx>
            <c:v>Acceptance 40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Calcs'!$AE$21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'Design Point Calcs'!$AG$21</c:f>
              <c:numCache>
                <c:formatCode>0.000</c:formatCode>
                <c:ptCount val="1"/>
                <c:pt idx="0">
                  <c:v>0.47250181878306874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56A-43FF-93D6-B71E6DDB8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63392"/>
        <c:axId val="214770048"/>
      </c:scatterChart>
      <c:valAx>
        <c:axId val="214763392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0034071550255584"/>
              <c:y val="0.919102132090647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770048"/>
        <c:crosses val="autoZero"/>
        <c:crossBetween val="midCat"/>
        <c:majorUnit val="5"/>
      </c:valAx>
      <c:valAx>
        <c:axId val="214770048"/>
        <c:scaling>
          <c:orientation val="minMax"/>
          <c:max val="0.8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Solar Field Efficiency</a:t>
                </a:r>
              </a:p>
            </c:rich>
          </c:tx>
          <c:layout>
            <c:manualLayout>
              <c:xMode val="edge"/>
              <c:yMode val="edge"/>
              <c:x val="8.5178875638841564E-3"/>
              <c:y val="0.2449440889923735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763392"/>
        <c:crosses val="autoZero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613287904599659"/>
          <c:y val="0.51011291927769309"/>
          <c:w val="0.29301533219761544"/>
          <c:h val="0.188764252067517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142875</xdr:colOff>
      <xdr:row>59</xdr:row>
      <xdr:rowOff>28575</xdr:rowOff>
    </xdr:from>
    <xdr:to>
      <xdr:col>27</xdr:col>
      <xdr:colOff>123825</xdr:colOff>
      <xdr:row>71</xdr:row>
      <xdr:rowOff>104775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00000000-0008-0000-03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209550</xdr:colOff>
      <xdr:row>32</xdr:row>
      <xdr:rowOff>200025</xdr:rowOff>
    </xdr:from>
    <xdr:to>
      <xdr:col>54</xdr:col>
      <xdr:colOff>342900</xdr:colOff>
      <xdr:row>44</xdr:row>
      <xdr:rowOff>19050</xdr:rowOff>
    </xdr:to>
    <xdr:graphicFrame macro="">
      <xdr:nvGraphicFramePr>
        <xdr:cNvPr id="3130" name="Chart 58">
          <a:extLst>
            <a:ext uri="{FF2B5EF4-FFF2-40B4-BE49-F238E27FC236}">
              <a16:creationId xmlns:a16="http://schemas.microsoft.com/office/drawing/2014/main" id="{00000000-0008-0000-0300-00003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352425</xdr:colOff>
      <xdr:row>32</xdr:row>
      <xdr:rowOff>47625</xdr:rowOff>
    </xdr:from>
    <xdr:to>
      <xdr:col>80</xdr:col>
      <xdr:colOff>542925</xdr:colOff>
      <xdr:row>43</xdr:row>
      <xdr:rowOff>171450</xdr:rowOff>
    </xdr:to>
    <xdr:graphicFrame macro="">
      <xdr:nvGraphicFramePr>
        <xdr:cNvPr id="3144" name="Chart 72">
          <a:extLst>
            <a:ext uri="{FF2B5EF4-FFF2-40B4-BE49-F238E27FC236}">
              <a16:creationId xmlns:a16="http://schemas.microsoft.com/office/drawing/2014/main" id="{00000000-0008-0000-03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101</xdr:col>
      <xdr:colOff>723900</xdr:colOff>
      <xdr:row>53</xdr:row>
      <xdr:rowOff>9525</xdr:rowOff>
    </xdr:from>
    <xdr:to>
      <xdr:col>112</xdr:col>
      <xdr:colOff>561975</xdr:colOff>
      <xdr:row>79</xdr:row>
      <xdr:rowOff>152400</xdr:rowOff>
    </xdr:to>
    <xdr:graphicFrame macro="">
      <xdr:nvGraphicFramePr>
        <xdr:cNvPr id="3151" name="Chart 79">
          <a:extLst>
            <a:ext uri="{FF2B5EF4-FFF2-40B4-BE49-F238E27FC236}">
              <a16:creationId xmlns:a16="http://schemas.microsoft.com/office/drawing/2014/main" id="{00000000-0008-0000-0300-00004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152400</xdr:colOff>
      <xdr:row>146</xdr:row>
      <xdr:rowOff>28575</xdr:rowOff>
    </xdr:from>
    <xdr:to>
      <xdr:col>27</xdr:col>
      <xdr:colOff>171450</xdr:colOff>
      <xdr:row>158</xdr:row>
      <xdr:rowOff>104775</xdr:rowOff>
    </xdr:to>
    <xdr:graphicFrame macro="">
      <xdr:nvGraphicFramePr>
        <xdr:cNvPr id="3158" name="Chart 86">
          <a:extLst>
            <a:ext uri="{FF2B5EF4-FFF2-40B4-BE49-F238E27FC236}">
              <a16:creationId xmlns:a16="http://schemas.microsoft.com/office/drawing/2014/main" id="{00000000-0008-0000-0300-00005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142875</xdr:colOff>
      <xdr:row>102</xdr:row>
      <xdr:rowOff>219075</xdr:rowOff>
    </xdr:from>
    <xdr:to>
      <xdr:col>27</xdr:col>
      <xdr:colOff>161925</xdr:colOff>
      <xdr:row>116</xdr:row>
      <xdr:rowOff>104775</xdr:rowOff>
    </xdr:to>
    <xdr:graphicFrame macro="">
      <xdr:nvGraphicFramePr>
        <xdr:cNvPr id="3159" name="Chart 87">
          <a:extLst>
            <a:ext uri="{FF2B5EF4-FFF2-40B4-BE49-F238E27FC236}">
              <a16:creationId xmlns:a16="http://schemas.microsoft.com/office/drawing/2014/main" id="{00000000-0008-0000-0300-00005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123825</xdr:colOff>
      <xdr:row>186</xdr:row>
      <xdr:rowOff>66675</xdr:rowOff>
    </xdr:from>
    <xdr:to>
      <xdr:col>27</xdr:col>
      <xdr:colOff>114300</xdr:colOff>
      <xdr:row>198</xdr:row>
      <xdr:rowOff>104775</xdr:rowOff>
    </xdr:to>
    <xdr:graphicFrame macro="">
      <xdr:nvGraphicFramePr>
        <xdr:cNvPr id="3160" name="Chart 88">
          <a:extLst>
            <a:ext uri="{FF2B5EF4-FFF2-40B4-BE49-F238E27FC236}">
              <a16:creationId xmlns:a16="http://schemas.microsoft.com/office/drawing/2014/main" id="{00000000-0008-0000-0300-00005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95250</xdr:colOff>
      <xdr:row>33</xdr:row>
      <xdr:rowOff>19050</xdr:rowOff>
    </xdr:from>
    <xdr:to>
      <xdr:col>27</xdr:col>
      <xdr:colOff>95250</xdr:colOff>
      <xdr:row>43</xdr:row>
      <xdr:rowOff>133350</xdr:rowOff>
    </xdr:to>
    <xdr:graphicFrame macro="">
      <xdr:nvGraphicFramePr>
        <xdr:cNvPr id="3161" name="Chart 89">
          <a:extLst>
            <a:ext uri="{FF2B5EF4-FFF2-40B4-BE49-F238E27FC236}">
              <a16:creationId xmlns:a16="http://schemas.microsoft.com/office/drawing/2014/main" id="{00000000-0008-0000-0300-00005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95250</xdr:colOff>
      <xdr:row>172</xdr:row>
      <xdr:rowOff>123825</xdr:rowOff>
    </xdr:from>
    <xdr:to>
      <xdr:col>27</xdr:col>
      <xdr:colOff>76200</xdr:colOff>
      <xdr:row>184</xdr:row>
      <xdr:rowOff>152400</xdr:rowOff>
    </xdr:to>
    <xdr:graphicFrame macro="">
      <xdr:nvGraphicFramePr>
        <xdr:cNvPr id="3163" name="Chart 91">
          <a:extLst>
            <a:ext uri="{FF2B5EF4-FFF2-40B4-BE49-F238E27FC236}">
              <a16:creationId xmlns:a16="http://schemas.microsoft.com/office/drawing/2014/main" id="{00000000-0008-0000-0300-00005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142875</xdr:colOff>
      <xdr:row>45</xdr:row>
      <xdr:rowOff>0</xdr:rowOff>
    </xdr:from>
    <xdr:to>
      <xdr:col>27</xdr:col>
      <xdr:colOff>190500</xdr:colOff>
      <xdr:row>57</xdr:row>
      <xdr:rowOff>57150</xdr:rowOff>
    </xdr:to>
    <xdr:graphicFrame macro="">
      <xdr:nvGraphicFramePr>
        <xdr:cNvPr id="3164" name="Chart 92">
          <a:extLst>
            <a:ext uri="{FF2B5EF4-FFF2-40B4-BE49-F238E27FC236}">
              <a16:creationId xmlns:a16="http://schemas.microsoft.com/office/drawing/2014/main" id="{00000000-0008-0000-0300-00005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76200</xdr:colOff>
      <xdr:row>159</xdr:row>
      <xdr:rowOff>76200</xdr:rowOff>
    </xdr:from>
    <xdr:to>
      <xdr:col>27</xdr:col>
      <xdr:colOff>76200</xdr:colOff>
      <xdr:row>171</xdr:row>
      <xdr:rowOff>28575</xdr:rowOff>
    </xdr:to>
    <xdr:graphicFrame macro="">
      <xdr:nvGraphicFramePr>
        <xdr:cNvPr id="3166" name="Chart 94">
          <a:extLst>
            <a:ext uri="{FF2B5EF4-FFF2-40B4-BE49-F238E27FC236}">
              <a16:creationId xmlns:a16="http://schemas.microsoft.com/office/drawing/2014/main" id="{00000000-0008-0000-03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123825</xdr:colOff>
      <xdr:row>73</xdr:row>
      <xdr:rowOff>171450</xdr:rowOff>
    </xdr:from>
    <xdr:to>
      <xdr:col>27</xdr:col>
      <xdr:colOff>171450</xdr:colOff>
      <xdr:row>86</xdr:row>
      <xdr:rowOff>38100</xdr:rowOff>
    </xdr:to>
    <xdr:graphicFrame macro="">
      <xdr:nvGraphicFramePr>
        <xdr:cNvPr id="3167" name="Chart 95">
          <a:extLst>
            <a:ext uri="{FF2B5EF4-FFF2-40B4-BE49-F238E27FC236}">
              <a16:creationId xmlns:a16="http://schemas.microsoft.com/office/drawing/2014/main" id="{00000000-0008-0000-03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142875</xdr:colOff>
      <xdr:row>132</xdr:row>
      <xdr:rowOff>95250</xdr:rowOff>
    </xdr:from>
    <xdr:to>
      <xdr:col>27</xdr:col>
      <xdr:colOff>190500</xdr:colOff>
      <xdr:row>144</xdr:row>
      <xdr:rowOff>152400</xdr:rowOff>
    </xdr:to>
    <xdr:graphicFrame macro="">
      <xdr:nvGraphicFramePr>
        <xdr:cNvPr id="3168" name="Chart 96">
          <a:extLst>
            <a:ext uri="{FF2B5EF4-FFF2-40B4-BE49-F238E27FC236}">
              <a16:creationId xmlns:a16="http://schemas.microsoft.com/office/drawing/2014/main" id="{00000000-0008-0000-0300-000060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142875</xdr:colOff>
      <xdr:row>87</xdr:row>
      <xdr:rowOff>228600</xdr:rowOff>
    </xdr:from>
    <xdr:to>
      <xdr:col>27</xdr:col>
      <xdr:colOff>190500</xdr:colOff>
      <xdr:row>100</xdr:row>
      <xdr:rowOff>95250</xdr:rowOff>
    </xdr:to>
    <xdr:graphicFrame macro="">
      <xdr:nvGraphicFramePr>
        <xdr:cNvPr id="3170" name="Chart 98">
          <a:extLst>
            <a:ext uri="{FF2B5EF4-FFF2-40B4-BE49-F238E27FC236}">
              <a16:creationId xmlns:a16="http://schemas.microsoft.com/office/drawing/2014/main" id="{00000000-0008-0000-0300-00006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142875</xdr:colOff>
      <xdr:row>117</xdr:row>
      <xdr:rowOff>228600</xdr:rowOff>
    </xdr:from>
    <xdr:to>
      <xdr:col>27</xdr:col>
      <xdr:colOff>190500</xdr:colOff>
      <xdr:row>130</xdr:row>
      <xdr:rowOff>95250</xdr:rowOff>
    </xdr:to>
    <xdr:graphicFrame macro="">
      <xdr:nvGraphicFramePr>
        <xdr:cNvPr id="3171" name="Chart 99">
          <a:extLst>
            <a:ext uri="{FF2B5EF4-FFF2-40B4-BE49-F238E27FC236}">
              <a16:creationId xmlns:a16="http://schemas.microsoft.com/office/drawing/2014/main" id="{00000000-0008-0000-0300-00006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48</xdr:col>
      <xdr:colOff>219075</xdr:colOff>
      <xdr:row>44</xdr:row>
      <xdr:rowOff>95250</xdr:rowOff>
    </xdr:from>
    <xdr:to>
      <xdr:col>54</xdr:col>
      <xdr:colOff>390525</xdr:colOff>
      <xdr:row>56</xdr:row>
      <xdr:rowOff>123825</xdr:rowOff>
    </xdr:to>
    <xdr:graphicFrame macro="">
      <xdr:nvGraphicFramePr>
        <xdr:cNvPr id="3173" name="Chart 101">
          <a:extLst>
            <a:ext uri="{FF2B5EF4-FFF2-40B4-BE49-F238E27FC236}">
              <a16:creationId xmlns:a16="http://schemas.microsoft.com/office/drawing/2014/main" id="{00000000-0008-0000-0300-00006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161925</xdr:colOff>
      <xdr:row>59</xdr:row>
      <xdr:rowOff>123825</xdr:rowOff>
    </xdr:from>
    <xdr:to>
      <xdr:col>54</xdr:col>
      <xdr:colOff>323850</xdr:colOff>
      <xdr:row>71</xdr:row>
      <xdr:rowOff>95250</xdr:rowOff>
    </xdr:to>
    <xdr:graphicFrame macro="">
      <xdr:nvGraphicFramePr>
        <xdr:cNvPr id="3174" name="Chart 102">
          <a:extLst>
            <a:ext uri="{FF2B5EF4-FFF2-40B4-BE49-F238E27FC236}">
              <a16:creationId xmlns:a16="http://schemas.microsoft.com/office/drawing/2014/main" id="{00000000-0008-0000-0300-00006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161925</xdr:colOff>
      <xdr:row>73</xdr:row>
      <xdr:rowOff>171450</xdr:rowOff>
    </xdr:from>
    <xdr:to>
      <xdr:col>54</xdr:col>
      <xdr:colOff>323850</xdr:colOff>
      <xdr:row>86</xdr:row>
      <xdr:rowOff>57150</xdr:rowOff>
    </xdr:to>
    <xdr:graphicFrame macro="">
      <xdr:nvGraphicFramePr>
        <xdr:cNvPr id="3175" name="Chart 103">
          <a:extLst>
            <a:ext uri="{FF2B5EF4-FFF2-40B4-BE49-F238E27FC236}">
              <a16:creationId xmlns:a16="http://schemas.microsoft.com/office/drawing/2014/main" id="{00000000-0008-0000-0300-00006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48</xdr:col>
      <xdr:colOff>123825</xdr:colOff>
      <xdr:row>87</xdr:row>
      <xdr:rowOff>295275</xdr:rowOff>
    </xdr:from>
    <xdr:to>
      <xdr:col>54</xdr:col>
      <xdr:colOff>295275</xdr:colOff>
      <xdr:row>100</xdr:row>
      <xdr:rowOff>171450</xdr:rowOff>
    </xdr:to>
    <xdr:graphicFrame macro="">
      <xdr:nvGraphicFramePr>
        <xdr:cNvPr id="3176" name="Chart 104">
          <a:extLst>
            <a:ext uri="{FF2B5EF4-FFF2-40B4-BE49-F238E27FC236}">
              <a16:creationId xmlns:a16="http://schemas.microsoft.com/office/drawing/2014/main" id="{00000000-0008-0000-0300-00006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142875</xdr:colOff>
      <xdr:row>102</xdr:row>
      <xdr:rowOff>295275</xdr:rowOff>
    </xdr:from>
    <xdr:to>
      <xdr:col>54</xdr:col>
      <xdr:colOff>314325</xdr:colOff>
      <xdr:row>115</xdr:row>
      <xdr:rowOff>104775</xdr:rowOff>
    </xdr:to>
    <xdr:graphicFrame macro="">
      <xdr:nvGraphicFramePr>
        <xdr:cNvPr id="3177" name="Chart 105">
          <a:extLst>
            <a:ext uri="{FF2B5EF4-FFF2-40B4-BE49-F238E27FC236}">
              <a16:creationId xmlns:a16="http://schemas.microsoft.com/office/drawing/2014/main" id="{00000000-0008-0000-0300-00006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48</xdr:col>
      <xdr:colOff>285750</xdr:colOff>
      <xdr:row>117</xdr:row>
      <xdr:rowOff>523875</xdr:rowOff>
    </xdr:from>
    <xdr:to>
      <xdr:col>54</xdr:col>
      <xdr:colOff>457200</xdr:colOff>
      <xdr:row>130</xdr:row>
      <xdr:rowOff>57150</xdr:rowOff>
    </xdr:to>
    <xdr:graphicFrame macro="">
      <xdr:nvGraphicFramePr>
        <xdr:cNvPr id="3178" name="Chart 106">
          <a:extLst>
            <a:ext uri="{FF2B5EF4-FFF2-40B4-BE49-F238E27FC236}">
              <a16:creationId xmlns:a16="http://schemas.microsoft.com/office/drawing/2014/main" id="{00000000-0008-0000-0300-00006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48</xdr:col>
      <xdr:colOff>314325</xdr:colOff>
      <xdr:row>132</xdr:row>
      <xdr:rowOff>19050</xdr:rowOff>
    </xdr:from>
    <xdr:to>
      <xdr:col>54</xdr:col>
      <xdr:colOff>485775</xdr:colOff>
      <xdr:row>144</xdr:row>
      <xdr:rowOff>123825</xdr:rowOff>
    </xdr:to>
    <xdr:graphicFrame macro="">
      <xdr:nvGraphicFramePr>
        <xdr:cNvPr id="3179" name="Chart 107">
          <a:extLst>
            <a:ext uri="{FF2B5EF4-FFF2-40B4-BE49-F238E27FC236}">
              <a16:creationId xmlns:a16="http://schemas.microsoft.com/office/drawing/2014/main" id="{00000000-0008-0000-0300-00006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314325</xdr:colOff>
      <xdr:row>146</xdr:row>
      <xdr:rowOff>0</xdr:rowOff>
    </xdr:from>
    <xdr:to>
      <xdr:col>54</xdr:col>
      <xdr:colOff>485775</xdr:colOff>
      <xdr:row>158</xdr:row>
      <xdr:rowOff>95250</xdr:rowOff>
    </xdr:to>
    <xdr:graphicFrame macro="">
      <xdr:nvGraphicFramePr>
        <xdr:cNvPr id="3180" name="Chart 108">
          <a:extLst>
            <a:ext uri="{FF2B5EF4-FFF2-40B4-BE49-F238E27FC236}">
              <a16:creationId xmlns:a16="http://schemas.microsoft.com/office/drawing/2014/main" id="{00000000-0008-0000-0300-00006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48</xdr:col>
      <xdr:colOff>285750</xdr:colOff>
      <xdr:row>159</xdr:row>
      <xdr:rowOff>47625</xdr:rowOff>
    </xdr:from>
    <xdr:to>
      <xdr:col>54</xdr:col>
      <xdr:colOff>457200</xdr:colOff>
      <xdr:row>171</xdr:row>
      <xdr:rowOff>152400</xdr:rowOff>
    </xdr:to>
    <xdr:graphicFrame macro="">
      <xdr:nvGraphicFramePr>
        <xdr:cNvPr id="3181" name="Chart 109">
          <a:extLst>
            <a:ext uri="{FF2B5EF4-FFF2-40B4-BE49-F238E27FC236}">
              <a16:creationId xmlns:a16="http://schemas.microsoft.com/office/drawing/2014/main" id="{00000000-0008-0000-0300-00006D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48</xdr:col>
      <xdr:colOff>266700</xdr:colOff>
      <xdr:row>172</xdr:row>
      <xdr:rowOff>28575</xdr:rowOff>
    </xdr:from>
    <xdr:to>
      <xdr:col>54</xdr:col>
      <xdr:colOff>438150</xdr:colOff>
      <xdr:row>184</xdr:row>
      <xdr:rowOff>133350</xdr:rowOff>
    </xdr:to>
    <xdr:graphicFrame macro="">
      <xdr:nvGraphicFramePr>
        <xdr:cNvPr id="3182" name="Chart 110">
          <a:extLst>
            <a:ext uri="{FF2B5EF4-FFF2-40B4-BE49-F238E27FC236}">
              <a16:creationId xmlns:a16="http://schemas.microsoft.com/office/drawing/2014/main" id="{00000000-0008-0000-0300-00006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48</xdr:col>
      <xdr:colOff>304800</xdr:colOff>
      <xdr:row>185</xdr:row>
      <xdr:rowOff>28575</xdr:rowOff>
    </xdr:from>
    <xdr:to>
      <xdr:col>54</xdr:col>
      <xdr:colOff>466725</xdr:colOff>
      <xdr:row>197</xdr:row>
      <xdr:rowOff>133350</xdr:rowOff>
    </xdr:to>
    <xdr:graphicFrame macro="">
      <xdr:nvGraphicFramePr>
        <xdr:cNvPr id="3183" name="Chart 111">
          <a:extLst>
            <a:ext uri="{FF2B5EF4-FFF2-40B4-BE49-F238E27FC236}">
              <a16:creationId xmlns:a16="http://schemas.microsoft.com/office/drawing/2014/main" id="{00000000-0008-0000-0300-00006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75</xdr:col>
      <xdr:colOff>409575</xdr:colOff>
      <xdr:row>44</xdr:row>
      <xdr:rowOff>57150</xdr:rowOff>
    </xdr:from>
    <xdr:to>
      <xdr:col>80</xdr:col>
      <xdr:colOff>600075</xdr:colOff>
      <xdr:row>56</xdr:row>
      <xdr:rowOff>9525</xdr:rowOff>
    </xdr:to>
    <xdr:graphicFrame macro="">
      <xdr:nvGraphicFramePr>
        <xdr:cNvPr id="3185" name="Chart 113">
          <a:extLst>
            <a:ext uri="{FF2B5EF4-FFF2-40B4-BE49-F238E27FC236}">
              <a16:creationId xmlns:a16="http://schemas.microsoft.com/office/drawing/2014/main" id="{00000000-0008-0000-0300-00007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314325</xdr:colOff>
      <xdr:row>59</xdr:row>
      <xdr:rowOff>190500</xdr:rowOff>
    </xdr:from>
    <xdr:to>
      <xdr:col>80</xdr:col>
      <xdr:colOff>504825</xdr:colOff>
      <xdr:row>71</xdr:row>
      <xdr:rowOff>76200</xdr:rowOff>
    </xdr:to>
    <xdr:graphicFrame macro="">
      <xdr:nvGraphicFramePr>
        <xdr:cNvPr id="3186" name="Chart 114">
          <a:extLst>
            <a:ext uri="{FF2B5EF4-FFF2-40B4-BE49-F238E27FC236}">
              <a16:creationId xmlns:a16="http://schemas.microsoft.com/office/drawing/2014/main" id="{00000000-0008-0000-0300-00007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75</xdr:col>
      <xdr:colOff>400050</xdr:colOff>
      <xdr:row>74</xdr:row>
      <xdr:rowOff>142875</xdr:rowOff>
    </xdr:from>
    <xdr:to>
      <xdr:col>80</xdr:col>
      <xdr:colOff>590550</xdr:colOff>
      <xdr:row>86</xdr:row>
      <xdr:rowOff>133350</xdr:rowOff>
    </xdr:to>
    <xdr:graphicFrame macro="">
      <xdr:nvGraphicFramePr>
        <xdr:cNvPr id="3187" name="Chart 115">
          <a:extLst>
            <a:ext uri="{FF2B5EF4-FFF2-40B4-BE49-F238E27FC236}">
              <a16:creationId xmlns:a16="http://schemas.microsoft.com/office/drawing/2014/main" id="{00000000-0008-0000-0300-00007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75</xdr:col>
      <xdr:colOff>361950</xdr:colOff>
      <xdr:row>87</xdr:row>
      <xdr:rowOff>342900</xdr:rowOff>
    </xdr:from>
    <xdr:to>
      <xdr:col>80</xdr:col>
      <xdr:colOff>552450</xdr:colOff>
      <xdr:row>100</xdr:row>
      <xdr:rowOff>133350</xdr:rowOff>
    </xdr:to>
    <xdr:graphicFrame macro="">
      <xdr:nvGraphicFramePr>
        <xdr:cNvPr id="3188" name="Chart 116">
          <a:extLst>
            <a:ext uri="{FF2B5EF4-FFF2-40B4-BE49-F238E27FC236}">
              <a16:creationId xmlns:a16="http://schemas.microsoft.com/office/drawing/2014/main" id="{00000000-0008-0000-0300-00007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75</xdr:col>
      <xdr:colOff>219075</xdr:colOff>
      <xdr:row>102</xdr:row>
      <xdr:rowOff>323850</xdr:rowOff>
    </xdr:from>
    <xdr:to>
      <xdr:col>80</xdr:col>
      <xdr:colOff>409575</xdr:colOff>
      <xdr:row>115</xdr:row>
      <xdr:rowOff>57150</xdr:rowOff>
    </xdr:to>
    <xdr:graphicFrame macro="">
      <xdr:nvGraphicFramePr>
        <xdr:cNvPr id="3189" name="Chart 117">
          <a:extLst>
            <a:ext uri="{FF2B5EF4-FFF2-40B4-BE49-F238E27FC236}">
              <a16:creationId xmlns:a16="http://schemas.microsoft.com/office/drawing/2014/main" id="{00000000-0008-0000-0300-00007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75</xdr:col>
      <xdr:colOff>219075</xdr:colOff>
      <xdr:row>117</xdr:row>
      <xdr:rowOff>342900</xdr:rowOff>
    </xdr:from>
    <xdr:to>
      <xdr:col>80</xdr:col>
      <xdr:colOff>409575</xdr:colOff>
      <xdr:row>130</xdr:row>
      <xdr:rowOff>171450</xdr:rowOff>
    </xdr:to>
    <xdr:graphicFrame macro="">
      <xdr:nvGraphicFramePr>
        <xdr:cNvPr id="3190" name="Chart 118">
          <a:extLst>
            <a:ext uri="{FF2B5EF4-FFF2-40B4-BE49-F238E27FC236}">
              <a16:creationId xmlns:a16="http://schemas.microsoft.com/office/drawing/2014/main" id="{00000000-0008-0000-0300-00007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75</xdr:col>
      <xdr:colOff>266700</xdr:colOff>
      <xdr:row>132</xdr:row>
      <xdr:rowOff>95250</xdr:rowOff>
    </xdr:from>
    <xdr:to>
      <xdr:col>80</xdr:col>
      <xdr:colOff>457200</xdr:colOff>
      <xdr:row>144</xdr:row>
      <xdr:rowOff>114300</xdr:rowOff>
    </xdr:to>
    <xdr:graphicFrame macro="">
      <xdr:nvGraphicFramePr>
        <xdr:cNvPr id="3191" name="Chart 119">
          <a:extLst>
            <a:ext uri="{FF2B5EF4-FFF2-40B4-BE49-F238E27FC236}">
              <a16:creationId xmlns:a16="http://schemas.microsoft.com/office/drawing/2014/main" id="{00000000-0008-0000-0300-00007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75</xdr:col>
      <xdr:colOff>304800</xdr:colOff>
      <xdr:row>146</xdr:row>
      <xdr:rowOff>19050</xdr:rowOff>
    </xdr:from>
    <xdr:to>
      <xdr:col>80</xdr:col>
      <xdr:colOff>495300</xdr:colOff>
      <xdr:row>158</xdr:row>
      <xdr:rowOff>28575</xdr:rowOff>
    </xdr:to>
    <xdr:graphicFrame macro="">
      <xdr:nvGraphicFramePr>
        <xdr:cNvPr id="3192" name="Chart 120">
          <a:extLst>
            <a:ext uri="{FF2B5EF4-FFF2-40B4-BE49-F238E27FC236}">
              <a16:creationId xmlns:a16="http://schemas.microsoft.com/office/drawing/2014/main" id="{00000000-0008-0000-0300-00007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75</xdr:col>
      <xdr:colOff>352425</xdr:colOff>
      <xdr:row>159</xdr:row>
      <xdr:rowOff>28575</xdr:rowOff>
    </xdr:from>
    <xdr:to>
      <xdr:col>80</xdr:col>
      <xdr:colOff>542925</xdr:colOff>
      <xdr:row>171</xdr:row>
      <xdr:rowOff>57150</xdr:rowOff>
    </xdr:to>
    <xdr:graphicFrame macro="">
      <xdr:nvGraphicFramePr>
        <xdr:cNvPr id="3193" name="Chart 121">
          <a:extLst>
            <a:ext uri="{FF2B5EF4-FFF2-40B4-BE49-F238E27FC236}">
              <a16:creationId xmlns:a16="http://schemas.microsoft.com/office/drawing/2014/main" id="{00000000-0008-0000-0300-00007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75</xdr:col>
      <xdr:colOff>333375</xdr:colOff>
      <xdr:row>172</xdr:row>
      <xdr:rowOff>28575</xdr:rowOff>
    </xdr:from>
    <xdr:to>
      <xdr:col>80</xdr:col>
      <xdr:colOff>523875</xdr:colOff>
      <xdr:row>184</xdr:row>
      <xdr:rowOff>57150</xdr:rowOff>
    </xdr:to>
    <xdr:graphicFrame macro="">
      <xdr:nvGraphicFramePr>
        <xdr:cNvPr id="3194" name="Chart 122">
          <a:extLst>
            <a:ext uri="{FF2B5EF4-FFF2-40B4-BE49-F238E27FC236}">
              <a16:creationId xmlns:a16="http://schemas.microsoft.com/office/drawing/2014/main" id="{00000000-0008-0000-0300-00007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75</xdr:col>
      <xdr:colOff>314325</xdr:colOff>
      <xdr:row>185</xdr:row>
      <xdr:rowOff>19050</xdr:rowOff>
    </xdr:from>
    <xdr:to>
      <xdr:col>80</xdr:col>
      <xdr:colOff>504825</xdr:colOff>
      <xdr:row>197</xdr:row>
      <xdr:rowOff>38100</xdr:rowOff>
    </xdr:to>
    <xdr:graphicFrame macro="">
      <xdr:nvGraphicFramePr>
        <xdr:cNvPr id="3195" name="Chart 123">
          <a:extLst>
            <a:ext uri="{FF2B5EF4-FFF2-40B4-BE49-F238E27FC236}">
              <a16:creationId xmlns:a16="http://schemas.microsoft.com/office/drawing/2014/main" id="{00000000-0008-0000-0300-00007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438150</xdr:colOff>
      <xdr:row>87</xdr:row>
      <xdr:rowOff>123825</xdr:rowOff>
    </xdr:from>
    <xdr:to>
      <xdr:col>27</xdr:col>
      <xdr:colOff>0</xdr:colOff>
      <xdr:row>117</xdr:row>
      <xdr:rowOff>142875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409575</xdr:colOff>
      <xdr:row>22</xdr:row>
      <xdr:rowOff>114300</xdr:rowOff>
    </xdr:from>
    <xdr:to>
      <xdr:col>34</xdr:col>
      <xdr:colOff>657225</xdr:colOff>
      <xdr:row>39</xdr:row>
      <xdr:rowOff>142875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28575</xdr:colOff>
      <xdr:row>22</xdr:row>
      <xdr:rowOff>114300</xdr:rowOff>
    </xdr:from>
    <xdr:to>
      <xdr:col>42</xdr:col>
      <xdr:colOff>285750</xdr:colOff>
      <xdr:row>39</xdr:row>
      <xdr:rowOff>142875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0.22919</cdr:x>
      <cdr:y>0.49951</cdr:y>
    </cdr:from>
    <cdr:to>
      <cdr:x>0.44225</cdr:x>
      <cdr:y>0.54888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4635" y="2125174"/>
          <a:ext cx="1191242" cy="2097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Design Point</a:t>
          </a:r>
        </a:p>
      </cdr:txBody>
    </cdr:sp>
  </cdr:relSizeAnchor>
  <cdr:relSizeAnchor xmlns:cdr="http://schemas.openxmlformats.org/drawingml/2006/chartDrawing">
    <cdr:from>
      <cdr:x>0.64302</cdr:x>
      <cdr:y>0.75344</cdr:y>
    </cdr:from>
    <cdr:to>
      <cdr:x>0.86787</cdr:x>
      <cdr:y>0.8028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98420" y="3203889"/>
          <a:ext cx="1257192" cy="2097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Previous Design Point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0.2282</cdr:x>
      <cdr:y>0.3211</cdr:y>
    </cdr:from>
    <cdr:to>
      <cdr:x>0.44077</cdr:x>
      <cdr:y>0.37047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1268" y="1367269"/>
          <a:ext cx="1190554" cy="2097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Design Point</a:t>
          </a:r>
        </a:p>
      </cdr:txBody>
    </cdr:sp>
  </cdr:relSizeAnchor>
  <cdr:relSizeAnchor xmlns:cdr="http://schemas.openxmlformats.org/drawingml/2006/chartDrawing">
    <cdr:from>
      <cdr:x>0.61845</cdr:x>
      <cdr:y>0.20428</cdr:y>
    </cdr:from>
    <cdr:to>
      <cdr:x>0.84282</cdr:x>
      <cdr:y>0.25365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66932" y="870998"/>
          <a:ext cx="1256619" cy="2097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Previous Design Point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ewando/Desktop/Solar%20Systems/Analysis/Heliostat%20Geometry-Old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"/>
      <sheetName val="Soltrace Field"/>
      <sheetName val="Secondary"/>
      <sheetName val="Layout"/>
      <sheetName val="Soltrace Layout"/>
      <sheetName val="Solar"/>
      <sheetName val="Spherical Optic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7"/>
  <sheetViews>
    <sheetView tabSelected="1" topLeftCell="A24" workbookViewId="0">
      <selection activeCell="E27" sqref="E27"/>
    </sheetView>
  </sheetViews>
  <sheetFormatPr defaultRowHeight="15.6"/>
  <cols>
    <col min="6" max="6" width="12.88671875" customWidth="1"/>
    <col min="8" max="8" width="21.77734375" customWidth="1"/>
  </cols>
  <sheetData>
    <row r="1" spans="1:20">
      <c r="A1" s="58" t="s">
        <v>0</v>
      </c>
    </row>
    <row r="2" spans="1:20">
      <c r="A2" s="136" t="s">
        <v>1</v>
      </c>
    </row>
    <row r="3" spans="1:20">
      <c r="B3" s="137" t="s">
        <v>2</v>
      </c>
    </row>
    <row r="4" spans="1:20">
      <c r="B4" s="137" t="s">
        <v>3</v>
      </c>
    </row>
    <row r="5" spans="1:20">
      <c r="B5" s="137" t="s">
        <v>4</v>
      </c>
    </row>
    <row r="6" spans="1:20">
      <c r="B6" s="137" t="s">
        <v>5</v>
      </c>
    </row>
    <row r="7" spans="1:20">
      <c r="B7" s="137" t="s">
        <v>6</v>
      </c>
    </row>
    <row r="8" spans="1:20">
      <c r="A8" s="58"/>
      <c r="C8" s="137"/>
    </row>
    <row r="9" spans="1:20">
      <c r="A9" s="58"/>
      <c r="C9" s="137"/>
      <c r="D9" s="136" t="s">
        <v>7</v>
      </c>
      <c r="E9" s="138">
        <v>217000</v>
      </c>
      <c r="F9" s="137" t="s">
        <v>8</v>
      </c>
    </row>
    <row r="10" spans="1:20" ht="18">
      <c r="A10" s="58"/>
      <c r="C10" s="137"/>
      <c r="D10" s="136" t="s">
        <v>9</v>
      </c>
      <c r="E10" s="138">
        <f>8*365</f>
        <v>2920</v>
      </c>
      <c r="F10" s="137" t="s">
        <v>10</v>
      </c>
      <c r="Q10" s="69"/>
      <c r="R10" s="117" t="s">
        <v>11</v>
      </c>
      <c r="S10" s="117"/>
      <c r="T10" s="36"/>
    </row>
    <row r="11" spans="1:20" ht="20.100000000000001">
      <c r="I11" s="153" t="s">
        <v>12</v>
      </c>
      <c r="J11" s="153"/>
      <c r="L11" s="58" t="s">
        <v>13</v>
      </c>
      <c r="M11" s="58"/>
      <c r="N11" s="58"/>
      <c r="O11" s="58"/>
      <c r="Q11" s="69"/>
      <c r="R11" s="141" t="s">
        <v>14</v>
      </c>
      <c r="S11" s="141" t="s">
        <v>15</v>
      </c>
      <c r="T11" s="141" t="s">
        <v>16</v>
      </c>
    </row>
    <row r="12" spans="1:20">
      <c r="D12" s="3" t="s">
        <v>17</v>
      </c>
      <c r="E12" s="139">
        <f>E9*E10/1000000</f>
        <v>633.64</v>
      </c>
      <c r="F12" t="s">
        <v>18</v>
      </c>
      <c r="H12" s="136" t="s">
        <v>19</v>
      </c>
      <c r="I12" s="5">
        <f>'Ann Perf at Site'!O69</f>
        <v>606.55978641290255</v>
      </c>
      <c r="J12" t="s">
        <v>20</v>
      </c>
      <c r="M12" s="136" t="s">
        <v>21</v>
      </c>
      <c r="N12" s="5">
        <f>'Ann Perf at Site'!O65*IF(E10&gt;'Ann Perf at Site'!O24,1,0)</f>
        <v>0</v>
      </c>
      <c r="O12" t="s">
        <v>20</v>
      </c>
      <c r="Q12" s="37" t="s">
        <v>22</v>
      </c>
      <c r="R12" s="4">
        <f>'Annual Performance Details'!M14</f>
        <v>0.59977720185581729</v>
      </c>
      <c r="S12" s="4">
        <f>'Annual Performance Details'!N14</f>
        <v>0.89741145119149834</v>
      </c>
      <c r="T12" s="4">
        <f>'Annual Performance Details'!O14</f>
        <v>0.53824692910900518</v>
      </c>
    </row>
    <row r="13" spans="1:20">
      <c r="D13" s="136" t="s">
        <v>23</v>
      </c>
      <c r="E13" s="76">
        <v>1</v>
      </c>
      <c r="G13" s="140"/>
      <c r="H13" s="136" t="s">
        <v>24</v>
      </c>
      <c r="I13" s="5">
        <f>'Ann Perf at Site'!O57</f>
        <v>27.04189910056952</v>
      </c>
      <c r="J13" t="s">
        <v>20</v>
      </c>
      <c r="M13" s="136" t="s">
        <v>25</v>
      </c>
      <c r="N13" s="5">
        <f>'Ann Perf at Site'!O66*IF(E10&gt;'Ann Perf at Site'!O24,1,0)</f>
        <v>0</v>
      </c>
      <c r="O13" t="s">
        <v>20</v>
      </c>
      <c r="Q13" s="37" t="s">
        <v>26</v>
      </c>
      <c r="R13" s="4">
        <f>'Annual Performance Details'!M16</f>
        <v>0.51267223284344887</v>
      </c>
      <c r="S13" s="4">
        <f>'Annual Performance Details'!N16</f>
        <v>0.86974704839312234</v>
      </c>
      <c r="T13" s="4">
        <f>'Annual Performance Details'!O16</f>
        <v>0.44589516130870122</v>
      </c>
    </row>
    <row r="14" spans="1:20">
      <c r="D14" s="136" t="s">
        <v>27</v>
      </c>
      <c r="E14" s="139">
        <f>E12*E13</f>
        <v>633.64</v>
      </c>
      <c r="F14" t="s">
        <v>18</v>
      </c>
      <c r="G14" s="140"/>
      <c r="H14" s="137"/>
      <c r="Q14" s="37"/>
      <c r="R14" s="4"/>
      <c r="S14" s="4"/>
      <c r="T14" s="4"/>
    </row>
    <row r="15" spans="1:20">
      <c r="H15" s="136" t="s">
        <v>28</v>
      </c>
      <c r="I15" s="5">
        <f>SUM(I12,N12:N13)</f>
        <v>606.55978641290255</v>
      </c>
      <c r="J15" s="137" t="s">
        <v>29</v>
      </c>
    </row>
    <row r="16" spans="1:20" ht="15.75" customHeight="1">
      <c r="D16" s="3" t="s">
        <v>30</v>
      </c>
      <c r="E16" s="7">
        <v>2787.1391612903226</v>
      </c>
      <c r="F16" t="s">
        <v>31</v>
      </c>
      <c r="H16" s="136" t="s">
        <v>32</v>
      </c>
      <c r="I16" s="8">
        <f>I12/I15</f>
        <v>1</v>
      </c>
      <c r="J16" s="58"/>
    </row>
    <row r="17" spans="4:12" ht="18" customHeight="1">
      <c r="D17" s="136" t="s">
        <v>33</v>
      </c>
      <c r="E17" s="2">
        <v>4870</v>
      </c>
      <c r="F17" s="137" t="s">
        <v>10</v>
      </c>
    </row>
    <row r="18" spans="4:12" ht="30.6" customHeight="1">
      <c r="H18" s="147" t="s">
        <v>34</v>
      </c>
    </row>
    <row r="19" spans="4:12" ht="18.600000000000001">
      <c r="D19" s="3" t="s">
        <v>35</v>
      </c>
      <c r="E19" s="14">
        <v>1350</v>
      </c>
      <c r="F19" s="79" t="s">
        <v>36</v>
      </c>
      <c r="H19" s="2">
        <f>'Ann Perf at Site'!O24</f>
        <v>3897</v>
      </c>
    </row>
    <row r="20" spans="4:12">
      <c r="D20" s="136" t="s">
        <v>37</v>
      </c>
      <c r="E20" s="80">
        <f>'Design Point Performance'!C42</f>
        <v>0.42498188291014871</v>
      </c>
    </row>
    <row r="21" spans="4:12">
      <c r="D21" s="146"/>
      <c r="E21" s="34"/>
    </row>
    <row r="22" spans="4:12" ht="18.600000000000001" customHeight="1">
      <c r="D22" s="3" t="s">
        <v>38</v>
      </c>
      <c r="E22" s="27">
        <f>E14*10^6/(E16*E20)</f>
        <v>534950.39859488676</v>
      </c>
      <c r="F22" t="s">
        <v>39</v>
      </c>
    </row>
    <row r="24" spans="4:12" ht="18.600000000000001">
      <c r="D24" s="3" t="s">
        <v>40</v>
      </c>
      <c r="E24" s="27">
        <f>'Design Point Performance'!I33</f>
        <v>267459.0258</v>
      </c>
      <c r="F24" t="s">
        <v>39</v>
      </c>
    </row>
    <row r="25" spans="4:12">
      <c r="G25" s="142"/>
      <c r="H25" s="142"/>
      <c r="I25" s="142"/>
    </row>
    <row r="26" spans="4:12">
      <c r="D26" s="3" t="s">
        <v>41</v>
      </c>
      <c r="E26" s="74">
        <v>195.4</v>
      </c>
      <c r="F26" t="s">
        <v>42</v>
      </c>
      <c r="G26" t="s">
        <v>43</v>
      </c>
      <c r="J26" s="142"/>
      <c r="K26" s="142"/>
      <c r="L26" s="142"/>
    </row>
    <row r="27" spans="4:12">
      <c r="K27" s="142"/>
      <c r="L27" s="142"/>
    </row>
    <row r="28" spans="4:12">
      <c r="D28" s="3" t="s">
        <v>44</v>
      </c>
      <c r="E28" s="138">
        <v>2</v>
      </c>
    </row>
    <row r="30" spans="4:12" ht="18.600000000000001">
      <c r="D30" s="3" t="s">
        <v>45</v>
      </c>
      <c r="E30" s="27">
        <f>E24*E28</f>
        <v>534918.05160000001</v>
      </c>
      <c r="F30" t="s">
        <v>39</v>
      </c>
    </row>
    <row r="31" spans="4:12" ht="15.95" thickBot="1"/>
    <row r="32" spans="4:12" ht="15.95" thickBot="1">
      <c r="D32" s="136" t="s">
        <v>46</v>
      </c>
      <c r="E32" s="26">
        <f>E30*E16*E20/10^6</f>
        <v>633.60168551347203</v>
      </c>
      <c r="F32" t="s">
        <v>18</v>
      </c>
      <c r="G32" s="145" t="str">
        <f>IF(E32&lt;=0.99*E14,"Increase tower height or number of towers",IF(E32&gt;1.01*E14,"Decrease tower height or number of towers","Within 1% of target Annual Energy from Solar"))</f>
        <v>Within 1% of target Annual Energy from Solar</v>
      </c>
      <c r="H32" s="143"/>
      <c r="I32" s="144"/>
    </row>
    <row r="33" spans="5:11">
      <c r="K33" s="137"/>
    </row>
    <row r="34" spans="5:11" ht="15">
      <c r="E34">
        <f>0.01*E35+E35</f>
        <v>639.97640000000001</v>
      </c>
    </row>
    <row r="35" spans="5:11" ht="15">
      <c r="E35" s="148">
        <f>E12</f>
        <v>633.64</v>
      </c>
    </row>
    <row r="36" spans="5:11" ht="15">
      <c r="E36" s="42">
        <f>-0.01*E35+E35</f>
        <v>627.30359999999996</v>
      </c>
    </row>
    <row r="37" spans="5:11">
      <c r="E37" s="42"/>
    </row>
  </sheetData>
  <mergeCells count="1">
    <mergeCell ref="I11:J11"/>
  </mergeCells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Q48"/>
  <sheetViews>
    <sheetView zoomScale="75" workbookViewId="0">
      <selection activeCell="I10" sqref="I10"/>
    </sheetView>
  </sheetViews>
  <sheetFormatPr defaultRowHeight="15.6"/>
  <cols>
    <col min="2" max="2" width="18.44140625" customWidth="1"/>
    <col min="13" max="13" width="9.44140625" bestFit="1" customWidth="1"/>
    <col min="16" max="16" width="10.6640625" customWidth="1"/>
  </cols>
  <sheetData>
    <row r="2" spans="1:17" ht="18">
      <c r="B2" s="82" t="s">
        <v>47</v>
      </c>
    </row>
    <row r="3" spans="1:17" ht="21">
      <c r="B3" s="82" t="s">
        <v>48</v>
      </c>
      <c r="C3" s="83" t="s">
        <v>49</v>
      </c>
      <c r="H3" s="58"/>
      <c r="J3" s="58"/>
    </row>
    <row r="4" spans="1:17" ht="18">
      <c r="B4" s="82" t="s">
        <v>50</v>
      </c>
      <c r="C4" s="83"/>
      <c r="H4" s="58"/>
      <c r="I4" s="58"/>
      <c r="J4" s="58"/>
    </row>
    <row r="5" spans="1:17">
      <c r="F5" s="155" t="s">
        <v>51</v>
      </c>
      <c r="G5" s="155"/>
      <c r="I5" s="58" t="s">
        <v>52</v>
      </c>
    </row>
    <row r="6" spans="1:17">
      <c r="A6" s="44"/>
      <c r="B6" s="60" t="s">
        <v>41</v>
      </c>
      <c r="C6" s="49">
        <v>200</v>
      </c>
      <c r="D6" s="44" t="s">
        <v>42</v>
      </c>
      <c r="F6" s="154"/>
      <c r="G6" s="154"/>
      <c r="I6" s="81">
        <f>Scaling!E26</f>
        <v>195.4</v>
      </c>
      <c r="J6" s="84" t="s">
        <v>42</v>
      </c>
      <c r="O6" s="3"/>
      <c r="P6" s="2"/>
    </row>
    <row r="7" spans="1:17">
      <c r="A7" s="44"/>
      <c r="B7" s="60" t="s">
        <v>53</v>
      </c>
      <c r="C7" s="49">
        <v>35</v>
      </c>
      <c r="D7" s="44" t="s">
        <v>54</v>
      </c>
      <c r="F7" s="154"/>
      <c r="G7" s="154"/>
      <c r="I7" s="81">
        <f>C7</f>
        <v>35</v>
      </c>
      <c r="J7" s="84" t="s">
        <v>54</v>
      </c>
    </row>
    <row r="8" spans="1:17">
      <c r="A8" s="44"/>
      <c r="B8" s="60" t="s">
        <v>55</v>
      </c>
      <c r="C8" s="49">
        <v>35</v>
      </c>
      <c r="D8" s="44" t="s">
        <v>54</v>
      </c>
      <c r="F8" s="154"/>
      <c r="G8" s="154"/>
      <c r="I8" s="81">
        <f>C8</f>
        <v>35</v>
      </c>
      <c r="J8" s="84" t="s">
        <v>54</v>
      </c>
      <c r="O8" t="s">
        <v>56</v>
      </c>
      <c r="P8" s="16">
        <f>Scaling!E28</f>
        <v>2</v>
      </c>
    </row>
    <row r="9" spans="1:17">
      <c r="A9" s="44"/>
      <c r="B9" s="60"/>
      <c r="C9" s="49"/>
      <c r="D9" s="44"/>
      <c r="F9" s="154"/>
      <c r="G9" s="154"/>
      <c r="I9" s="81"/>
      <c r="J9" s="84"/>
      <c r="P9" s="2"/>
    </row>
    <row r="10" spans="1:17" ht="18.95" thickBot="1">
      <c r="A10" s="44"/>
      <c r="B10" s="60" t="s">
        <v>57</v>
      </c>
      <c r="C10" s="49">
        <v>100</v>
      </c>
      <c r="D10" s="44" t="s">
        <v>39</v>
      </c>
      <c r="F10" s="154">
        <v>2</v>
      </c>
      <c r="G10" s="154"/>
      <c r="I10" s="27">
        <f>C10*(I6/C6)^F10</f>
        <v>95.4529</v>
      </c>
      <c r="J10" s="84" t="s">
        <v>39</v>
      </c>
      <c r="P10" s="2"/>
    </row>
    <row r="11" spans="1:17">
      <c r="A11" s="44"/>
      <c r="B11" s="60" t="s">
        <v>58</v>
      </c>
      <c r="C11" s="49">
        <f>C6/SQRT(C10)</f>
        <v>20</v>
      </c>
      <c r="D11" s="44"/>
      <c r="F11" s="154"/>
      <c r="G11" s="154"/>
      <c r="I11" s="81">
        <f>I6/SQRT(I10)</f>
        <v>20</v>
      </c>
      <c r="J11" s="84"/>
      <c r="M11" s="17"/>
      <c r="N11" s="25"/>
      <c r="O11" s="85"/>
      <c r="P11" s="86"/>
      <c r="Q11" s="19"/>
    </row>
    <row r="12" spans="1:17" ht="18.600000000000001">
      <c r="A12" s="44"/>
      <c r="B12" s="60" t="s">
        <v>59</v>
      </c>
      <c r="C12" s="49">
        <v>934</v>
      </c>
      <c r="D12" s="44"/>
      <c r="F12" s="154"/>
      <c r="G12" s="154"/>
      <c r="I12" s="27">
        <f>I13/I10</f>
        <v>934</v>
      </c>
      <c r="J12" s="84"/>
      <c r="M12" s="20"/>
      <c r="O12" s="3" t="s">
        <v>60</v>
      </c>
      <c r="P12" s="27">
        <f>P8*I30</f>
        <v>690.28821252285093</v>
      </c>
      <c r="Q12" s="21" t="s">
        <v>39</v>
      </c>
    </row>
    <row r="13" spans="1:17" ht="18.600000000000001">
      <c r="A13" s="44"/>
      <c r="B13" s="60" t="s">
        <v>61</v>
      </c>
      <c r="C13" s="47">
        <f>C10*C12</f>
        <v>93400</v>
      </c>
      <c r="D13" s="44" t="s">
        <v>39</v>
      </c>
      <c r="F13" s="154">
        <v>2</v>
      </c>
      <c r="G13" s="154"/>
      <c r="I13" s="27">
        <f>($I$6/$C$6)^F13*C13</f>
        <v>89153.008600000001</v>
      </c>
      <c r="J13" s="84" t="s">
        <v>39</v>
      </c>
      <c r="M13" s="20"/>
      <c r="P13" s="7"/>
      <c r="Q13" s="21"/>
    </row>
    <row r="14" spans="1:17">
      <c r="A14" s="44"/>
      <c r="B14" s="44"/>
      <c r="C14" s="49"/>
      <c r="D14" s="44"/>
      <c r="F14" s="154"/>
      <c r="G14" s="154"/>
      <c r="I14" s="81"/>
      <c r="J14" s="84"/>
      <c r="M14" s="20"/>
      <c r="O14" s="3" t="s">
        <v>62</v>
      </c>
      <c r="P14" s="27">
        <f>P8*I32</f>
        <v>5604</v>
      </c>
      <c r="Q14" s="21"/>
    </row>
    <row r="15" spans="1:17" ht="18.600000000000001">
      <c r="A15" s="44"/>
      <c r="B15" s="60" t="s">
        <v>63</v>
      </c>
      <c r="C15" s="45">
        <v>52.2</v>
      </c>
      <c r="D15" s="44" t="s">
        <v>64</v>
      </c>
      <c r="F15" s="154">
        <v>2</v>
      </c>
      <c r="G15" s="154"/>
      <c r="I15" s="26">
        <f>($I$6/$C$6)^F15*C15</f>
        <v>49.826413799999997</v>
      </c>
      <c r="J15" s="84" t="s">
        <v>64</v>
      </c>
      <c r="M15" s="20"/>
      <c r="O15" s="3" t="s">
        <v>45</v>
      </c>
      <c r="P15" s="27">
        <f>P8*I33</f>
        <v>534918.05160000001</v>
      </c>
      <c r="Q15" s="21" t="s">
        <v>39</v>
      </c>
    </row>
    <row r="16" spans="1:17">
      <c r="A16" s="44"/>
      <c r="B16" s="44"/>
      <c r="C16" s="49"/>
      <c r="D16" s="44"/>
      <c r="F16" s="154"/>
      <c r="G16" s="154"/>
      <c r="I16" s="81"/>
      <c r="J16" s="84"/>
      <c r="M16" s="20"/>
      <c r="O16" s="3" t="s">
        <v>65</v>
      </c>
      <c r="P16" s="27">
        <f>P8*I34</f>
        <v>298.95848279999996</v>
      </c>
      <c r="Q16" s="21" t="s">
        <v>64</v>
      </c>
    </row>
    <row r="17" spans="1:17" ht="15.95" thickBot="1">
      <c r="A17" s="44"/>
      <c r="B17" s="60"/>
      <c r="C17" s="49"/>
      <c r="D17" s="44"/>
      <c r="F17" s="154"/>
      <c r="G17" s="154"/>
      <c r="I17" s="81"/>
      <c r="J17" s="84"/>
      <c r="M17" s="22"/>
      <c r="N17" s="23"/>
      <c r="O17" s="23"/>
      <c r="P17" s="23"/>
      <c r="Q17" s="24"/>
    </row>
    <row r="18" spans="1:17">
      <c r="A18" s="44"/>
      <c r="B18" s="60" t="s">
        <v>66</v>
      </c>
      <c r="C18" s="47">
        <f>AVERAGE('Annual Performance Details'!J64,'Annual Performance Details'!AK64,'Annual Performance Details'!BL64)</f>
        <v>61219.805769333347</v>
      </c>
      <c r="D18" s="44" t="s">
        <v>67</v>
      </c>
      <c r="F18" s="154">
        <v>2</v>
      </c>
      <c r="G18" s="154"/>
      <c r="I18" s="27">
        <f>($I$6/$C$6)^F18*C18</f>
        <v>58436.079981195988</v>
      </c>
      <c r="J18" s="84" t="s">
        <v>67</v>
      </c>
    </row>
    <row r="19" spans="1:17">
      <c r="A19" s="44"/>
      <c r="B19" s="60" t="s">
        <v>68</v>
      </c>
      <c r="C19" s="46">
        <f>PRODUCT('Annual Performance Details'!J12:J15)</f>
        <v>0.65839662923427333</v>
      </c>
      <c r="D19" s="44"/>
      <c r="F19" s="154"/>
      <c r="G19" s="154"/>
      <c r="I19" s="80">
        <f>C19</f>
        <v>0.65839662923427333</v>
      </c>
      <c r="J19" s="84"/>
    </row>
    <row r="20" spans="1:17">
      <c r="A20" s="44"/>
      <c r="B20" s="44"/>
      <c r="C20" s="49"/>
      <c r="D20" s="44"/>
      <c r="F20" s="154"/>
      <c r="G20" s="154"/>
      <c r="I20" s="81"/>
      <c r="J20" s="84"/>
    </row>
    <row r="21" spans="1:17">
      <c r="A21" s="44"/>
      <c r="B21" s="60" t="s">
        <v>69</v>
      </c>
      <c r="C21" s="49">
        <v>2.97</v>
      </c>
      <c r="D21" s="44"/>
      <c r="F21" s="154"/>
      <c r="G21" s="154"/>
      <c r="I21" s="81">
        <f>C21</f>
        <v>2.97</v>
      </c>
      <c r="J21" s="84"/>
    </row>
    <row r="22" spans="1:17" ht="15.95" thickBot="1">
      <c r="A22" s="44"/>
      <c r="B22" s="60" t="s">
        <v>70</v>
      </c>
      <c r="C22" s="46">
        <f>'Annual Performance Details'!J16</f>
        <v>0.91525525676245822</v>
      </c>
      <c r="D22" s="44"/>
      <c r="F22" s="154"/>
      <c r="G22" s="154"/>
      <c r="I22" s="80">
        <f>C22</f>
        <v>0.91525525676245822</v>
      </c>
      <c r="J22" s="84"/>
      <c r="P22" s="70" t="s">
        <v>71</v>
      </c>
    </row>
    <row r="23" spans="1:17">
      <c r="A23" s="44"/>
      <c r="B23" s="60" t="s">
        <v>72</v>
      </c>
      <c r="C23" s="47">
        <f>AVERAGE('Annual Performance Details'!M64,'Annual Performance Details'!AN64,'Annual Performance Details'!BO64)</f>
        <v>56019.190653333331</v>
      </c>
      <c r="D23" s="44" t="s">
        <v>67</v>
      </c>
      <c r="F23" s="154">
        <v>2</v>
      </c>
      <c r="G23" s="154"/>
      <c r="I23" s="27">
        <f>($I$6/$C$6)^F23*C23</f>
        <v>53471.942035135609</v>
      </c>
      <c r="J23" s="84" t="s">
        <v>67</v>
      </c>
      <c r="M23" s="17"/>
      <c r="N23" s="25"/>
      <c r="O23" s="25"/>
      <c r="P23" s="18"/>
      <c r="Q23" s="19"/>
    </row>
    <row r="24" spans="1:17">
      <c r="A24" s="44"/>
      <c r="B24" s="60" t="s">
        <v>73</v>
      </c>
      <c r="C24" s="47">
        <f>AVERAGE('Annual Performance Details'!O64,'Annual Performance Details'!AP64,'Annual Performance Details'!BQ64)</f>
        <v>3868.3242333505095</v>
      </c>
      <c r="D24" s="49"/>
      <c r="F24" s="154"/>
      <c r="G24" s="154"/>
      <c r="I24" s="27">
        <f>C24</f>
        <v>3868.3242333505095</v>
      </c>
      <c r="J24" s="84"/>
      <c r="M24" s="20"/>
      <c r="O24" s="3" t="s">
        <v>74</v>
      </c>
      <c r="P24" s="27">
        <f>P8*I36/1000</f>
        <v>350.61647988717596</v>
      </c>
      <c r="Q24" s="21" t="s">
        <v>75</v>
      </c>
    </row>
    <row r="25" spans="1:17">
      <c r="A25" s="44"/>
      <c r="B25" s="44"/>
      <c r="C25" s="44"/>
      <c r="D25" s="44"/>
      <c r="F25" s="154"/>
      <c r="G25" s="154"/>
      <c r="I25" s="81"/>
      <c r="J25" s="84"/>
      <c r="M25" s="20"/>
      <c r="O25" s="3" t="s">
        <v>76</v>
      </c>
      <c r="P25" s="27">
        <f>P8*I37/1000</f>
        <v>320.83165221081367</v>
      </c>
      <c r="Q25" s="21" t="s">
        <v>75</v>
      </c>
    </row>
    <row r="26" spans="1:17" ht="18.95" thickBot="1">
      <c r="A26" s="44"/>
      <c r="B26" s="60" t="s">
        <v>77</v>
      </c>
      <c r="C26" s="45">
        <f>'Annual Performance Details'!C22</f>
        <v>120.24846353450793</v>
      </c>
      <c r="D26" s="44" t="s">
        <v>39</v>
      </c>
      <c r="F26" s="154">
        <v>1.9</v>
      </c>
      <c r="G26" s="154"/>
      <c r="I26" s="26">
        <f>($I$6/$C$6)^F26*C26</f>
        <v>115.04803542047514</v>
      </c>
      <c r="J26" s="84" t="s">
        <v>39</v>
      </c>
      <c r="M26" s="22"/>
      <c r="N26" s="23"/>
      <c r="O26" s="23"/>
      <c r="P26" s="23"/>
      <c r="Q26" s="24"/>
    </row>
    <row r="27" spans="1:17">
      <c r="A27" s="44"/>
      <c r="B27" s="44"/>
      <c r="C27" s="44"/>
      <c r="D27" s="44"/>
      <c r="I27" s="84"/>
      <c r="J27" s="84"/>
    </row>
    <row r="28" spans="1:17">
      <c r="A28" s="44"/>
      <c r="B28" s="60" t="s">
        <v>78</v>
      </c>
      <c r="C28" s="49">
        <v>3</v>
      </c>
      <c r="D28" s="44"/>
      <c r="I28" s="81">
        <f>C28</f>
        <v>3</v>
      </c>
      <c r="J28" s="84"/>
    </row>
    <row r="29" spans="1:17">
      <c r="A29" s="44"/>
      <c r="B29" s="60"/>
      <c r="C29" s="49"/>
      <c r="D29" s="44"/>
      <c r="I29" s="84"/>
      <c r="J29" s="84"/>
    </row>
    <row r="30" spans="1:17" ht="18.600000000000001">
      <c r="A30" s="44"/>
      <c r="B30" s="60" t="s">
        <v>60</v>
      </c>
      <c r="C30" s="45">
        <f>C28*C26</f>
        <v>360.74539060352379</v>
      </c>
      <c r="D30" s="44" t="s">
        <v>39</v>
      </c>
      <c r="I30" s="26">
        <f>I28*I26</f>
        <v>345.14410626142546</v>
      </c>
      <c r="J30" s="84" t="s">
        <v>39</v>
      </c>
    </row>
    <row r="31" spans="1:17">
      <c r="A31" s="44"/>
      <c r="B31" s="44"/>
      <c r="C31" s="44"/>
      <c r="D31" s="44"/>
      <c r="I31" s="84"/>
      <c r="J31" s="84"/>
    </row>
    <row r="32" spans="1:17">
      <c r="A32" s="44"/>
      <c r="B32" s="60" t="s">
        <v>62</v>
      </c>
      <c r="C32" s="49">
        <f>C28*C12</f>
        <v>2802</v>
      </c>
      <c r="D32" s="44"/>
      <c r="I32" s="27">
        <f>I28*I12</f>
        <v>2802</v>
      </c>
      <c r="J32" s="84"/>
    </row>
    <row r="33" spans="1:13" ht="18.600000000000001">
      <c r="A33" s="44"/>
      <c r="B33" s="60" t="s">
        <v>45</v>
      </c>
      <c r="C33" s="47">
        <f>C28*C13</f>
        <v>280200</v>
      </c>
      <c r="D33" s="44" t="s">
        <v>39</v>
      </c>
      <c r="I33" s="27">
        <f>I28*I13</f>
        <v>267459.0258</v>
      </c>
      <c r="J33" s="84" t="s">
        <v>39</v>
      </c>
    </row>
    <row r="34" spans="1:13">
      <c r="A34" s="44"/>
      <c r="B34" s="60" t="s">
        <v>65</v>
      </c>
      <c r="C34" s="49">
        <f>C15*C28</f>
        <v>156.60000000000002</v>
      </c>
      <c r="D34" s="44" t="s">
        <v>64</v>
      </c>
      <c r="I34" s="27">
        <f>I15*I28</f>
        <v>149.47924139999998</v>
      </c>
      <c r="J34" s="84" t="s">
        <v>64</v>
      </c>
      <c r="L34" s="2">
        <f>I34*4047</f>
        <v>604942.48994579993</v>
      </c>
      <c r="M34" s="4">
        <f>I33/L34</f>
        <v>0.44212306168800131</v>
      </c>
    </row>
    <row r="35" spans="1:13">
      <c r="A35" s="44"/>
      <c r="B35" s="44"/>
      <c r="C35" s="44"/>
      <c r="D35" s="44"/>
      <c r="I35" s="84"/>
      <c r="J35" s="84"/>
    </row>
    <row r="36" spans="1:13">
      <c r="A36" s="44"/>
      <c r="B36" s="60" t="s">
        <v>74</v>
      </c>
      <c r="C36" s="47">
        <f>SUM('Annual Performance Details'!J64,'Annual Performance Details'!AK64,'Annual Performance Details'!BL64)</f>
        <v>183659.41730800003</v>
      </c>
      <c r="D36" s="44" t="s">
        <v>67</v>
      </c>
      <c r="I36" s="27">
        <f>I28*I18</f>
        <v>175308.23994358798</v>
      </c>
      <c r="J36" s="84" t="s">
        <v>67</v>
      </c>
    </row>
    <row r="37" spans="1:13">
      <c r="A37" s="44"/>
      <c r="B37" s="60" t="s">
        <v>76</v>
      </c>
      <c r="C37" s="47">
        <f>SUM('Annual Performance Details'!M64,'Annual Performance Details'!AN64,'Annual Performance Details'!BO64)</f>
        <v>168057.57196</v>
      </c>
      <c r="D37" s="44" t="s">
        <v>67</v>
      </c>
      <c r="I37" s="27">
        <f>I28*I23</f>
        <v>160415.82610540683</v>
      </c>
      <c r="J37" s="84" t="s">
        <v>67</v>
      </c>
    </row>
    <row r="38" spans="1:13">
      <c r="A38" s="44"/>
      <c r="B38" s="44"/>
      <c r="C38" s="44"/>
      <c r="D38" s="44"/>
      <c r="I38" s="27"/>
      <c r="J38" s="84"/>
    </row>
    <row r="39" spans="1:13">
      <c r="A39" s="44"/>
      <c r="B39" s="60" t="s">
        <v>79</v>
      </c>
      <c r="C39" s="46">
        <f>'Annual Performance Details'!J17</f>
        <v>0.60260097594135187</v>
      </c>
      <c r="D39" s="44"/>
      <c r="I39" s="80">
        <f>C39</f>
        <v>0.60260097594135187</v>
      </c>
      <c r="J39" s="84"/>
    </row>
    <row r="40" spans="1:13">
      <c r="A40" s="44"/>
      <c r="B40" s="44"/>
      <c r="C40" s="44"/>
      <c r="D40" s="44"/>
      <c r="I40" s="80"/>
      <c r="J40" s="84"/>
    </row>
    <row r="41" spans="1:13">
      <c r="A41" s="44"/>
      <c r="B41" s="60" t="s">
        <v>35</v>
      </c>
      <c r="C41" s="55">
        <f>Scaling!E19</f>
        <v>1350</v>
      </c>
      <c r="D41" s="44" t="s">
        <v>80</v>
      </c>
      <c r="I41" s="27">
        <f>C41</f>
        <v>1350</v>
      </c>
      <c r="J41" s="84" t="s">
        <v>80</v>
      </c>
    </row>
    <row r="42" spans="1:13">
      <c r="A42" s="44"/>
      <c r="B42" s="149" t="s">
        <v>81</v>
      </c>
      <c r="C42" s="51">
        <f>'Ann Perf at Site'!O27</f>
        <v>0.42498188291014871</v>
      </c>
      <c r="D42" s="44"/>
      <c r="I42" s="80">
        <f>C42</f>
        <v>0.42498188291014871</v>
      </c>
      <c r="J42" s="84"/>
    </row>
    <row r="43" spans="1:13">
      <c r="A43" s="44"/>
      <c r="B43" s="44"/>
      <c r="C43" s="44"/>
      <c r="D43" s="44"/>
      <c r="I43" s="80"/>
      <c r="J43" s="84"/>
    </row>
    <row r="44" spans="1:13">
      <c r="A44" s="44"/>
      <c r="B44" s="44"/>
      <c r="C44" s="44"/>
      <c r="D44" s="44"/>
      <c r="I44" s="80"/>
      <c r="J44" s="84"/>
    </row>
    <row r="45" spans="1:13">
      <c r="A45" s="44"/>
      <c r="B45" s="44"/>
      <c r="C45" s="44"/>
      <c r="D45" s="44"/>
      <c r="I45" s="80"/>
      <c r="J45" s="84"/>
    </row>
    <row r="46" spans="1:13">
      <c r="A46" s="44"/>
      <c r="B46" s="44"/>
      <c r="C46" s="44"/>
      <c r="D46" s="44"/>
      <c r="J46" s="84"/>
    </row>
    <row r="47" spans="1:13">
      <c r="A47" s="44"/>
      <c r="B47" s="44"/>
      <c r="C47" s="44"/>
      <c r="D47" s="44"/>
      <c r="I47" s="80"/>
      <c r="J47" s="84"/>
    </row>
    <row r="48" spans="1:13" ht="18.600000000000001">
      <c r="A48" s="44"/>
      <c r="B48" s="60" t="s">
        <v>82</v>
      </c>
      <c r="C48" s="49">
        <v>2787</v>
      </c>
      <c r="D48" s="44" t="s">
        <v>31</v>
      </c>
      <c r="I48" s="27">
        <f>C48</f>
        <v>2787</v>
      </c>
      <c r="J48" s="84" t="s">
        <v>31</v>
      </c>
    </row>
  </sheetData>
  <mergeCells count="22">
    <mergeCell ref="F17:G17"/>
    <mergeCell ref="F18:G18"/>
    <mergeCell ref="F19:G19"/>
    <mergeCell ref="F20:G20"/>
    <mergeCell ref="F25:G25"/>
    <mergeCell ref="F26:G26"/>
    <mergeCell ref="F21:G21"/>
    <mergeCell ref="F22:G22"/>
    <mergeCell ref="F23:G23"/>
    <mergeCell ref="F24:G24"/>
    <mergeCell ref="F16:G16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R71"/>
  <sheetViews>
    <sheetView topLeftCell="A16" workbookViewId="0">
      <selection activeCell="O24" sqref="O24"/>
    </sheetView>
  </sheetViews>
  <sheetFormatPr defaultRowHeight="15.6"/>
  <cols>
    <col min="1" max="1" width="32.109375" customWidth="1"/>
    <col min="3" max="3" width="9.44140625" bestFit="1" customWidth="1"/>
    <col min="15" max="15" width="10.44140625" customWidth="1"/>
  </cols>
  <sheetData>
    <row r="1" spans="1:18" ht="20.100000000000001">
      <c r="A1" s="116" t="s">
        <v>83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20.100000000000001">
      <c r="A2" s="11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17.45">
      <c r="A3" s="36"/>
      <c r="B3" s="117"/>
      <c r="C3" s="118" t="s">
        <v>35</v>
      </c>
      <c r="D3" s="119">
        <f>Scaling!E19</f>
        <v>1350</v>
      </c>
      <c r="E3" s="120" t="s">
        <v>84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ht="21">
      <c r="A5" s="36"/>
      <c r="B5" s="157" t="s">
        <v>85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36"/>
      <c r="P5" s="36"/>
      <c r="Q5" s="36"/>
      <c r="R5" s="36"/>
    </row>
    <row r="6" spans="1:18">
      <c r="A6" s="36"/>
      <c r="B6" s="118"/>
      <c r="C6" s="156" t="s">
        <v>86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36"/>
      <c r="P6" s="36"/>
      <c r="Q6" s="36"/>
      <c r="R6" s="36"/>
    </row>
    <row r="7" spans="1:18">
      <c r="A7" s="36"/>
      <c r="B7" s="119" t="s">
        <v>87</v>
      </c>
      <c r="C7" s="119">
        <v>1</v>
      </c>
      <c r="D7" s="119">
        <v>2</v>
      </c>
      <c r="E7" s="119">
        <v>3</v>
      </c>
      <c r="F7" s="119">
        <v>4</v>
      </c>
      <c r="G7" s="119">
        <v>5</v>
      </c>
      <c r="H7" s="119">
        <v>6</v>
      </c>
      <c r="I7" s="119">
        <v>7</v>
      </c>
      <c r="J7" s="119">
        <v>8</v>
      </c>
      <c r="K7" s="119">
        <v>9</v>
      </c>
      <c r="L7" s="119">
        <v>10</v>
      </c>
      <c r="M7" s="119">
        <v>11</v>
      </c>
      <c r="N7" s="119">
        <v>12</v>
      </c>
      <c r="O7" s="36"/>
      <c r="P7" s="36"/>
      <c r="Q7" s="36"/>
      <c r="R7" s="36"/>
    </row>
    <row r="8" spans="1:18">
      <c r="A8" s="36"/>
      <c r="B8" s="119">
        <v>6</v>
      </c>
      <c r="C8" s="36"/>
      <c r="D8" s="36"/>
      <c r="E8" s="36"/>
      <c r="F8" s="36"/>
      <c r="G8" s="121">
        <f>'Annual Performance Details'!$Q89*(IF(ISNA('Annual Performance Details'!$S89),0,'Annual Performance Details'!$S89)+IF(ISNA('Annual Performance Details'!$AT89),0,'Annual Performance Details'!$AT89)+IF(ISNA('Annual Performance Details'!$BU89),0,'Annual Performance Details'!$BU89))/3</f>
        <v>10.70152203581125</v>
      </c>
      <c r="H8" s="121">
        <f>'Annual Performance Details'!$Q104*(IF(ISNA('Annual Performance Details'!$S104),0,'Annual Performance Details'!$S104)+IF(ISNA('Annual Performance Details'!$AT104),0,'Annual Performance Details'!$AT104)+IF(ISNA('Annual Performance Details'!$BU104),0,'Annual Performance Details'!$BU104))/3</f>
        <v>51.147836077538578</v>
      </c>
      <c r="I8" s="121">
        <f>'Annual Performance Details'!$Q119*(IF(ISNA('Annual Performance Details'!$S119),0,'Annual Performance Details'!$S119)+IF(ISNA('Annual Performance Details'!$AT119),0,'Annual Performance Details'!$AT119)+IF(ISNA('Annual Performance Details'!$BU119),0,'Annual Performance Details'!$BU119))/3</f>
        <v>10.818333827031809</v>
      </c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36"/>
      <c r="B9" s="119">
        <v>7</v>
      </c>
      <c r="C9" s="36"/>
      <c r="D9" s="36"/>
      <c r="E9" s="121">
        <f>'Annual Performance Details'!$Q61*(IF(ISNA('Annual Performance Details'!$S61),0,'Annual Performance Details'!$S61)+IF(ISNA('Annual Performance Details'!$AT61),0,'Annual Performance Details'!$AT61)+IF(ISNA('Annual Performance Details'!$BU61),0,'Annual Performance Details'!$BU61))/3</f>
        <v>15.704511710474364</v>
      </c>
      <c r="F9" s="121">
        <f>'Annual Performance Details'!$Q76*(IF(ISNA('Annual Performance Details'!$S76),0,'Annual Performance Details'!$S76)+IF(ISNA('Annual Performance Details'!$AT76),0,'Annual Performance Details'!$AT76)+IF(ISNA('Annual Performance Details'!$BU76),0,'Annual Performance Details'!$BU76))/3</f>
        <v>112.19304430511886</v>
      </c>
      <c r="G9" s="121">
        <f>'Annual Performance Details'!$Q90*(IF(ISNA('Annual Performance Details'!$S90),0,'Annual Performance Details'!$S90)+IF(ISNA('Annual Performance Details'!$AT90),0,'Annual Performance Details'!$AT90)+IF(ISNA('Annual Performance Details'!$BU90),0,'Annual Performance Details'!$BU90))/3</f>
        <v>166.67446654061885</v>
      </c>
      <c r="H9" s="121">
        <f>'Annual Performance Details'!$Q105*(IF(ISNA('Annual Performance Details'!$S105),0,'Annual Performance Details'!$S105)+IF(ISNA('Annual Performance Details'!$AT105),0,'Annual Performance Details'!$AT105)+IF(ISNA('Annual Performance Details'!$BU105),0,'Annual Performance Details'!$BU105))/3</f>
        <v>219.72877117342725</v>
      </c>
      <c r="I9" s="121">
        <f>'Annual Performance Details'!$Q120*(IF(ISNA('Annual Performance Details'!$S120),0,'Annual Performance Details'!$S120)+IF(ISNA('Annual Performance Details'!$AT120),0,'Annual Performance Details'!$AT120)+IF(ISNA('Annual Performance Details'!$BU120),0,'Annual Performance Details'!$BU120))/3</f>
        <v>163.85738234232733</v>
      </c>
      <c r="J9" s="121">
        <f>'Annual Performance Details'!$Q134*(IF(ISNA('Annual Performance Details'!$S134),0,'Annual Performance Details'!$S134)+IF(ISNA('Annual Performance Details'!$AT134),0,'Annual Performance Details'!$AT134)+IF(ISNA('Annual Performance Details'!$BU134),0,'Annual Performance Details'!$BU134))/3</f>
        <v>110.07347179935108</v>
      </c>
      <c r="K9" s="121">
        <f>'Annual Performance Details'!$Q148*(IF(ISNA('Annual Performance Details'!$S148),0,'Annual Performance Details'!$S148)+IF(ISNA('Annual Performance Details'!$AT148),0,'Annual Performance Details'!$AT148)+IF(ISNA('Annual Performance Details'!$BU148),0,'Annual Performance Details'!$BU148))/3</f>
        <v>68.744596637321692</v>
      </c>
      <c r="L9" s="36"/>
      <c r="M9" s="36"/>
      <c r="N9" s="36"/>
      <c r="O9" s="36"/>
      <c r="P9" s="36"/>
      <c r="Q9" s="36"/>
      <c r="R9" s="36"/>
    </row>
    <row r="10" spans="1:18">
      <c r="A10" s="36"/>
      <c r="B10" s="119">
        <v>8</v>
      </c>
      <c r="C10" s="121">
        <f>'Annual Performance Details'!$Q35*(IF(ISNA('Annual Performance Details'!$S35),0,'Annual Performance Details'!$S35)+IF(ISNA('Annual Performance Details'!$AT35),0,'Annual Performance Details'!$AT35)+IF(ISNA('Annual Performance Details'!$BU35),0,'Annual Performance Details'!$BU35))/3</f>
        <v>21.428993546746295</v>
      </c>
      <c r="D10" s="121">
        <f>'Annual Performance Details'!$Q47*(IF(ISNA('Annual Performance Details'!$S47),0,'Annual Performance Details'!$S47)+IF(ISNA('Annual Performance Details'!$AT47),0,'Annual Performance Details'!$AT47)+IF(ISNA('Annual Performance Details'!$BU47),0,'Annual Performance Details'!$BU47))/3</f>
        <v>97.116633460365122</v>
      </c>
      <c r="E10" s="121">
        <f>'Annual Performance Details'!$Q62*(IF(ISNA('Annual Performance Details'!$S62),0,'Annual Performance Details'!$S62)+IF(ISNA('Annual Performance Details'!$AT62),0,'Annual Performance Details'!$AT62)+IF(ISNA('Annual Performance Details'!$BU62),0,'Annual Performance Details'!$BU62))/3</f>
        <v>196.75935927788029</v>
      </c>
      <c r="F10" s="121">
        <f>'Annual Performance Details'!$Q77*(IF(ISNA('Annual Performance Details'!$S77),0,'Annual Performance Details'!$S77)+IF(ISNA('Annual Performance Details'!$AT77),0,'Annual Performance Details'!$AT77)+IF(ISNA('Annual Performance Details'!$BU77),0,'Annual Performance Details'!$BU77))/3</f>
        <v>277.58121259919454</v>
      </c>
      <c r="G10" s="121">
        <f>'Annual Performance Details'!$Q91*(IF(ISNA('Annual Performance Details'!$S91),0,'Annual Performance Details'!$S91)+IF(ISNA('Annual Performance Details'!$AT91),0,'Annual Performance Details'!$AT91)+IF(ISNA('Annual Performance Details'!$BU91),0,'Annual Performance Details'!$BU91))/3</f>
        <v>299.80482883474053</v>
      </c>
      <c r="H10" s="121">
        <f>'Annual Performance Details'!$Q106*(IF(ISNA('Annual Performance Details'!$S106),0,'Annual Performance Details'!$S106)+IF(ISNA('Annual Performance Details'!$AT106),0,'Annual Performance Details'!$AT106)+IF(ISNA('Annual Performance Details'!$BU106),0,'Annual Performance Details'!$BU106))/3</f>
        <v>345.50055637647739</v>
      </c>
      <c r="I10" s="121">
        <f>'Annual Performance Details'!$Q121*(IF(ISNA('Annual Performance Details'!$S121),0,'Annual Performance Details'!$S121)+IF(ISNA('Annual Performance Details'!$AT121),0,'Annual Performance Details'!$AT121)+IF(ISNA('Annual Performance Details'!$BU121),0,'Annual Performance Details'!$BU121))/3</f>
        <v>295.0709328969312</v>
      </c>
      <c r="J10" s="121">
        <f>'Annual Performance Details'!$Q135*(IF(ISNA('Annual Performance Details'!$S135),0,'Annual Performance Details'!$S135)+IF(ISNA('Annual Performance Details'!$AT135),0,'Annual Performance Details'!$AT135)+IF(ISNA('Annual Performance Details'!$BU135),0,'Annual Performance Details'!$BU135))/3</f>
        <v>271.61374060887664</v>
      </c>
      <c r="K10" s="121">
        <f>'Annual Performance Details'!$Q149*(IF(ISNA('Annual Performance Details'!$S149),0,'Annual Performance Details'!$S149)+IF(ISNA('Annual Performance Details'!$AT149),0,'Annual Performance Details'!$AT149)+IF(ISNA('Annual Performance Details'!$BU149),0,'Annual Performance Details'!$BU149))/3</f>
        <v>250.51536310498534</v>
      </c>
      <c r="L10" s="121">
        <f>'Annual Performance Details'!$Q162*(IF(ISNA('Annual Performance Details'!$S162),0,'Annual Performance Details'!$S162)+IF(ISNA('Annual Performance Details'!$AT162),0,'Annual Performance Details'!$AT162)+IF(ISNA('Annual Performance Details'!$BU162),0,'Annual Performance Details'!$BU162))/3</f>
        <v>175.98322220620335</v>
      </c>
      <c r="M10" s="121">
        <f>'Annual Performance Details'!$Q175*(IF(ISNA('Annual Performance Details'!$S175),0,'Annual Performance Details'!$S175)+IF(ISNA('Annual Performance Details'!$AT175),0,'Annual Performance Details'!$AT175)+IF(ISNA('Annual Performance Details'!$BU175),0,'Annual Performance Details'!$BU175))/3</f>
        <v>104.51095009859108</v>
      </c>
      <c r="N10" s="121">
        <f>'Annual Performance Details'!$Q188*(IF(ISNA('Annual Performance Details'!$S188),0,'Annual Performance Details'!$S188)+IF(ISNA('Annual Performance Details'!$AT188),0,'Annual Performance Details'!$AT188)+IF(ISNA('Annual Performance Details'!$BU188),0,'Annual Performance Details'!$BU188))/3</f>
        <v>26.707725969340157</v>
      </c>
      <c r="O10" s="36"/>
      <c r="P10" s="36"/>
      <c r="Q10" s="36"/>
      <c r="R10" s="36"/>
    </row>
    <row r="11" spans="1:18">
      <c r="A11" s="36"/>
      <c r="B11" s="119">
        <v>9</v>
      </c>
      <c r="C11" s="121">
        <f>'Annual Performance Details'!$Q36*(IF(ISNA('Annual Performance Details'!$S36),0,'Annual Performance Details'!$S36)+IF(ISNA('Annual Performance Details'!$AT36),0,'Annual Performance Details'!$AT36)+IF(ISNA('Annual Performance Details'!$BU36),0,'Annual Performance Details'!$BU36))/3</f>
        <v>171.50359101493447</v>
      </c>
      <c r="D11" s="121">
        <f>'Annual Performance Details'!$Q48*(IF(ISNA('Annual Performance Details'!$S48),0,'Annual Performance Details'!$S48)+IF(ISNA('Annual Performance Details'!$AT48),0,'Annual Performance Details'!$AT48)+IF(ISNA('Annual Performance Details'!$BU48),0,'Annual Performance Details'!$BU48))/3</f>
        <v>221.32325646552727</v>
      </c>
      <c r="E11" s="121">
        <f>'Annual Performance Details'!$Q63*(IF(ISNA('Annual Performance Details'!$S63),0,'Annual Performance Details'!$S63)+IF(ISNA('Annual Performance Details'!$AT63),0,'Annual Performance Details'!$AT63)+IF(ISNA('Annual Performance Details'!$BU63),0,'Annual Performance Details'!$BU63))/3</f>
        <v>330.76993905281063</v>
      </c>
      <c r="F11" s="121">
        <f>'Annual Performance Details'!$Q78*(IF(ISNA('Annual Performance Details'!$S78),0,'Annual Performance Details'!$S78)+IF(ISNA('Annual Performance Details'!$AT78),0,'Annual Performance Details'!$AT78)+IF(ISNA('Annual Performance Details'!$BU78),0,'Annual Performance Details'!$BU78))/3</f>
        <v>409.07294513890429</v>
      </c>
      <c r="G11" s="121">
        <f>'Annual Performance Details'!$Q92*(IF(ISNA('Annual Performance Details'!$S92),0,'Annual Performance Details'!$S92)+IF(ISNA('Annual Performance Details'!$AT92),0,'Annual Performance Details'!$AT92)+IF(ISNA('Annual Performance Details'!$BU92),0,'Annual Performance Details'!$BU92))/3</f>
        <v>383.85842931817405</v>
      </c>
      <c r="H11" s="121">
        <f>'Annual Performance Details'!$Q107*(IF(ISNA('Annual Performance Details'!$S107),0,'Annual Performance Details'!$S107)+IF(ISNA('Annual Performance Details'!$AT107),0,'Annual Performance Details'!$AT107)+IF(ISNA('Annual Performance Details'!$BU107),0,'Annual Performance Details'!$BU107))/3</f>
        <v>428.94308126284733</v>
      </c>
      <c r="I11" s="121">
        <f>'Annual Performance Details'!$Q122*(IF(ISNA('Annual Performance Details'!$S122),0,'Annual Performance Details'!$S122)+IF(ISNA('Annual Performance Details'!$AT122),0,'Annual Performance Details'!$AT122)+IF(ISNA('Annual Performance Details'!$BU122),0,'Annual Performance Details'!$BU122))/3</f>
        <v>381.45972608822314</v>
      </c>
      <c r="J11" s="121">
        <f>'Annual Performance Details'!$Q136*(IF(ISNA('Annual Performance Details'!$S136),0,'Annual Performance Details'!$S136)+IF(ISNA('Annual Performance Details'!$AT136),0,'Annual Performance Details'!$AT136)+IF(ISNA('Annual Performance Details'!$BU136),0,'Annual Performance Details'!$BU136))/3</f>
        <v>378.48126507779278</v>
      </c>
      <c r="K11" s="121">
        <f>'Annual Performance Details'!$Q150*(IF(ISNA('Annual Performance Details'!$S150),0,'Annual Performance Details'!$S150)+IF(ISNA('Annual Performance Details'!$AT150),0,'Annual Performance Details'!$AT150)+IF(ISNA('Annual Performance Details'!$BU150),0,'Annual Performance Details'!$BU150))/3</f>
        <v>375.90837753926036</v>
      </c>
      <c r="L11" s="121">
        <f>'Annual Performance Details'!$Q163*(IF(ISNA('Annual Performance Details'!$S163),0,'Annual Performance Details'!$S163)+IF(ISNA('Annual Performance Details'!$AT163),0,'Annual Performance Details'!$AT163)+IF(ISNA('Annual Performance Details'!$BU163),0,'Annual Performance Details'!$BU163))/3</f>
        <v>303.24781026762832</v>
      </c>
      <c r="M11" s="121">
        <f>'Annual Performance Details'!$Q176*(IF(ISNA('Annual Performance Details'!$S176),0,'Annual Performance Details'!$S176)+IF(ISNA('Annual Performance Details'!$AT176),0,'Annual Performance Details'!$AT176)+IF(ISNA('Annual Performance Details'!$BU176),0,'Annual Performance Details'!$BU176))/3</f>
        <v>245.80964669427257</v>
      </c>
      <c r="N11" s="121">
        <f>'Annual Performance Details'!$Q189*(IF(ISNA('Annual Performance Details'!$S189),0,'Annual Performance Details'!$S189)+IF(ISNA('Annual Performance Details'!$AT189),0,'Annual Performance Details'!$AT189)+IF(ISNA('Annual Performance Details'!$BU189),0,'Annual Performance Details'!$BU189))/3</f>
        <v>165.98500959096307</v>
      </c>
      <c r="O11" s="36"/>
      <c r="P11" s="36"/>
      <c r="Q11" s="36"/>
      <c r="R11" s="36"/>
    </row>
    <row r="12" spans="1:18">
      <c r="A12" s="36"/>
      <c r="B12" s="119">
        <v>10</v>
      </c>
      <c r="C12" s="121">
        <f>'Annual Performance Details'!$Q37*(IF(ISNA('Annual Performance Details'!$S37),0,'Annual Performance Details'!$S37)+IF(ISNA('Annual Performance Details'!$AT37),0,'Annual Performance Details'!$AT37)+IF(ISNA('Annual Performance Details'!$BU37),0,'Annual Performance Details'!$BU37))/3</f>
        <v>270.69225731523613</v>
      </c>
      <c r="D12" s="121">
        <f>'Annual Performance Details'!$Q49*(IF(ISNA('Annual Performance Details'!$S49),0,'Annual Performance Details'!$S49)+IF(ISNA('Annual Performance Details'!$AT49),0,'Annual Performance Details'!$AT49)+IF(ISNA('Annual Performance Details'!$BU49),0,'Annual Performance Details'!$BU49))/3</f>
        <v>296.90838622813311</v>
      </c>
      <c r="E12" s="121">
        <f>'Annual Performance Details'!$Q64*(IF(ISNA('Annual Performance Details'!$S64),0,'Annual Performance Details'!$S64)+IF(ISNA('Annual Performance Details'!$AT64),0,'Annual Performance Details'!$AT64)+IF(ISNA('Annual Performance Details'!$BU64),0,'Annual Performance Details'!$BU64))/3</f>
        <v>381.10054197435511</v>
      </c>
      <c r="F12" s="121">
        <f>'Annual Performance Details'!$Q79*(IF(ISNA('Annual Performance Details'!$S79),0,'Annual Performance Details'!$S79)+IF(ISNA('Annual Performance Details'!$AT79),0,'Annual Performance Details'!$AT79)+IF(ISNA('Annual Performance Details'!$BU79),0,'Annual Performance Details'!$BU79))/3</f>
        <v>463.40593163474068</v>
      </c>
      <c r="G12" s="121">
        <f>'Annual Performance Details'!$Q93*(IF(ISNA('Annual Performance Details'!$S93),0,'Annual Performance Details'!$S93)+IF(ISNA('Annual Performance Details'!$AT93),0,'Annual Performance Details'!$AT93)+IF(ISNA('Annual Performance Details'!$BU93),0,'Annual Performance Details'!$BU93))/3</f>
        <v>423.238498096797</v>
      </c>
      <c r="H12" s="121">
        <f>'Annual Performance Details'!$Q108*(IF(ISNA('Annual Performance Details'!$S108),0,'Annual Performance Details'!$S108)+IF(ISNA('Annual Performance Details'!$AT108),0,'Annual Performance Details'!$AT108)+IF(ISNA('Annual Performance Details'!$BU108),0,'Annual Performance Details'!$BU108))/3</f>
        <v>462.48283590227908</v>
      </c>
      <c r="I12" s="121">
        <f>'Annual Performance Details'!$Q123*(IF(ISNA('Annual Performance Details'!$S123),0,'Annual Performance Details'!$S123)+IF(ISNA('Annual Performance Details'!$AT123),0,'Annual Performance Details'!$AT123)+IF(ISNA('Annual Performance Details'!$BU123),0,'Annual Performance Details'!$BU123))/3</f>
        <v>431.10893324319551</v>
      </c>
      <c r="J12" s="121">
        <f>'Annual Performance Details'!$Q137*(IF(ISNA('Annual Performance Details'!$S137),0,'Annual Performance Details'!$S137)+IF(ISNA('Annual Performance Details'!$AT137),0,'Annual Performance Details'!$AT137)+IF(ISNA('Annual Performance Details'!$BU137),0,'Annual Performance Details'!$BU137))/3</f>
        <v>440.27896078832214</v>
      </c>
      <c r="K12" s="121">
        <f>'Annual Performance Details'!$Q151*(IF(ISNA('Annual Performance Details'!$S151),0,'Annual Performance Details'!$S151)+IF(ISNA('Annual Performance Details'!$AT151),0,'Annual Performance Details'!$AT151)+IF(ISNA('Annual Performance Details'!$BU151),0,'Annual Performance Details'!$BU151))/3</f>
        <v>443.14846088892313</v>
      </c>
      <c r="L12" s="121">
        <f>'Annual Performance Details'!$Q164*(IF(ISNA('Annual Performance Details'!$S164),0,'Annual Performance Details'!$S164)+IF(ISNA('Annual Performance Details'!$AT164),0,'Annual Performance Details'!$AT164)+IF(ISNA('Annual Performance Details'!$BU164),0,'Annual Performance Details'!$BU164))/3</f>
        <v>373.36352999534023</v>
      </c>
      <c r="M12" s="121">
        <f>'Annual Performance Details'!$Q177*(IF(ISNA('Annual Performance Details'!$S177),0,'Annual Performance Details'!$S177)+IF(ISNA('Annual Performance Details'!$AT177),0,'Annual Performance Details'!$AT177)+IF(ISNA('Annual Performance Details'!$BU177),0,'Annual Performance Details'!$BU177))/3</f>
        <v>318.01160051035532</v>
      </c>
      <c r="N12" s="121">
        <f>'Annual Performance Details'!$Q190*(IF(ISNA('Annual Performance Details'!$S190),0,'Annual Performance Details'!$S190)+IF(ISNA('Annual Performance Details'!$AT190),0,'Annual Performance Details'!$AT190)+IF(ISNA('Annual Performance Details'!$BU190),0,'Annual Performance Details'!$BU190))/3</f>
        <v>246.72958521304179</v>
      </c>
      <c r="O12" s="36"/>
      <c r="P12" s="36"/>
      <c r="Q12" s="36"/>
      <c r="R12" s="36"/>
    </row>
    <row r="13" spans="1:18">
      <c r="A13" s="36"/>
      <c r="B13" s="119">
        <v>11</v>
      </c>
      <c r="C13" s="121">
        <f>'Annual Performance Details'!$Q38*(IF(ISNA('Annual Performance Details'!$S38),0,'Annual Performance Details'!$S38)+IF(ISNA('Annual Performance Details'!$AT38),0,'Annual Performance Details'!$AT38)+IF(ISNA('Annual Performance Details'!$BU38),0,'Annual Performance Details'!$BU38))/3</f>
        <v>320.87889343949291</v>
      </c>
      <c r="D13" s="121">
        <f>'Annual Performance Details'!$Q50*(IF(ISNA('Annual Performance Details'!$S50),0,'Annual Performance Details'!$S50)+IF(ISNA('Annual Performance Details'!$AT50),0,'Annual Performance Details'!$AT50)+IF(ISNA('Annual Performance Details'!$BU50),0,'Annual Performance Details'!$BU50))/3</f>
        <v>331.65261657852051</v>
      </c>
      <c r="E13" s="121">
        <f>'Annual Performance Details'!$Q65*(IF(ISNA('Annual Performance Details'!$S65),0,'Annual Performance Details'!$S65)+IF(ISNA('Annual Performance Details'!$AT65),0,'Annual Performance Details'!$AT65)+IF(ISNA('Annual Performance Details'!$BU65),0,'Annual Performance Details'!$BU65))/3</f>
        <v>423.08930651315694</v>
      </c>
      <c r="F13" s="121">
        <f>'Annual Performance Details'!$Q80*(IF(ISNA('Annual Performance Details'!$S80),0,'Annual Performance Details'!$S80)+IF(ISNA('Annual Performance Details'!$AT80),0,'Annual Performance Details'!$AT80)+IF(ISNA('Annual Performance Details'!$BU80),0,'Annual Performance Details'!$BU80))/3</f>
        <v>487.32620715453004</v>
      </c>
      <c r="G13" s="121">
        <f>'Annual Performance Details'!$Q94*(IF(ISNA('Annual Performance Details'!$S94),0,'Annual Performance Details'!$S94)+IF(ISNA('Annual Performance Details'!$AT94),0,'Annual Performance Details'!$AT94)+IF(ISNA('Annual Performance Details'!$BU94),0,'Annual Performance Details'!$BU94))/3</f>
        <v>458.5141035438424</v>
      </c>
      <c r="H13" s="121">
        <f>'Annual Performance Details'!$Q109*(IF(ISNA('Annual Performance Details'!$S109),0,'Annual Performance Details'!$S109)+IF(ISNA('Annual Performance Details'!$AT109),0,'Annual Performance Details'!$AT109)+IF(ISNA('Annual Performance Details'!$BU109),0,'Annual Performance Details'!$BU109))/3</f>
        <v>487.31487898255159</v>
      </c>
      <c r="I13" s="121">
        <f>'Annual Performance Details'!$Q124*(IF(ISNA('Annual Performance Details'!$S124),0,'Annual Performance Details'!$S124)+IF(ISNA('Annual Performance Details'!$AT124),0,'Annual Performance Details'!$AT124)+IF(ISNA('Annual Performance Details'!$BU124),0,'Annual Performance Details'!$BU124))/3</f>
        <v>453.60755766417122</v>
      </c>
      <c r="J13" s="121">
        <f>'Annual Performance Details'!$Q138*(IF(ISNA('Annual Performance Details'!$S138),0,'Annual Performance Details'!$S138)+IF(ISNA('Annual Performance Details'!$AT138),0,'Annual Performance Details'!$AT138)+IF(ISNA('Annual Performance Details'!$BU138),0,'Annual Performance Details'!$BU138))/3</f>
        <v>446.86224623576408</v>
      </c>
      <c r="K13" s="121">
        <f>'Annual Performance Details'!$Q152*(IF(ISNA('Annual Performance Details'!$S152),0,'Annual Performance Details'!$S152)+IF(ISNA('Annual Performance Details'!$AT152),0,'Annual Performance Details'!$AT152)+IF(ISNA('Annual Performance Details'!$BU152),0,'Annual Performance Details'!$BU152))/3</f>
        <v>458.78439225392276</v>
      </c>
      <c r="L13" s="121">
        <f>'Annual Performance Details'!$Q165*(IF(ISNA('Annual Performance Details'!$S165),0,'Annual Performance Details'!$S165)+IF(ISNA('Annual Performance Details'!$AT165),0,'Annual Performance Details'!$AT165)+IF(ISNA('Annual Performance Details'!$BU165),0,'Annual Performance Details'!$BU165))/3</f>
        <v>415.59353160179631</v>
      </c>
      <c r="M13" s="121">
        <f>'Annual Performance Details'!$Q178*(IF(ISNA('Annual Performance Details'!$S178),0,'Annual Performance Details'!$S178)+IF(ISNA('Annual Performance Details'!$AT178),0,'Annual Performance Details'!$AT178)+IF(ISNA('Annual Performance Details'!$BU178),0,'Annual Performance Details'!$BU178))/3</f>
        <v>371.70796719676099</v>
      </c>
      <c r="N13" s="121">
        <f>'Annual Performance Details'!$Q191*(IF(ISNA('Annual Performance Details'!$S191),0,'Annual Performance Details'!$S191)+IF(ISNA('Annual Performance Details'!$AT191),0,'Annual Performance Details'!$AT191)+IF(ISNA('Annual Performance Details'!$BU191),0,'Annual Performance Details'!$BU191))/3</f>
        <v>304.79643291218525</v>
      </c>
      <c r="O13" s="36"/>
      <c r="P13" s="36"/>
      <c r="Q13" s="36"/>
      <c r="R13" s="36"/>
    </row>
    <row r="14" spans="1:18">
      <c r="A14" s="36"/>
      <c r="B14" s="119">
        <v>12</v>
      </c>
      <c r="C14" s="121">
        <f>'Annual Performance Details'!$Q39*(IF(ISNA('Annual Performance Details'!$S39),0,'Annual Performance Details'!$S39)+IF(ISNA('Annual Performance Details'!$AT39),0,'Annual Performance Details'!$AT39)+IF(ISNA('Annual Performance Details'!$BU39),0,'Annual Performance Details'!$BU39))/3</f>
        <v>351.99606793273506</v>
      </c>
      <c r="D14" s="121">
        <f>'Annual Performance Details'!$Q51*(IF(ISNA('Annual Performance Details'!$S51),0,'Annual Performance Details'!$S51)+IF(ISNA('Annual Performance Details'!$AT51),0,'Annual Performance Details'!$AT51)+IF(ISNA('Annual Performance Details'!$BU51),0,'Annual Performance Details'!$BU51))/3</f>
        <v>350.13927057171418</v>
      </c>
      <c r="E14" s="121">
        <f>'Annual Performance Details'!$Q66*(IF(ISNA('Annual Performance Details'!$S66),0,'Annual Performance Details'!$S66)+IF(ISNA('Annual Performance Details'!$AT66),0,'Annual Performance Details'!$AT66)+IF(ISNA('Annual Performance Details'!$BU66),0,'Annual Performance Details'!$BU66))/3</f>
        <v>414.51164077082313</v>
      </c>
      <c r="F14" s="121">
        <f>'Annual Performance Details'!$Q81*(IF(ISNA('Annual Performance Details'!$S81),0,'Annual Performance Details'!$S81)+IF(ISNA('Annual Performance Details'!$AT81),0,'Annual Performance Details'!$AT81)+IF(ISNA('Annual Performance Details'!$BU81),0,'Annual Performance Details'!$BU81))/3</f>
        <v>509.32302501004386</v>
      </c>
      <c r="G14" s="121">
        <f>'Annual Performance Details'!$Q95*(IF(ISNA('Annual Performance Details'!$S95),0,'Annual Performance Details'!$S95)+IF(ISNA('Annual Performance Details'!$AT95),0,'Annual Performance Details'!$AT95)+IF(ISNA('Annual Performance Details'!$BU95),0,'Annual Performance Details'!$BU95))/3</f>
        <v>475.72209225704955</v>
      </c>
      <c r="H14" s="121">
        <f>'Annual Performance Details'!$Q110*(IF(ISNA('Annual Performance Details'!$S110),0,'Annual Performance Details'!$S110)+IF(ISNA('Annual Performance Details'!$AT110),0,'Annual Performance Details'!$AT110)+IF(ISNA('Annual Performance Details'!$BU110),0,'Annual Performance Details'!$BU110))/3</f>
        <v>492.62485551294662</v>
      </c>
      <c r="I14" s="121">
        <f>'Annual Performance Details'!$Q125*(IF(ISNA('Annual Performance Details'!$S125),0,'Annual Performance Details'!$S125)+IF(ISNA('Annual Performance Details'!$AT125),0,'Annual Performance Details'!$AT125)+IF(ISNA('Annual Performance Details'!$BU125),0,'Annual Performance Details'!$BU125))/3</f>
        <v>460.92451672063777</v>
      </c>
      <c r="J14" s="121">
        <f>'Annual Performance Details'!$Q139*(IF(ISNA('Annual Performance Details'!$S139),0,'Annual Performance Details'!$S139)+IF(ISNA('Annual Performance Details'!$AT139),0,'Annual Performance Details'!$AT139)+IF(ISNA('Annual Performance Details'!$BU139),0,'Annual Performance Details'!$BU139))/3</f>
        <v>469.99693391885097</v>
      </c>
      <c r="K14" s="121">
        <f>'Annual Performance Details'!$Q153*(IF(ISNA('Annual Performance Details'!$S153),0,'Annual Performance Details'!$S153)+IF(ISNA('Annual Performance Details'!$AT153),0,'Annual Performance Details'!$AT153)+IF(ISNA('Annual Performance Details'!$BU153),0,'Annual Performance Details'!$BU153))/3</f>
        <v>462.30788963177497</v>
      </c>
      <c r="L14" s="121">
        <f>'Annual Performance Details'!$Q166*(IF(ISNA('Annual Performance Details'!$S166),0,'Annual Performance Details'!$S166)+IF(ISNA('Annual Performance Details'!$AT166),0,'Annual Performance Details'!$AT166)+IF(ISNA('Annual Performance Details'!$BU166),0,'Annual Performance Details'!$BU166))/3</f>
        <v>405.91081361326286</v>
      </c>
      <c r="M14" s="121">
        <f>'Annual Performance Details'!$Q179*(IF(ISNA('Annual Performance Details'!$S179),0,'Annual Performance Details'!$S179)+IF(ISNA('Annual Performance Details'!$AT179),0,'Annual Performance Details'!$AT179)+IF(ISNA('Annual Performance Details'!$BU179),0,'Annual Performance Details'!$BU179))/3</f>
        <v>385.35553791961507</v>
      </c>
      <c r="N14" s="121">
        <f>'Annual Performance Details'!$Q192*(IF(ISNA('Annual Performance Details'!$S192),0,'Annual Performance Details'!$S192)+IF(ISNA('Annual Performance Details'!$AT192),0,'Annual Performance Details'!$AT192)+IF(ISNA('Annual Performance Details'!$BU192),0,'Annual Performance Details'!$BU192))/3</f>
        <v>317.1418842278008</v>
      </c>
      <c r="O14" s="36"/>
      <c r="P14" s="36"/>
      <c r="Q14" s="36"/>
      <c r="R14" s="36"/>
    </row>
    <row r="15" spans="1:18">
      <c r="A15" s="36"/>
      <c r="B15" s="119">
        <v>13</v>
      </c>
      <c r="C15" s="121">
        <f>'Annual Performance Details'!$Q40*(IF(ISNA('Annual Performance Details'!$S40),0,'Annual Performance Details'!$S40)+IF(ISNA('Annual Performance Details'!$AT40),0,'Annual Performance Details'!$AT40)+IF(ISNA('Annual Performance Details'!$BU40),0,'Annual Performance Details'!$BU40))/3</f>
        <v>338.4208882740121</v>
      </c>
      <c r="D15" s="121">
        <f>'Annual Performance Details'!$Q52*(IF(ISNA('Annual Performance Details'!$S52),0,'Annual Performance Details'!$S52)+IF(ISNA('Annual Performance Details'!$AT52),0,'Annual Performance Details'!$AT52)+IF(ISNA('Annual Performance Details'!$BU52),0,'Annual Performance Details'!$BU52))/3</f>
        <v>333.57241325678609</v>
      </c>
      <c r="E15" s="121">
        <f>'Annual Performance Details'!$Q67*(IF(ISNA('Annual Performance Details'!$S67),0,'Annual Performance Details'!$S67)+IF(ISNA('Annual Performance Details'!$AT67),0,'Annual Performance Details'!$AT67)+IF(ISNA('Annual Performance Details'!$BU67),0,'Annual Performance Details'!$BU67))/3</f>
        <v>416.14637223510431</v>
      </c>
      <c r="F15" s="121">
        <f>'Annual Performance Details'!$Q82*(IF(ISNA('Annual Performance Details'!$S82),0,'Annual Performance Details'!$S82)+IF(ISNA('Annual Performance Details'!$AT82),0,'Annual Performance Details'!$AT82)+IF(ISNA('Annual Performance Details'!$BU82),0,'Annual Performance Details'!$BU82))/3</f>
        <v>471.57168797818099</v>
      </c>
      <c r="G15" s="121">
        <f>'Annual Performance Details'!$Q96*(IF(ISNA('Annual Performance Details'!$S96),0,'Annual Performance Details'!$S96)+IF(ISNA('Annual Performance Details'!$AT96),0,'Annual Performance Details'!$AT96)+IF(ISNA('Annual Performance Details'!$BU96),0,'Annual Performance Details'!$BU96))/3</f>
        <v>469.24197504346256</v>
      </c>
      <c r="H15" s="121">
        <f>'Annual Performance Details'!$Q111*(IF(ISNA('Annual Performance Details'!$S111),0,'Annual Performance Details'!$S111)+IF(ISNA('Annual Performance Details'!$AT111),0,'Annual Performance Details'!$AT111)+IF(ISNA('Annual Performance Details'!$BU111),0,'Annual Performance Details'!$BU111))/3</f>
        <v>469.74262207640135</v>
      </c>
      <c r="I15" s="121">
        <f>'Annual Performance Details'!$Q126*(IF(ISNA('Annual Performance Details'!$S126),0,'Annual Performance Details'!$S126)+IF(ISNA('Annual Performance Details'!$AT126),0,'Annual Performance Details'!$AT126)+IF(ISNA('Annual Performance Details'!$BU126),0,'Annual Performance Details'!$BU126))/3</f>
        <v>468.41035709775548</v>
      </c>
      <c r="J15" s="121">
        <f>'Annual Performance Details'!$Q140*(IF(ISNA('Annual Performance Details'!$S140),0,'Annual Performance Details'!$S140)+IF(ISNA('Annual Performance Details'!$AT140),0,'Annual Performance Details'!$AT140)+IF(ISNA('Annual Performance Details'!$BU140),0,'Annual Performance Details'!$BU140))/3</f>
        <v>442.05082785408621</v>
      </c>
      <c r="K15" s="121">
        <f>'Annual Performance Details'!$Q154*(IF(ISNA('Annual Performance Details'!$S154),0,'Annual Performance Details'!$S154)+IF(ISNA('Annual Performance Details'!$AT154),0,'Annual Performance Details'!$AT154)+IF(ISNA('Annual Performance Details'!$BU154),0,'Annual Performance Details'!$BU154))/3</f>
        <v>441.6571538043176</v>
      </c>
      <c r="L15" s="121">
        <f>'Annual Performance Details'!$Q167*(IF(ISNA('Annual Performance Details'!$S167),0,'Annual Performance Details'!$S167)+IF(ISNA('Annual Performance Details'!$AT167),0,'Annual Performance Details'!$AT167)+IF(ISNA('Annual Performance Details'!$BU167),0,'Annual Performance Details'!$BU167))/3</f>
        <v>383.80970173234823</v>
      </c>
      <c r="M15" s="121">
        <f>'Annual Performance Details'!$Q180*(IF(ISNA('Annual Performance Details'!$S180),0,'Annual Performance Details'!$S180)+IF(ISNA('Annual Performance Details'!$AT180),0,'Annual Performance Details'!$AT180)+IF(ISNA('Annual Performance Details'!$BU180),0,'Annual Performance Details'!$BU180))/3</f>
        <v>346.47076553688277</v>
      </c>
      <c r="N15" s="121">
        <f>'Annual Performance Details'!$Q193*(IF(ISNA('Annual Performance Details'!$S193),0,'Annual Performance Details'!$S193)+IF(ISNA('Annual Performance Details'!$AT193),0,'Annual Performance Details'!$AT193)+IF(ISNA('Annual Performance Details'!$BU193),0,'Annual Performance Details'!$BU193))/3</f>
        <v>300.28249341623996</v>
      </c>
      <c r="O15" s="36"/>
      <c r="P15" s="36"/>
      <c r="Q15" s="36"/>
      <c r="R15" s="36"/>
    </row>
    <row r="16" spans="1:18">
      <c r="A16" s="36"/>
      <c r="B16" s="119">
        <v>14</v>
      </c>
      <c r="C16" s="121">
        <f>'Annual Performance Details'!$Q41*(IF(ISNA('Annual Performance Details'!$S41),0,'Annual Performance Details'!$S41)+IF(ISNA('Annual Performance Details'!$AT41),0,'Annual Performance Details'!$AT41)+IF(ISNA('Annual Performance Details'!$BU41),0,'Annual Performance Details'!$BU41))/3</f>
        <v>301.74560164039332</v>
      </c>
      <c r="D16" s="121">
        <f>'Annual Performance Details'!$Q53*(IF(ISNA('Annual Performance Details'!$S53),0,'Annual Performance Details'!$S53)+IF(ISNA('Annual Performance Details'!$AT53),0,'Annual Performance Details'!$AT53)+IF(ISNA('Annual Performance Details'!$BU53),0,'Annual Performance Details'!$BU53))/3</f>
        <v>324.40824125795871</v>
      </c>
      <c r="E16" s="121">
        <f>'Annual Performance Details'!$Q68*(IF(ISNA('Annual Performance Details'!$S68),0,'Annual Performance Details'!$S68)+IF(ISNA('Annual Performance Details'!$AT68),0,'Annual Performance Details'!$AT68)+IF(ISNA('Annual Performance Details'!$BU68),0,'Annual Performance Details'!$BU68))/3</f>
        <v>385.37637299403679</v>
      </c>
      <c r="F16" s="121">
        <f>'Annual Performance Details'!$Q83*(IF(ISNA('Annual Performance Details'!$S83),0,'Annual Performance Details'!$S83)+IF(ISNA('Annual Performance Details'!$AT83),0,'Annual Performance Details'!$AT83)+IF(ISNA('Annual Performance Details'!$BU83),0,'Annual Performance Details'!$BU83))/3</f>
        <v>455.39662567347477</v>
      </c>
      <c r="G16" s="121">
        <f>'Annual Performance Details'!$Q97*(IF(ISNA('Annual Performance Details'!$S97),0,'Annual Performance Details'!$S97)+IF(ISNA('Annual Performance Details'!$AT97),0,'Annual Performance Details'!$AT97)+IF(ISNA('Annual Performance Details'!$BU97),0,'Annual Performance Details'!$BU97))/3</f>
        <v>443.17828610945116</v>
      </c>
      <c r="H16" s="121">
        <f>'Annual Performance Details'!$Q112*(IF(ISNA('Annual Performance Details'!$S112),0,'Annual Performance Details'!$S112)+IF(ISNA('Annual Performance Details'!$AT112),0,'Annual Performance Details'!$AT112)+IF(ISNA('Annual Performance Details'!$BU112),0,'Annual Performance Details'!$BU112))/3</f>
        <v>465.46212926344151</v>
      </c>
      <c r="I16" s="121">
        <f>'Annual Performance Details'!$Q127*(IF(ISNA('Annual Performance Details'!$S127),0,'Annual Performance Details'!$S127)+IF(ISNA('Annual Performance Details'!$AT127),0,'Annual Performance Details'!$AT127)+IF(ISNA('Annual Performance Details'!$BU127),0,'Annual Performance Details'!$BU127))/3</f>
        <v>443.25942461611515</v>
      </c>
      <c r="J16" s="121">
        <f>'Annual Performance Details'!$Q141*(IF(ISNA('Annual Performance Details'!$S141),0,'Annual Performance Details'!$S141)+IF(ISNA('Annual Performance Details'!$AT141),0,'Annual Performance Details'!$AT141)+IF(ISNA('Annual Performance Details'!$BU141),0,'Annual Performance Details'!$BU141))/3</f>
        <v>425.11668137877604</v>
      </c>
      <c r="K16" s="121">
        <f>'Annual Performance Details'!$Q155*(IF(ISNA('Annual Performance Details'!$S155),0,'Annual Performance Details'!$S155)+IF(ISNA('Annual Performance Details'!$AT155),0,'Annual Performance Details'!$AT155)+IF(ISNA('Annual Performance Details'!$BU155),0,'Annual Performance Details'!$BU155))/3</f>
        <v>401.68644335418065</v>
      </c>
      <c r="L16" s="121">
        <f>'Annual Performance Details'!$Q168*(IF(ISNA('Annual Performance Details'!$S168),0,'Annual Performance Details'!$S168)+IF(ISNA('Annual Performance Details'!$AT168),0,'Annual Performance Details'!$AT168)+IF(ISNA('Annual Performance Details'!$BU168),0,'Annual Performance Details'!$BU168))/3</f>
        <v>369.71025788256355</v>
      </c>
      <c r="M16" s="121">
        <f>'Annual Performance Details'!$Q181*(IF(ISNA('Annual Performance Details'!$S181),0,'Annual Performance Details'!$S181)+IF(ISNA('Annual Performance Details'!$AT181),0,'Annual Performance Details'!$AT181)+IF(ISNA('Annual Performance Details'!$BU181),0,'Annual Performance Details'!$BU181))/3</f>
        <v>282.59934722904592</v>
      </c>
      <c r="N16" s="121">
        <f>'Annual Performance Details'!$Q194*(IF(ISNA('Annual Performance Details'!$S194),0,'Annual Performance Details'!$S194)+IF(ISNA('Annual Performance Details'!$AT194),0,'Annual Performance Details'!$AT194)+IF(ISNA('Annual Performance Details'!$BU194),0,'Annual Performance Details'!$BU194))/3</f>
        <v>251.9667584371214</v>
      </c>
      <c r="O16" s="36"/>
      <c r="P16" s="36"/>
      <c r="Q16" s="36"/>
      <c r="R16" s="36"/>
    </row>
    <row r="17" spans="1:18">
      <c r="A17" s="36"/>
      <c r="B17" s="119">
        <v>15</v>
      </c>
      <c r="C17" s="121">
        <f>'Annual Performance Details'!$Q42*(IF(ISNA('Annual Performance Details'!$S42),0,'Annual Performance Details'!$S42)+IF(ISNA('Annual Performance Details'!$AT42),0,'Annual Performance Details'!$AT42)+IF(ISNA('Annual Performance Details'!$BU42),0,'Annual Performance Details'!$BU42))/3</f>
        <v>231.68516288783633</v>
      </c>
      <c r="D17" s="121">
        <f>'Annual Performance Details'!$Q54*(IF(ISNA('Annual Performance Details'!$S54),0,'Annual Performance Details'!$S54)+IF(ISNA('Annual Performance Details'!$AT54),0,'Annual Performance Details'!$AT54)+IF(ISNA('Annual Performance Details'!$BU54),0,'Annual Performance Details'!$BU54))/3</f>
        <v>273.22776873946418</v>
      </c>
      <c r="E17" s="121">
        <f>'Annual Performance Details'!$Q69*(IF(ISNA('Annual Performance Details'!$S69),0,'Annual Performance Details'!$S69)+IF(ISNA('Annual Performance Details'!$AT69),0,'Annual Performance Details'!$AT69)+IF(ISNA('Annual Performance Details'!$BU69),0,'Annual Performance Details'!$BU69))/3</f>
        <v>336.21358723935941</v>
      </c>
      <c r="F17" s="121">
        <f>'Annual Performance Details'!$Q84*(IF(ISNA('Annual Performance Details'!$S84),0,'Annual Performance Details'!$S84)+IF(ISNA('Annual Performance Details'!$AT84),0,'Annual Performance Details'!$AT84)+IF(ISNA('Annual Performance Details'!$BU84),0,'Annual Performance Details'!$BU84))/3</f>
        <v>418.67496762619908</v>
      </c>
      <c r="G17" s="121">
        <f>'Annual Performance Details'!$Q98*(IF(ISNA('Annual Performance Details'!$S98),0,'Annual Performance Details'!$S98)+IF(ISNA('Annual Performance Details'!$AT98),0,'Annual Performance Details'!$AT98)+IF(ISNA('Annual Performance Details'!$BU98),0,'Annual Performance Details'!$BU98))/3</f>
        <v>396.30048347027741</v>
      </c>
      <c r="H17" s="121">
        <f>'Annual Performance Details'!$Q113*(IF(ISNA('Annual Performance Details'!$S113),0,'Annual Performance Details'!$S113)+IF(ISNA('Annual Performance Details'!$AT113),0,'Annual Performance Details'!$AT113)+IF(ISNA('Annual Performance Details'!$BU113),0,'Annual Performance Details'!$BU113))/3</f>
        <v>407.51027570972025</v>
      </c>
      <c r="I17" s="121">
        <f>'Annual Performance Details'!$Q128*(IF(ISNA('Annual Performance Details'!$S128),0,'Annual Performance Details'!$S128)+IF(ISNA('Annual Performance Details'!$AT128),0,'Annual Performance Details'!$AT128)+IF(ISNA('Annual Performance Details'!$BU128),0,'Annual Performance Details'!$BU128))/3</f>
        <v>420.8530636857916</v>
      </c>
      <c r="J17" s="121">
        <f>'Annual Performance Details'!$Q142*(IF(ISNA('Annual Performance Details'!$S142),0,'Annual Performance Details'!$S142)+IF(ISNA('Annual Performance Details'!$AT142),0,'Annual Performance Details'!$AT142)+IF(ISNA('Annual Performance Details'!$BU142),0,'Annual Performance Details'!$BU142))/3</f>
        <v>376.9420530820064</v>
      </c>
      <c r="K17" s="121">
        <f>'Annual Performance Details'!$Q156*(IF(ISNA('Annual Performance Details'!$S156),0,'Annual Performance Details'!$S156)+IF(ISNA('Annual Performance Details'!$AT156),0,'Annual Performance Details'!$AT156)+IF(ISNA('Annual Performance Details'!$BU156),0,'Annual Performance Details'!$BU156))/3</f>
        <v>347.97771285055887</v>
      </c>
      <c r="L17" s="121">
        <f>'Annual Performance Details'!$Q169*(IF(ISNA('Annual Performance Details'!$S169),0,'Annual Performance Details'!$S169)+IF(ISNA('Annual Performance Details'!$AT169),0,'Annual Performance Details'!$AT169)+IF(ISNA('Annual Performance Details'!$BU169),0,'Annual Performance Details'!$BU169))/3</f>
        <v>300.87702241723349</v>
      </c>
      <c r="M17" s="121">
        <f>'Annual Performance Details'!$Q182*(IF(ISNA('Annual Performance Details'!$S182),0,'Annual Performance Details'!$S182)+IF(ISNA('Annual Performance Details'!$AT182),0,'Annual Performance Details'!$AT182)+IF(ISNA('Annual Performance Details'!$BU182),0,'Annual Performance Details'!$BU182))/3</f>
        <v>202.14133021531543</v>
      </c>
      <c r="N17" s="121">
        <f>'Annual Performance Details'!$Q195*(IF(ISNA('Annual Performance Details'!$S195),0,'Annual Performance Details'!$S195)+IF(ISNA('Annual Performance Details'!$AT195),0,'Annual Performance Details'!$AT195)+IF(ISNA('Annual Performance Details'!$BU195),0,'Annual Performance Details'!$BU195))/3</f>
        <v>173.10824603289629</v>
      </c>
      <c r="O17" s="36"/>
      <c r="P17" s="36"/>
      <c r="Q17" s="36"/>
      <c r="R17" s="36"/>
    </row>
    <row r="18" spans="1:18">
      <c r="A18" s="36"/>
      <c r="B18" s="119">
        <v>16</v>
      </c>
      <c r="C18" s="121">
        <f>'Annual Performance Details'!$Q43*(IF(ISNA('Annual Performance Details'!$S43),0,'Annual Performance Details'!$S43)+IF(ISNA('Annual Performance Details'!$AT43),0,'Annual Performance Details'!$AT43)+IF(ISNA('Annual Performance Details'!$BU43),0,'Annual Performance Details'!$BU43))/3</f>
        <v>102.33395450047222</v>
      </c>
      <c r="D18" s="121">
        <f>'Annual Performance Details'!$Q55*(IF(ISNA('Annual Performance Details'!$S55),0,'Annual Performance Details'!$S55)+IF(ISNA('Annual Performance Details'!$AT55),0,'Annual Performance Details'!$AT55)+IF(ISNA('Annual Performance Details'!$BU55),0,'Annual Performance Details'!$BU55))/3</f>
        <v>176.15715045394117</v>
      </c>
      <c r="E18" s="121">
        <f>'Annual Performance Details'!$Q70*(IF(ISNA('Annual Performance Details'!$S70),0,'Annual Performance Details'!$S70)+IF(ISNA('Annual Performance Details'!$AT70),0,'Annual Performance Details'!$AT70)+IF(ISNA('Annual Performance Details'!$BU70),0,'Annual Performance Details'!$BU70))/3</f>
        <v>227.76268316151177</v>
      </c>
      <c r="F18" s="121">
        <f>'Annual Performance Details'!$Q85*(IF(ISNA('Annual Performance Details'!$S85),0,'Annual Performance Details'!$S85)+IF(ISNA('Annual Performance Details'!$AT85),0,'Annual Performance Details'!$AT85)+IF(ISNA('Annual Performance Details'!$BU85),0,'Annual Performance Details'!$BU85))/3</f>
        <v>297.67027699059355</v>
      </c>
      <c r="G18" s="121">
        <f>'Annual Performance Details'!$Q99*(IF(ISNA('Annual Performance Details'!$S99),0,'Annual Performance Details'!$S99)+IF(ISNA('Annual Performance Details'!$AT99),0,'Annual Performance Details'!$AT99)+IF(ISNA('Annual Performance Details'!$BU99),0,'Annual Performance Details'!$BU99))/3</f>
        <v>321.44303681229115</v>
      </c>
      <c r="H18" s="121">
        <f>'Annual Performance Details'!$Q114*(IF(ISNA('Annual Performance Details'!$S114),0,'Annual Performance Details'!$S114)+IF(ISNA('Annual Performance Details'!$AT114),0,'Annual Performance Details'!$AT114)+IF(ISNA('Annual Performance Details'!$BU114),0,'Annual Performance Details'!$BU114))/3</f>
        <v>344.23586457118358</v>
      </c>
      <c r="I18" s="121">
        <f>'Annual Performance Details'!$Q129*(IF(ISNA('Annual Performance Details'!$S129),0,'Annual Performance Details'!$S129)+IF(ISNA('Annual Performance Details'!$AT129),0,'Annual Performance Details'!$AT129)+IF(ISNA('Annual Performance Details'!$BU129),0,'Annual Performance Details'!$BU129))/3</f>
        <v>338.91541636456947</v>
      </c>
      <c r="J18" s="121">
        <f>'Annual Performance Details'!$Q143*(IF(ISNA('Annual Performance Details'!$S143),0,'Annual Performance Details'!$S143)+IF(ISNA('Annual Performance Details'!$AT143),0,'Annual Performance Details'!$AT143)+IF(ISNA('Annual Performance Details'!$BU143),0,'Annual Performance Details'!$BU143))/3</f>
        <v>268.68075750889039</v>
      </c>
      <c r="K18" s="121">
        <f>'Annual Performance Details'!$Q157*(IF(ISNA('Annual Performance Details'!$S157),0,'Annual Performance Details'!$S157)+IF(ISNA('Annual Performance Details'!$AT157),0,'Annual Performance Details'!$AT157)+IF(ISNA('Annual Performance Details'!$BU157),0,'Annual Performance Details'!$BU157))/3</f>
        <v>210.44080682421816</v>
      </c>
      <c r="L18" s="121">
        <f>'Annual Performance Details'!$Q170*(IF(ISNA('Annual Performance Details'!$S170),0,'Annual Performance Details'!$S170)+IF(ISNA('Annual Performance Details'!$AT170),0,'Annual Performance Details'!$AT170)+IF(ISNA('Annual Performance Details'!$BU170),0,'Annual Performance Details'!$BU170))/3</f>
        <v>182.43266966285876</v>
      </c>
      <c r="M18" s="121">
        <f>'Annual Performance Details'!$Q183*(IF(ISNA('Annual Performance Details'!$S183),0,'Annual Performance Details'!$S183)+IF(ISNA('Annual Performance Details'!$AT183),0,'Annual Performance Details'!$AT183)+IF(ISNA('Annual Performance Details'!$BU183),0,'Annual Performance Details'!$BU183))/3</f>
        <v>91.685037305305229</v>
      </c>
      <c r="N18" s="121">
        <f>'Annual Performance Details'!$Q196*(IF(ISNA('Annual Performance Details'!$S196),0,'Annual Performance Details'!$S196)+IF(ISNA('Annual Performance Details'!$AT196),0,'Annual Performance Details'!$AT196)+IF(ISNA('Annual Performance Details'!$BU196),0,'Annual Performance Details'!$BU196))/3</f>
        <v>47.098391891267028</v>
      </c>
      <c r="O18" s="36"/>
      <c r="P18" s="36"/>
      <c r="Q18" s="36"/>
      <c r="R18" s="36"/>
    </row>
    <row r="19" spans="1:18">
      <c r="A19" s="36"/>
      <c r="B19" s="119">
        <v>17</v>
      </c>
      <c r="C19" s="122"/>
      <c r="D19" s="36"/>
      <c r="E19" s="121">
        <f>'Annual Performance Details'!$Q71*(IF(ISNA('Annual Performance Details'!$S71),0,'Annual Performance Details'!$S71)+IF(ISNA('Annual Performance Details'!$AT71),0,'Annual Performance Details'!$AT71)+IF(ISNA('Annual Performance Details'!$BU71),0,'Annual Performance Details'!$BU71))/3</f>
        <v>78.195199400728015</v>
      </c>
      <c r="F19" s="121">
        <f>'Annual Performance Details'!$Q86*(IF(ISNA('Annual Performance Details'!$S86),0,'Annual Performance Details'!$S86)+IF(ISNA('Annual Performance Details'!$AT86),0,'Annual Performance Details'!$AT86)+IF(ISNA('Annual Performance Details'!$BU86),0,'Annual Performance Details'!$BU86))/3</f>
        <v>160.49320814808817</v>
      </c>
      <c r="G19" s="121">
        <f>'Annual Performance Details'!$Q100*(IF(ISNA('Annual Performance Details'!$S100),0,'Annual Performance Details'!$S100)+IF(ISNA('Annual Performance Details'!$AT100),0,'Annual Performance Details'!$AT100)+IF(ISNA('Annual Performance Details'!$BU100),0,'Annual Performance Details'!$BU100))/3</f>
        <v>205.13901429075125</v>
      </c>
      <c r="H19" s="121">
        <f>'Annual Performance Details'!$Q115*(IF(ISNA('Annual Performance Details'!$S115),0,'Annual Performance Details'!$S115)+IF(ISNA('Annual Performance Details'!$AT115),0,'Annual Performance Details'!$AT115)+IF(ISNA('Annual Performance Details'!$BU115),0,'Annual Performance Details'!$BU115))/3</f>
        <v>231.96385252960135</v>
      </c>
      <c r="I19" s="121">
        <f>'Annual Performance Details'!$Q130*(IF(ISNA('Annual Performance Details'!$S130),0,'Annual Performance Details'!$S130)+IF(ISNA('Annual Performance Details'!$AT130),0,'Annual Performance Details'!$AT130)+IF(ISNA('Annual Performance Details'!$BU130),0,'Annual Performance Details'!$BU130))/3</f>
        <v>211.74781371328356</v>
      </c>
      <c r="J19" s="121">
        <f>'Annual Performance Details'!$Q144*(IF(ISNA('Annual Performance Details'!$S144),0,'Annual Performance Details'!$S144)+IF(ISNA('Annual Performance Details'!$AT144),0,'Annual Performance Details'!$AT144)+IF(ISNA('Annual Performance Details'!$BU144),0,'Annual Performance Details'!$BU144))/3</f>
        <v>132.05624801956245</v>
      </c>
      <c r="K19" s="121">
        <f>'Annual Performance Details'!$Q158*(IF(ISNA('Annual Performance Details'!$S158),0,'Annual Performance Details'!$S158)+IF(ISNA('Annual Performance Details'!$AT158),0,'Annual Performance Details'!$AT158)+IF(ISNA('Annual Performance Details'!$BU158),0,'Annual Performance Details'!$BU158))/3</f>
        <v>76.806180575966906</v>
      </c>
      <c r="L19" s="36"/>
      <c r="M19" s="36"/>
      <c r="N19" s="36"/>
      <c r="O19" s="36"/>
      <c r="P19" s="36"/>
      <c r="Q19" s="36"/>
      <c r="R19" s="36"/>
    </row>
    <row r="20" spans="1:18">
      <c r="A20" s="36"/>
      <c r="B20" s="119">
        <v>18</v>
      </c>
      <c r="C20" s="36"/>
      <c r="D20" s="36"/>
      <c r="E20" s="36"/>
      <c r="F20" s="36"/>
      <c r="G20" s="121">
        <f>'Annual Performance Details'!$Q101*(IF(ISNA('Annual Performance Details'!$S101),0,'Annual Performance Details'!$S101)+IF(ISNA('Annual Performance Details'!$AT101),0,'Annual Performance Details'!$AT101)+IF(ISNA('Annual Performance Details'!$BU101),0,'Annual Performance Details'!$BU101))/3</f>
        <v>49.405162193555725</v>
      </c>
      <c r="H20" s="121">
        <f>'Annual Performance Details'!$Q116*(IF(ISNA('Annual Performance Details'!$S116),0,'Annual Performance Details'!$S116)+IF(ISNA('Annual Performance Details'!$AT116),0,'Annual Performance Details'!$AT116)+IF(ISNA('Annual Performance Details'!$BU116),0,'Annual Performance Details'!$BU116))/3</f>
        <v>83.883302351885504</v>
      </c>
      <c r="I20" s="121">
        <f>'Annual Performance Details'!$Q131*(IF(ISNA('Annual Performance Details'!$S131),0,'Annual Performance Details'!$S131)+IF(ISNA('Annual Performance Details'!$AT131),0,'Annual Performance Details'!$AT131)+IF(ISNA('Annual Performance Details'!$BU131),0,'Annual Performance Details'!$BU131))/3</f>
        <v>64.372646375283068</v>
      </c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36"/>
      <c r="B21" s="119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6"/>
      <c r="Q21" s="36"/>
      <c r="R21" s="36"/>
    </row>
    <row r="22" spans="1:18">
      <c r="A22" s="36"/>
      <c r="B22" s="119" t="s">
        <v>88</v>
      </c>
      <c r="C22" s="34">
        <f>COUNTIF(C8:C20,"&gt;0")</f>
        <v>9</v>
      </c>
      <c r="D22" s="34">
        <f t="shared" ref="D22:M22" si="0">COUNTIF(D8:D20,"&gt;0")</f>
        <v>9</v>
      </c>
      <c r="E22" s="34">
        <f t="shared" si="0"/>
        <v>11</v>
      </c>
      <c r="F22" s="34">
        <f t="shared" si="0"/>
        <v>11</v>
      </c>
      <c r="G22" s="34">
        <f t="shared" si="0"/>
        <v>13</v>
      </c>
      <c r="H22" s="34">
        <f t="shared" si="0"/>
        <v>13</v>
      </c>
      <c r="I22" s="34">
        <f>COUNTIF(I8:I20,"&gt;0")</f>
        <v>13</v>
      </c>
      <c r="J22" s="34">
        <f t="shared" si="0"/>
        <v>11</v>
      </c>
      <c r="K22" s="34">
        <f t="shared" si="0"/>
        <v>11</v>
      </c>
      <c r="L22" s="34">
        <f t="shared" si="0"/>
        <v>9</v>
      </c>
      <c r="M22" s="34">
        <f t="shared" si="0"/>
        <v>9</v>
      </c>
      <c r="N22" s="34">
        <f>COUNTIF(N8:N20,"&gt;0")</f>
        <v>9</v>
      </c>
      <c r="O22" s="36"/>
      <c r="P22" s="36"/>
      <c r="Q22" s="36"/>
      <c r="R22" s="36"/>
    </row>
    <row r="23" spans="1:18">
      <c r="A23" s="36"/>
      <c r="B23" s="118" t="s">
        <v>89</v>
      </c>
      <c r="C23" s="123">
        <v>31</v>
      </c>
      <c r="D23" s="123">
        <v>28</v>
      </c>
      <c r="E23" s="123">
        <v>31</v>
      </c>
      <c r="F23" s="123">
        <v>30</v>
      </c>
      <c r="G23" s="123">
        <v>31</v>
      </c>
      <c r="H23" s="123">
        <v>30</v>
      </c>
      <c r="I23" s="123">
        <v>31</v>
      </c>
      <c r="J23" s="123">
        <v>30</v>
      </c>
      <c r="K23" s="123">
        <v>31</v>
      </c>
      <c r="L23" s="123">
        <v>31</v>
      </c>
      <c r="M23" s="123">
        <v>30</v>
      </c>
      <c r="N23" s="123">
        <v>31</v>
      </c>
      <c r="O23" s="119" t="s">
        <v>90</v>
      </c>
      <c r="P23" s="36"/>
      <c r="Q23" s="119" t="s">
        <v>91</v>
      </c>
      <c r="R23" s="36"/>
    </row>
    <row r="24" spans="1:18">
      <c r="A24" s="36"/>
      <c r="B24" s="118" t="s">
        <v>92</v>
      </c>
      <c r="C24" s="123">
        <f t="shared" ref="C24:N24" si="1">C23*C22</f>
        <v>279</v>
      </c>
      <c r="D24" s="123">
        <f t="shared" si="1"/>
        <v>252</v>
      </c>
      <c r="E24" s="123">
        <f t="shared" si="1"/>
        <v>341</v>
      </c>
      <c r="F24" s="123">
        <f t="shared" si="1"/>
        <v>330</v>
      </c>
      <c r="G24" s="123">
        <f t="shared" si="1"/>
        <v>403</v>
      </c>
      <c r="H24" s="123">
        <f t="shared" si="1"/>
        <v>390</v>
      </c>
      <c r="I24" s="123">
        <f t="shared" si="1"/>
        <v>403</v>
      </c>
      <c r="J24" s="123">
        <f t="shared" si="1"/>
        <v>330</v>
      </c>
      <c r="K24" s="123">
        <f t="shared" si="1"/>
        <v>341</v>
      </c>
      <c r="L24" s="123">
        <f t="shared" si="1"/>
        <v>279</v>
      </c>
      <c r="M24" s="123">
        <f t="shared" si="1"/>
        <v>270</v>
      </c>
      <c r="N24" s="123">
        <f t="shared" si="1"/>
        <v>279</v>
      </c>
      <c r="O24" s="123">
        <f>SUM(C24:N24)</f>
        <v>3897</v>
      </c>
      <c r="P24" s="36"/>
      <c r="Q24" s="122">
        <f>O24/8760</f>
        <v>0.44486301369863013</v>
      </c>
      <c r="R24" s="36"/>
    </row>
    <row r="25" spans="1:18">
      <c r="A25" s="36"/>
      <c r="B25" s="11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36"/>
      <c r="Q25" s="36"/>
      <c r="R25" s="36"/>
    </row>
    <row r="26" spans="1:18" ht="17.45">
      <c r="A26" s="36"/>
      <c r="B26" s="118" t="s">
        <v>93</v>
      </c>
      <c r="C26" s="124">
        <f t="shared" ref="C26:N26" si="2">SUM(C8:C20)*C23/1000</f>
        <v>65.431247727107632</v>
      </c>
      <c r="D26" s="124">
        <f t="shared" si="2"/>
        <v>67.326160636347481</v>
      </c>
      <c r="E26" s="124">
        <f t="shared" si="2"/>
        <v>99.374514944237461</v>
      </c>
      <c r="F26" s="124">
        <f t="shared" si="2"/>
        <v>121.88127396777207</v>
      </c>
      <c r="G26" s="124">
        <f t="shared" si="2"/>
        <v>127.19987885495151</v>
      </c>
      <c r="H26" s="124">
        <f t="shared" si="2"/>
        <v>134.71622585370903</v>
      </c>
      <c r="I26" s="124">
        <f t="shared" si="2"/>
        <v>128.4765892436948</v>
      </c>
      <c r="J26" s="124">
        <f t="shared" si="2"/>
        <v>112.86459558816837</v>
      </c>
      <c r="K26" s="124">
        <f t="shared" si="2"/>
        <v>109.67729870142834</v>
      </c>
      <c r="L26" s="124">
        <f t="shared" si="2"/>
        <v>90.238785340756294</v>
      </c>
      <c r="M26" s="124">
        <f t="shared" si="2"/>
        <v>70.448765481184338</v>
      </c>
      <c r="N26" s="124">
        <f t="shared" si="2"/>
        <v>56.848312358416528</v>
      </c>
      <c r="O26" s="125" t="s">
        <v>94</v>
      </c>
      <c r="P26" s="36"/>
      <c r="Q26" s="36"/>
      <c r="R26" s="36"/>
    </row>
    <row r="27" spans="1:18" ht="17.45">
      <c r="A27" s="36"/>
      <c r="B27" s="126" t="s">
        <v>95</v>
      </c>
      <c r="C27" s="127">
        <f>C26/Daggett!B23</f>
        <v>0.36926542090888259</v>
      </c>
      <c r="D27" s="127">
        <f>D26/Daggett!C23</f>
        <v>0.39661483008357767</v>
      </c>
      <c r="E27" s="127">
        <f>E26/Daggett!D23</f>
        <v>0.43474149409290047</v>
      </c>
      <c r="F27" s="127">
        <f>F26/Daggett!E23</f>
        <v>0.44700662715889722</v>
      </c>
      <c r="G27" s="127">
        <f>G26/Daggett!F23</f>
        <v>0.45670418270680607</v>
      </c>
      <c r="H27" s="127">
        <f>H26/Daggett!G23</f>
        <v>0.45763629211040724</v>
      </c>
      <c r="I27" s="127">
        <f>I26/Daggett!H23</f>
        <v>0.45125739088362388</v>
      </c>
      <c r="J27" s="127">
        <f>J26/Daggett!I23</f>
        <v>0.4383854455374277</v>
      </c>
      <c r="K27" s="127">
        <f>K26/Daggett!J23</f>
        <v>0.43401832475179608</v>
      </c>
      <c r="L27" s="127">
        <f>L26/Daggett!K23</f>
        <v>0.4081282353135009</v>
      </c>
      <c r="M27" s="127">
        <f>M26/Daggett!L23</f>
        <v>0.38396301181168502</v>
      </c>
      <c r="N27" s="127">
        <f>N26/Daggett!M23</f>
        <v>0.34120178833707382</v>
      </c>
      <c r="O27" s="128">
        <f>SUM(C26:N26)/Daggett!B24</f>
        <v>0.42498188291014871</v>
      </c>
      <c r="P27" s="36"/>
      <c r="Q27" s="36"/>
      <c r="R27" s="36"/>
    </row>
    <row r="28" spans="1:18">
      <c r="A28" s="36"/>
      <c r="B28" s="126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36"/>
      <c r="Q28" s="36"/>
      <c r="R28" s="36"/>
    </row>
    <row r="29" spans="1:18">
      <c r="A29" s="36"/>
      <c r="B29" s="156" t="s">
        <v>96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36"/>
      <c r="P29" s="36"/>
      <c r="Q29" s="36"/>
      <c r="R29" s="36"/>
    </row>
    <row r="30" spans="1:18">
      <c r="A30" s="36"/>
      <c r="B30" s="126"/>
      <c r="C30" s="156" t="s">
        <v>86</v>
      </c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17"/>
      <c r="P30" s="36"/>
      <c r="Q30" s="36"/>
      <c r="R30" s="36"/>
    </row>
    <row r="31" spans="1:18">
      <c r="A31" s="36"/>
      <c r="B31" s="119" t="s">
        <v>87</v>
      </c>
      <c r="C31" s="119">
        <v>1</v>
      </c>
      <c r="D31" s="119">
        <v>2</v>
      </c>
      <c r="E31" s="119">
        <v>3</v>
      </c>
      <c r="F31" s="119">
        <v>4</v>
      </c>
      <c r="G31" s="119">
        <v>5</v>
      </c>
      <c r="H31" s="119">
        <v>6</v>
      </c>
      <c r="I31" s="119">
        <v>7</v>
      </c>
      <c r="J31" s="119">
        <v>8</v>
      </c>
      <c r="K31" s="119">
        <v>9</v>
      </c>
      <c r="L31" s="119">
        <v>10</v>
      </c>
      <c r="M31" s="119">
        <v>11</v>
      </c>
      <c r="N31" s="119">
        <v>12</v>
      </c>
      <c r="O31" s="36"/>
      <c r="P31" s="36"/>
      <c r="Q31" s="36"/>
      <c r="R31" s="36"/>
    </row>
    <row r="32" spans="1:18">
      <c r="A32" s="36"/>
      <c r="B32" s="119">
        <v>6</v>
      </c>
      <c r="C32" s="121">
        <f>C8*Scaling!E30/1000</f>
        <v>0</v>
      </c>
      <c r="D32" s="121">
        <f>D8*Scaling!$E$30/1000</f>
        <v>0</v>
      </c>
      <c r="E32" s="121">
        <f>E8*Scaling!$E$30/1000</f>
        <v>0</v>
      </c>
      <c r="F32" s="121">
        <f>F8*Scaling!$E$30/1000</f>
        <v>0</v>
      </c>
      <c r="G32" s="121">
        <f>G8*Scaling!$E$30/1000</f>
        <v>5724.4373165506186</v>
      </c>
      <c r="H32" s="121">
        <f>H8*Scaling!$E$30/1000</f>
        <v>27359.900818153124</v>
      </c>
      <c r="I32" s="121">
        <f>I8*Scaling!$E$30/1000</f>
        <v>5786.9220523142267</v>
      </c>
      <c r="J32" s="121">
        <f>J8*Scaling!$E$30/1000</f>
        <v>0</v>
      </c>
      <c r="K32" s="121">
        <f>K8*Scaling!$E$30/1000</f>
        <v>0</v>
      </c>
      <c r="L32" s="121">
        <f>L8*Scaling!$E$30/1000</f>
        <v>0</v>
      </c>
      <c r="M32" s="121">
        <f>M8*Scaling!$E$30/1000</f>
        <v>0</v>
      </c>
      <c r="N32" s="121">
        <f>N8*Scaling!$E$30/1000</f>
        <v>0</v>
      </c>
      <c r="O32" s="36"/>
      <c r="P32" s="36"/>
      <c r="Q32" s="36"/>
      <c r="R32" s="36"/>
    </row>
    <row r="33" spans="1:18">
      <c r="A33" s="36"/>
      <c r="B33" s="119">
        <v>7</v>
      </c>
      <c r="C33" s="121">
        <f>C9*Scaling!$E$30/1000</f>
        <v>0</v>
      </c>
      <c r="D33" s="121">
        <f>D9*Scaling!$E$30/1000</f>
        <v>0</v>
      </c>
      <c r="E33" s="121">
        <f>E9*Scaling!$E$30/1000</f>
        <v>8400.6268054963293</v>
      </c>
      <c r="F33" s="121">
        <f>F9*Scaling!$E$30/1000</f>
        <v>60014.084662766654</v>
      </c>
      <c r="G33" s="121">
        <f>G9*Scaling!$E$30/1000</f>
        <v>89157.180893377226</v>
      </c>
      <c r="H33" s="121">
        <f>H9*Scaling!$E$30/1000</f>
        <v>117536.88615655196</v>
      </c>
      <c r="I33" s="121">
        <f>I9*Scaling!$E$30/1000</f>
        <v>87650.271702833983</v>
      </c>
      <c r="J33" s="121">
        <f>J9*Scaling!$E$30/1000</f>
        <v>58880.287067756428</v>
      </c>
      <c r="K33" s="121">
        <f>K9*Scaling!$E$30/1000</f>
        <v>36772.725691264037</v>
      </c>
      <c r="L33" s="121">
        <f>L9*Scaling!$E$30/1000</f>
        <v>0</v>
      </c>
      <c r="M33" s="121">
        <f>M9*Scaling!$E$30/1000</f>
        <v>0</v>
      </c>
      <c r="N33" s="121">
        <f>N9*Scaling!$E$30/1000</f>
        <v>0</v>
      </c>
      <c r="O33" s="36"/>
      <c r="P33" s="36"/>
      <c r="Q33" s="36"/>
      <c r="R33" s="36"/>
    </row>
    <row r="34" spans="1:18">
      <c r="A34" s="36"/>
      <c r="B34" s="119">
        <v>8</v>
      </c>
      <c r="C34" s="121">
        <f>C10*Scaling!$E$30/1000</f>
        <v>11462.755475774502</v>
      </c>
      <c r="D34" s="121">
        <f>D10*Scaling!$E$30/1000</f>
        <v>51949.440348569879</v>
      </c>
      <c r="E34" s="121">
        <f>E10*Scaling!$E$30/1000</f>
        <v>105250.13309898811</v>
      </c>
      <c r="F34" s="121">
        <f>F10*Scaling!$E$30/1000</f>
        <v>148483.20140432654</v>
      </c>
      <c r="G34" s="121">
        <f>G10*Scaling!$E$30/1000</f>
        <v>160371.01490055092</v>
      </c>
      <c r="H34" s="121">
        <f>H10*Scaling!$E$30/1000</f>
        <v>184814.48444362124</v>
      </c>
      <c r="I34" s="121">
        <f>I10*Scaling!$E$30/1000</f>
        <v>157838.76850902077</v>
      </c>
      <c r="J34" s="121">
        <f>J10*Scaling!$E$30/1000</f>
        <v>145291.09291428811</v>
      </c>
      <c r="K34" s="121">
        <f>K10*Scaling!$E$30/1000</f>
        <v>134005.18992798528</v>
      </c>
      <c r="L34" s="121">
        <f>L10*Scaling!$E$30/1000</f>
        <v>94136.602336832148</v>
      </c>
      <c r="M34" s="121">
        <f>M10*Scaling!$E$30/1000</f>
        <v>55904.793797603168</v>
      </c>
      <c r="N34" s="121">
        <f>N10*Scaling!$E$30/1000</f>
        <v>14286.444738186157</v>
      </c>
      <c r="O34" s="36"/>
      <c r="P34" s="36"/>
      <c r="Q34" s="36"/>
      <c r="R34" s="36"/>
    </row>
    <row r="35" spans="1:18">
      <c r="A35" s="36"/>
      <c r="B35" s="119">
        <v>9</v>
      </c>
      <c r="C35" s="121">
        <f>C11*Scaling!$E$30/1000</f>
        <v>91740.366748112006</v>
      </c>
      <c r="D35" s="121">
        <f>D11*Scaling!$E$30/1000</f>
        <v>118389.80512230695</v>
      </c>
      <c r="E35" s="121">
        <f>E11*Scaling!$E$30/1000</f>
        <v>176934.8113259802</v>
      </c>
      <c r="F35" s="121">
        <f>F11*Scaling!$E$30/1000</f>
        <v>218820.50277597638</v>
      </c>
      <c r="G35" s="121">
        <f>G11*Scaling!$E$30/1000</f>
        <v>205332.80310111397</v>
      </c>
      <c r="H35" s="121">
        <f>H11*Scaling!$E$30/1000</f>
        <v>229449.39727642277</v>
      </c>
      <c r="I35" s="121">
        <f>I11*Scaling!$E$30/1000</f>
        <v>204049.69344298201</v>
      </c>
      <c r="J35" s="121">
        <f>J11*Scaling!$E$30/1000</f>
        <v>202456.46088251602</v>
      </c>
      <c r="K35" s="121">
        <f>K11*Scaling!$E$30/1000</f>
        <v>201080.17689341833</v>
      </c>
      <c r="L35" s="121">
        <f>L11*Scaling!$E$30/1000</f>
        <v>162212.7278203262</v>
      </c>
      <c r="M35" s="121">
        <f>M11*Scaling!$E$30/1000</f>
        <v>131488.01727418468</v>
      </c>
      <c r="N35" s="121">
        <f>N11*Scaling!$E$30/1000</f>
        <v>88788.377925205277</v>
      </c>
      <c r="O35" s="36"/>
      <c r="P35" s="36"/>
      <c r="Q35" s="36"/>
      <c r="R35" s="36"/>
    </row>
    <row r="36" spans="1:18">
      <c r="A36" s="36"/>
      <c r="B36" s="119">
        <v>10</v>
      </c>
      <c r="C36" s="121">
        <f>C12*Scaling!$E$30/1000</f>
        <v>144798.17486627196</v>
      </c>
      <c r="D36" s="121">
        <f>D12*Scaling!$E$30/1000</f>
        <v>158821.65546485322</v>
      </c>
      <c r="E36" s="121">
        <f>E12*Scaling!$E$30/1000</f>
        <v>203857.55937662604</v>
      </c>
      <c r="F36" s="121">
        <f>F12*Scaling!$E$30/1000</f>
        <v>247884.19804993828</v>
      </c>
      <c r="G36" s="121">
        <f>G12*Scaling!$E$30/1000</f>
        <v>226397.91276404896</v>
      </c>
      <c r="H36" s="121">
        <f>H12*Scaling!$E$30/1000</f>
        <v>247390.41747928964</v>
      </c>
      <c r="I36" s="121">
        <f>I12*Scaling!$E$30/1000</f>
        <v>230607.95059780459</v>
      </c>
      <c r="J36" s="121">
        <f>J12*Scaling!$E$30/1000</f>
        <v>235513.16386536209</v>
      </c>
      <c r="K36" s="121">
        <f>K12*Scaling!$E$30/1000</f>
        <v>237048.11126824154</v>
      </c>
      <c r="L36" s="121">
        <f>L12*Scaling!$E$30/1000</f>
        <v>199718.89200360555</v>
      </c>
      <c r="M36" s="121">
        <f>M12*Scaling!$E$30/1000</f>
        <v>170110.14573119686</v>
      </c>
      <c r="N36" s="121">
        <f>N12*Scaling!$E$30/1000</f>
        <v>131980.10899423648</v>
      </c>
      <c r="O36" s="36"/>
      <c r="P36" s="36"/>
      <c r="Q36" s="36"/>
      <c r="R36" s="36"/>
    </row>
    <row r="37" spans="1:18">
      <c r="A37" s="36"/>
      <c r="B37" s="119">
        <v>11</v>
      </c>
      <c r="C37" s="121">
        <f>C13*Scaling!$E$30/1000</f>
        <v>171643.91247821756</v>
      </c>
      <c r="D37" s="121">
        <f>D13*Scaling!$E$30/1000</f>
        <v>177406.97146822404</v>
      </c>
      <c r="E37" s="121">
        <f>E13*Scaling!$E$30/1000</f>
        <v>226318.10749281311</v>
      </c>
      <c r="F37" s="121">
        <f>F13*Scaling!$E$30/1000</f>
        <v>260679.58522471919</v>
      </c>
      <c r="G37" s="121">
        <f>G13*Scaling!$E$30/1000</f>
        <v>245267.47089879285</v>
      </c>
      <c r="H37" s="121">
        <f>H13*Scaling!$E$30/1000</f>
        <v>260673.52558103629</v>
      </c>
      <c r="I37" s="121">
        <f>I13*Scaling!$E$30/1000</f>
        <v>242642.87093675311</v>
      </c>
      <c r="J37" s="121">
        <f>J13*Scaling!$E$30/1000</f>
        <v>239034.68209003436</v>
      </c>
      <c r="K37" s="121">
        <f>K13*Scaling!$E$30/1000</f>
        <v>245412.0532089585</v>
      </c>
      <c r="L37" s="121">
        <f>L13*Scaling!$E$30/1000</f>
        <v>222308.48218199593</v>
      </c>
      <c r="M37" s="121">
        <f>M13*Scaling!$E$30/1000</f>
        <v>198833.30157708813</v>
      </c>
      <c r="N37" s="121">
        <f>N13*Scaling!$E$30/1000</f>
        <v>163041.11402801625</v>
      </c>
      <c r="O37" s="36"/>
      <c r="P37" s="36"/>
      <c r="Q37" s="36"/>
      <c r="R37" s="36"/>
    </row>
    <row r="38" spans="1:18">
      <c r="A38" s="36"/>
      <c r="B38" s="119">
        <v>12</v>
      </c>
      <c r="C38" s="121">
        <f>C14*Scaling!$E$30/1000</f>
        <v>188289.05082943989</v>
      </c>
      <c r="D38" s="121">
        <f>D14*Scaling!$E$30/1000</f>
        <v>187295.81640286656</v>
      </c>
      <c r="E38" s="121">
        <f>E14*Scaling!$E$30/1000</f>
        <v>221729.75924664782</v>
      </c>
      <c r="F38" s="121">
        <f>F14*Scaling!$E$30/1000</f>
        <v>272446.08017339074</v>
      </c>
      <c r="G38" s="121">
        <f>G14*Scaling!$E$30/1000</f>
        <v>254472.33469321637</v>
      </c>
      <c r="H38" s="121">
        <f>H14*Scaling!$E$30/1000</f>
        <v>263513.92788071692</v>
      </c>
      <c r="I38" s="121">
        <f>I14*Scaling!$E$30/1000</f>
        <v>246556.84441887517</v>
      </c>
      <c r="J38" s="121">
        <f>J14*Scaling!$E$30/1000</f>
        <v>251409.84414984571</v>
      </c>
      <c r="K38" s="121">
        <f>K14*Scaling!$E$30/1000</f>
        <v>247296.83556113689</v>
      </c>
      <c r="L38" s="121">
        <f>L14*Scaling!$E$30/1000</f>
        <v>217129.02154137733</v>
      </c>
      <c r="M38" s="121">
        <f>M14*Scaling!$E$30/1000</f>
        <v>206133.63351723042</v>
      </c>
      <c r="N38" s="121">
        <f>N14*Scaling!$E$30/1000</f>
        <v>169644.91879188796</v>
      </c>
      <c r="O38" s="36"/>
      <c r="P38" s="129"/>
      <c r="Q38" s="36"/>
      <c r="R38" s="36"/>
    </row>
    <row r="39" spans="1:18">
      <c r="A39" s="36"/>
      <c r="B39" s="119">
        <v>13</v>
      </c>
      <c r="C39" s="121">
        <f>C15*Scaling!$E$30/1000</f>
        <v>181027.44217627586</v>
      </c>
      <c r="D39" s="121">
        <f>D15*Scaling!$E$30/1000</f>
        <v>178433.90536683003</v>
      </c>
      <c r="E39" s="121">
        <f>E15*Scaling!$E$30/1000</f>
        <v>222604.20661641035</v>
      </c>
      <c r="F39" s="121">
        <f>F15*Scaling!$E$30/1000</f>
        <v>252252.20852301171</v>
      </c>
      <c r="G39" s="121">
        <f>G15*Scaling!$E$30/1000</f>
        <v>251006.00301918483</v>
      </c>
      <c r="H39" s="121">
        <f>H15*Scaling!$E$30/1000</f>
        <v>251273.80815458376</v>
      </c>
      <c r="I39" s="121">
        <f>I15*Scaling!$E$30/1000</f>
        <v>250561.15556799158</v>
      </c>
      <c r="J39" s="121">
        <f>J15*Scaling!$E$30/1000</f>
        <v>236460.96754387481</v>
      </c>
      <c r="K39" s="121">
        <f>K15*Scaling!$E$30/1000</f>
        <v>236250.3841882071</v>
      </c>
      <c r="L39" s="121">
        <f>L15*Scaling!$E$30/1000</f>
        <v>205306.73783584486</v>
      </c>
      <c r="M39" s="121">
        <f>M15*Scaling!$E$30/1000</f>
        <v>185333.46683734978</v>
      </c>
      <c r="N39" s="121">
        <f>N15*Scaling!$E$30/1000</f>
        <v>160626.52630780492</v>
      </c>
      <c r="O39" s="36"/>
      <c r="P39" s="36"/>
      <c r="Q39" s="36"/>
      <c r="R39" s="36"/>
    </row>
    <row r="40" spans="1:18">
      <c r="A40" s="36"/>
      <c r="B40" s="119">
        <v>14</v>
      </c>
      <c r="C40" s="121">
        <f>C16*Scaling!$E$30/1000</f>
        <v>161409.16930834897</v>
      </c>
      <c r="D40" s="121">
        <f>D16*Scaling!$E$30/1000</f>
        <v>173531.82433669001</v>
      </c>
      <c r="E40" s="121">
        <f>E16*Scaling!$E$30/1000</f>
        <v>206144.77857464502</v>
      </c>
      <c r="F40" s="121">
        <f>F16*Scaling!$E$30/1000</f>
        <v>243599.87571046967</v>
      </c>
      <c r="G40" s="121">
        <f>G16*Scaling!$E$30/1000</f>
        <v>237064.06531709497</v>
      </c>
      <c r="H40" s="121">
        <f>H16*Scaling!$E$30/1000</f>
        <v>248984.09527918746</v>
      </c>
      <c r="I40" s="121">
        <f>I16*Scaling!$E$30/1000</f>
        <v>237107.46776898942</v>
      </c>
      <c r="J40" s="121">
        <f>J16*Scaling!$E$30/1000</f>
        <v>227402.58690579288</v>
      </c>
      <c r="K40" s="121">
        <f>K16*Scaling!$E$30/1000</f>
        <v>214869.32963315208</v>
      </c>
      <c r="L40" s="121">
        <f>L16*Scaling!$E$30/1000</f>
        <v>197764.69080307445</v>
      </c>
      <c r="M40" s="121">
        <f>M16*Scaling!$E$30/1000</f>
        <v>151167.49220319311</v>
      </c>
      <c r="N40" s="121">
        <f>N16*Scaling!$E$30/1000</f>
        <v>134781.56749115285</v>
      </c>
      <c r="O40" s="36"/>
      <c r="P40" s="36"/>
      <c r="Q40" s="36"/>
      <c r="R40" s="36"/>
    </row>
    <row r="41" spans="1:18">
      <c r="A41" s="36"/>
      <c r="B41" s="119">
        <v>15</v>
      </c>
      <c r="C41" s="121">
        <f>C17*Scaling!$E$30/1000</f>
        <v>123932.57591659004</v>
      </c>
      <c r="D41" s="121">
        <f>D17*Scaling!$E$30/1000</f>
        <v>146154.46569712958</v>
      </c>
      <c r="E41" s="121">
        <f>E17*Scaling!$E$30/1000</f>
        <v>179846.71700752477</v>
      </c>
      <c r="F41" s="121">
        <f>F17*Scaling!$E$30/1000</f>
        <v>223956.7979362995</v>
      </c>
      <c r="G41" s="121">
        <f>G17*Scaling!$E$30/1000</f>
        <v>211988.28246605879</v>
      </c>
      <c r="H41" s="121">
        <f>H17*Scaling!$E$30/1000</f>
        <v>217984.60268962238</v>
      </c>
      <c r="I41" s="121">
        <f>I17*Scaling!$E$30/1000</f>
        <v>225121.90083669435</v>
      </c>
      <c r="J41" s="121">
        <f>J17*Scaling!$E$30/1000</f>
        <v>201633.10860073063</v>
      </c>
      <c r="K41" s="121">
        <f>K17*Scaling!$E$30/1000</f>
        <v>186139.56015824524</v>
      </c>
      <c r="L41" s="121">
        <f>L17*Scaling!$E$30/1000</f>
        <v>160944.55060263607</v>
      </c>
      <c r="M41" s="121">
        <f>M17*Scaling!$E$30/1000</f>
        <v>108129.04650660873</v>
      </c>
      <c r="N41" s="121">
        <f>N17*Scaling!$E$30/1000</f>
        <v>92598.725683810306</v>
      </c>
      <c r="O41" s="36"/>
      <c r="P41" s="36"/>
      <c r="Q41" s="36"/>
      <c r="R41" s="36"/>
    </row>
    <row r="42" spans="1:18">
      <c r="A42" s="36"/>
      <c r="B42" s="119">
        <v>16</v>
      </c>
      <c r="C42" s="121">
        <f>C18*Scaling!$E$30/1000</f>
        <v>54740.27955391565</v>
      </c>
      <c r="D42" s="121">
        <f>D18*Scaling!$E$30/1000</f>
        <v>94229.639696230268</v>
      </c>
      <c r="E42" s="121">
        <f>E18*Scaling!$E$30/1000</f>
        <v>121834.37070394402</v>
      </c>
      <c r="F42" s="121">
        <f>F18*Scaling!$E$30/1000</f>
        <v>159229.20458704061</v>
      </c>
      <c r="G42" s="121">
        <f>G18*Scaling!$E$30/1000</f>
        <v>171945.68295201787</v>
      </c>
      <c r="H42" s="121">
        <f>H18*Scaling!$E$30/1000</f>
        <v>184137.97796725898</v>
      </c>
      <c r="I42" s="121">
        <f>I18*Scaling!$E$30/1000</f>
        <v>181291.97417893828</v>
      </c>
      <c r="J42" s="121">
        <f>J18*Scaling!$E$30/1000</f>
        <v>143722.18730906773</v>
      </c>
      <c r="K42" s="121">
        <f>K18*Scaling!$E$30/1000</f>
        <v>112568.58636354277</v>
      </c>
      <c r="L42" s="121">
        <f>L18*Scaling!$E$30/1000</f>
        <v>97586.528204242844</v>
      </c>
      <c r="M42" s="121">
        <f>M18*Scaling!$E$30/1000</f>
        <v>49043.981516227184</v>
      </c>
      <c r="N42" s="121">
        <f>N18*Scaling!$E$30/1000</f>
        <v>25193.780023969801</v>
      </c>
      <c r="O42" s="36"/>
      <c r="P42" s="36"/>
      <c r="Q42" s="36"/>
      <c r="R42" s="36"/>
    </row>
    <row r="43" spans="1:18">
      <c r="A43" s="36"/>
      <c r="B43" s="119">
        <v>17</v>
      </c>
      <c r="C43" s="121">
        <f>C19*Scaling!$E$30/1000</f>
        <v>0</v>
      </c>
      <c r="D43" s="121">
        <f>D19*Scaling!$E$30/1000</f>
        <v>0</v>
      </c>
      <c r="E43" s="121">
        <f>E19*Scaling!$E$30/1000</f>
        <v>41828.023707910921</v>
      </c>
      <c r="F43" s="121">
        <f>F19*Scaling!$E$30/1000</f>
        <v>85850.71419760857</v>
      </c>
      <c r="G43" s="121">
        <f>G19*Scaling!$E$30/1000</f>
        <v>109732.56183155322</v>
      </c>
      <c r="H43" s="121">
        <f>H19*Scaling!$E$30/1000</f>
        <v>124081.65203676409</v>
      </c>
      <c r="I43" s="121">
        <f>I19*Scaling!$E$30/1000</f>
        <v>113267.72794206941</v>
      </c>
      <c r="J43" s="121">
        <f>J19*Scaling!$E$30/1000</f>
        <v>70639.270892230707</v>
      </c>
      <c r="K43" s="121">
        <f>K19*Scaling!$E$30/1000</f>
        <v>41085.012464533982</v>
      </c>
      <c r="L43" s="121">
        <f>L19*Scaling!$E$30/1000</f>
        <v>0</v>
      </c>
      <c r="M43" s="121">
        <f>M19*Scaling!$E$30/1000</f>
        <v>0</v>
      </c>
      <c r="N43" s="121">
        <f>N19*Scaling!$E$30/1000</f>
        <v>0</v>
      </c>
      <c r="O43" s="36"/>
      <c r="P43" s="36"/>
      <c r="Q43" s="36"/>
      <c r="R43" s="36"/>
    </row>
    <row r="44" spans="1:18">
      <c r="A44" s="36"/>
      <c r="B44" s="119">
        <v>18</v>
      </c>
      <c r="C44" s="121">
        <f>C20*Scaling!$E$30/1000</f>
        <v>0</v>
      </c>
      <c r="D44" s="121">
        <f>D20*Scaling!$E$30/1000</f>
        <v>0</v>
      </c>
      <c r="E44" s="121">
        <f>E20*Scaling!$E$30/1000</f>
        <v>0</v>
      </c>
      <c r="F44" s="121">
        <f>F20*Scaling!$E$30/1000</f>
        <v>0</v>
      </c>
      <c r="G44" s="121">
        <f>G20*Scaling!$E$30/1000</f>
        <v>26427.713099558812</v>
      </c>
      <c r="H44" s="121">
        <f>H20*Scaling!$E$30/1000</f>
        <v>44870.692655844294</v>
      </c>
      <c r="I44" s="121">
        <f>I20*Scaling!$E$30/1000</f>
        <v>34434.090575402224</v>
      </c>
      <c r="J44" s="121">
        <f>J20*Scaling!$E$30/1000</f>
        <v>0</v>
      </c>
      <c r="K44" s="121">
        <f>K20*Scaling!$E$30/1000</f>
        <v>0</v>
      </c>
      <c r="L44" s="121">
        <f>L20*Scaling!$E$30/1000</f>
        <v>0</v>
      </c>
      <c r="M44" s="121">
        <f>M20*Scaling!$E$30/1000</f>
        <v>0</v>
      </c>
      <c r="N44" s="121">
        <f>N20*Scaling!$E$30/1000</f>
        <v>0</v>
      </c>
      <c r="O44" s="36"/>
      <c r="P44" s="36"/>
      <c r="Q44" s="36"/>
      <c r="R44" s="36"/>
    </row>
    <row r="45" spans="1:18">
      <c r="A45" s="36"/>
      <c r="B45" s="119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36"/>
      <c r="P45" s="36"/>
      <c r="Q45" s="36"/>
      <c r="R45" s="36"/>
    </row>
    <row r="46" spans="1:18">
      <c r="A46" s="36"/>
      <c r="B46" s="118" t="s">
        <v>97</v>
      </c>
      <c r="C46" s="124">
        <f>SUM(C32:C44)*C23/1000000</f>
        <v>35.000355547941332</v>
      </c>
      <c r="D46" s="124">
        <f t="shared" ref="D46:N46" si="3">SUM(D32:D44)*D23/1000000</f>
        <v>36.013978669303611</v>
      </c>
      <c r="E46" s="124">
        <f t="shared" si="3"/>
        <v>53.157221912666586</v>
      </c>
      <c r="F46" s="124">
        <f t="shared" si="3"/>
        <v>65.196493597366441</v>
      </c>
      <c r="G46" s="124">
        <f t="shared" si="3"/>
        <v>68.041511360846698</v>
      </c>
      <c r="H46" s="124">
        <f t="shared" si="3"/>
        <v>72.062141052571576</v>
      </c>
      <c r="I46" s="124">
        <f t="shared" si="3"/>
        <v>68.724446794450728</v>
      </c>
      <c r="J46" s="124">
        <f t="shared" si="3"/>
        <v>60.373309566644984</v>
      </c>
      <c r="K46" s="124">
        <f t="shared" si="3"/>
        <v>58.668366926119262</v>
      </c>
      <c r="L46" s="124">
        <f t="shared" si="3"/>
        <v>48.270355233228003</v>
      </c>
      <c r="M46" s="124">
        <f t="shared" si="3"/>
        <v>37.684316368820461</v>
      </c>
      <c r="N46" s="124">
        <f t="shared" si="3"/>
        <v>30.409188483512366</v>
      </c>
      <c r="O46" s="124">
        <f>SUM(C46:N46)</f>
        <v>633.60168551347192</v>
      </c>
      <c r="P46" s="130" t="s">
        <v>20</v>
      </c>
      <c r="Q46" s="36"/>
      <c r="R46" s="36"/>
    </row>
    <row r="47" spans="1:18">
      <c r="A47" s="36"/>
      <c r="B47" s="118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30"/>
      <c r="Q47" s="36"/>
      <c r="R47" s="36"/>
    </row>
    <row r="48" spans="1:1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36"/>
      <c r="B49" s="118" t="s">
        <v>7</v>
      </c>
      <c r="C49" s="131">
        <f>Scaling!E9</f>
        <v>217000</v>
      </c>
      <c r="D49" s="130" t="s">
        <v>8</v>
      </c>
      <c r="E49" s="36"/>
      <c r="F49" s="130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36"/>
      <c r="B50" s="118" t="s">
        <v>98</v>
      </c>
      <c r="C50" s="123">
        <f>O24</f>
        <v>3897</v>
      </c>
      <c r="D50" s="130"/>
      <c r="E50" s="36"/>
      <c r="F50" s="130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36"/>
      <c r="B51" s="118" t="s">
        <v>99</v>
      </c>
      <c r="C51" s="132">
        <f>C49*C50/1000000</f>
        <v>845.649</v>
      </c>
      <c r="D51" s="130" t="s">
        <v>20</v>
      </c>
      <c r="E51" s="36"/>
      <c r="F51" s="130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36"/>
      <c r="B52" s="36"/>
      <c r="C52" s="156" t="s">
        <v>100</v>
      </c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36"/>
      <c r="P52" s="36"/>
      <c r="Q52" s="36"/>
      <c r="R52" s="36"/>
    </row>
    <row r="53" spans="1:18">
      <c r="A53" s="36"/>
      <c r="B53" s="118" t="s">
        <v>88</v>
      </c>
      <c r="C53" s="34">
        <f>COUNTIF(C32:C44, "&gt;="&amp;$C$49)</f>
        <v>0</v>
      </c>
      <c r="D53" s="34">
        <f t="shared" ref="D53:N53" si="4">COUNTIF(D32:D44, "&gt;="&amp;$C$49)</f>
        <v>0</v>
      </c>
      <c r="E53" s="34">
        <f t="shared" si="4"/>
        <v>3</v>
      </c>
      <c r="F53" s="34">
        <f t="shared" si="4"/>
        <v>7</v>
      </c>
      <c r="G53" s="34">
        <f t="shared" si="4"/>
        <v>5</v>
      </c>
      <c r="H53" s="34">
        <f t="shared" si="4"/>
        <v>7</v>
      </c>
      <c r="I53" s="34">
        <f t="shared" si="4"/>
        <v>6</v>
      </c>
      <c r="J53" s="34">
        <f t="shared" si="4"/>
        <v>5</v>
      </c>
      <c r="K53" s="34">
        <f t="shared" si="4"/>
        <v>4</v>
      </c>
      <c r="L53" s="34">
        <f t="shared" si="4"/>
        <v>2</v>
      </c>
      <c r="M53" s="34">
        <f t="shared" si="4"/>
        <v>0</v>
      </c>
      <c r="N53" s="34">
        <f t="shared" si="4"/>
        <v>0</v>
      </c>
      <c r="O53" s="119" t="s">
        <v>101</v>
      </c>
      <c r="P53" s="36"/>
      <c r="Q53" s="36"/>
      <c r="R53" s="36"/>
    </row>
    <row r="54" spans="1:18">
      <c r="A54" s="36"/>
      <c r="B54" s="118" t="s">
        <v>92</v>
      </c>
      <c r="C54" s="34">
        <f t="shared" ref="C54:N54" si="5">C53*C23</f>
        <v>0</v>
      </c>
      <c r="D54" s="34">
        <f t="shared" si="5"/>
        <v>0</v>
      </c>
      <c r="E54" s="34">
        <f t="shared" si="5"/>
        <v>93</v>
      </c>
      <c r="F54" s="34">
        <f t="shared" si="5"/>
        <v>210</v>
      </c>
      <c r="G54" s="34">
        <f t="shared" si="5"/>
        <v>155</v>
      </c>
      <c r="H54" s="34">
        <f t="shared" si="5"/>
        <v>210</v>
      </c>
      <c r="I54" s="34">
        <f t="shared" si="5"/>
        <v>186</v>
      </c>
      <c r="J54" s="34">
        <f t="shared" si="5"/>
        <v>150</v>
      </c>
      <c r="K54" s="34">
        <f t="shared" si="5"/>
        <v>124</v>
      </c>
      <c r="L54" s="34">
        <f t="shared" si="5"/>
        <v>62</v>
      </c>
      <c r="M54" s="34">
        <f t="shared" si="5"/>
        <v>0</v>
      </c>
      <c r="N54" s="34">
        <f t="shared" si="5"/>
        <v>0</v>
      </c>
      <c r="O54" s="34">
        <f>SUM(C54:N54)</f>
        <v>1190</v>
      </c>
      <c r="P54" s="130" t="s">
        <v>10</v>
      </c>
      <c r="Q54" s="36"/>
      <c r="R54" s="36"/>
    </row>
    <row r="55" spans="1:18">
      <c r="A55" s="36"/>
      <c r="B55" s="36"/>
      <c r="C55" s="34"/>
      <c r="D55" s="133"/>
      <c r="E55" s="123"/>
      <c r="F55" s="123"/>
      <c r="G55" s="123"/>
      <c r="H55" s="34"/>
      <c r="I55" s="34"/>
      <c r="J55" s="34"/>
      <c r="K55" s="34"/>
      <c r="L55" s="34"/>
      <c r="M55" s="34"/>
      <c r="N55" s="34"/>
      <c r="O55" s="34"/>
      <c r="P55" s="36"/>
      <c r="Q55" s="36"/>
      <c r="R55" s="36"/>
    </row>
    <row r="56" spans="1:18">
      <c r="A56" s="36"/>
      <c r="B56" s="118" t="s">
        <v>102</v>
      </c>
      <c r="C56" s="124">
        <f>SUMIF(C32:C44,"&gt;="&amp;$C$49)*C23/1000000</f>
        <v>0</v>
      </c>
      <c r="D56" s="124">
        <f t="shared" ref="D56:N56" si="6">SUMIF(D32:D44,"&gt;="&amp;$C$49)*D23/1000000</f>
        <v>0</v>
      </c>
      <c r="E56" s="124">
        <f t="shared" si="6"/>
        <v>20.790214274032007</v>
      </c>
      <c r="F56" s="124">
        <f t="shared" si="6"/>
        <v>51.589177451814166</v>
      </c>
      <c r="G56" s="124">
        <f t="shared" si="6"/>
        <v>37.640441387462481</v>
      </c>
      <c r="H56" s="124">
        <f t="shared" si="6"/>
        <v>51.578093230225768</v>
      </c>
      <c r="I56" s="124">
        <f t="shared" si="6"/>
        <v>44.410543893940357</v>
      </c>
      <c r="J56" s="124">
        <f t="shared" si="6"/>
        <v>35.694637336647297</v>
      </c>
      <c r="K56" s="124">
        <f t="shared" si="6"/>
        <v>29.946228911022864</v>
      </c>
      <c r="L56" s="124">
        <f t="shared" si="6"/>
        <v>13.622562615424572</v>
      </c>
      <c r="M56" s="124">
        <f t="shared" si="6"/>
        <v>0</v>
      </c>
      <c r="N56" s="124">
        <f t="shared" si="6"/>
        <v>0</v>
      </c>
      <c r="O56" s="124">
        <f>SUM(C56:N56)</f>
        <v>285.2718991005695</v>
      </c>
      <c r="P56" s="130" t="s">
        <v>20</v>
      </c>
      <c r="Q56" s="36"/>
      <c r="R56" s="36"/>
    </row>
    <row r="57" spans="1:18">
      <c r="A57" s="36"/>
      <c r="B57" s="118" t="s">
        <v>103</v>
      </c>
      <c r="C57" s="124">
        <f>(SUMIF(C32:C44,"&gt;="&amp;$C$49)-C53*$C$49)*C23/1000000</f>
        <v>0</v>
      </c>
      <c r="D57" s="124">
        <f t="shared" ref="D57:N57" si="7">(SUMIF(D32:D44,"&gt;="&amp;$C$49)-D53*$C$49)*D23/1000000</f>
        <v>0</v>
      </c>
      <c r="E57" s="124">
        <f t="shared" si="7"/>
        <v>0.60921427403200878</v>
      </c>
      <c r="F57" s="124">
        <f t="shared" si="7"/>
        <v>6.0191774518141639</v>
      </c>
      <c r="G57" s="124">
        <f t="shared" si="7"/>
        <v>4.0054413874624801</v>
      </c>
      <c r="H57" s="124">
        <f t="shared" si="7"/>
        <v>6.0080932302257741</v>
      </c>
      <c r="I57" s="124">
        <f t="shared" si="7"/>
        <v>4.048543893940356</v>
      </c>
      <c r="J57" s="124">
        <f t="shared" si="7"/>
        <v>3.1446373366472962</v>
      </c>
      <c r="K57" s="124">
        <f t="shared" si="7"/>
        <v>3.0382289110228662</v>
      </c>
      <c r="L57" s="124">
        <f t="shared" si="7"/>
        <v>0.1685626154245719</v>
      </c>
      <c r="M57" s="124">
        <f t="shared" si="7"/>
        <v>0</v>
      </c>
      <c r="N57" s="124">
        <f t="shared" si="7"/>
        <v>0</v>
      </c>
      <c r="O57" s="124">
        <f>SUM(C57:N57)</f>
        <v>27.04189910056952</v>
      </c>
      <c r="P57" s="130" t="s">
        <v>20</v>
      </c>
      <c r="Q57" s="36"/>
      <c r="R57" s="36"/>
    </row>
    <row r="58" spans="1:18">
      <c r="A58" s="36"/>
      <c r="B58" s="118" t="s">
        <v>104</v>
      </c>
      <c r="C58" s="124">
        <f>C56-C57</f>
        <v>0</v>
      </c>
      <c r="D58" s="124">
        <f t="shared" ref="D58:N58" si="8">D56-D57</f>
        <v>0</v>
      </c>
      <c r="E58" s="124">
        <f t="shared" si="8"/>
        <v>20.180999999999997</v>
      </c>
      <c r="F58" s="124">
        <f t="shared" si="8"/>
        <v>45.57</v>
      </c>
      <c r="G58" s="124">
        <f t="shared" si="8"/>
        <v>33.634999999999998</v>
      </c>
      <c r="H58" s="124">
        <f t="shared" si="8"/>
        <v>45.569999999999993</v>
      </c>
      <c r="I58" s="124">
        <f t="shared" si="8"/>
        <v>40.362000000000002</v>
      </c>
      <c r="J58" s="124">
        <f t="shared" si="8"/>
        <v>32.549999999999997</v>
      </c>
      <c r="K58" s="124">
        <f t="shared" si="8"/>
        <v>26.907999999999998</v>
      </c>
      <c r="L58" s="124">
        <f t="shared" si="8"/>
        <v>13.454000000000001</v>
      </c>
      <c r="M58" s="124">
        <f t="shared" si="8"/>
        <v>0</v>
      </c>
      <c r="N58" s="124">
        <f t="shared" si="8"/>
        <v>0</v>
      </c>
      <c r="O58" s="124">
        <f>SUM(C58:N58)</f>
        <v>258.22999999999996</v>
      </c>
      <c r="P58" s="130" t="s">
        <v>20</v>
      </c>
      <c r="Q58" s="36"/>
      <c r="R58" s="36"/>
    </row>
    <row r="59" spans="1:18">
      <c r="A59" s="36"/>
      <c r="B59" s="36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36"/>
      <c r="P59" s="36"/>
      <c r="Q59" s="36"/>
      <c r="R59" s="36"/>
    </row>
    <row r="60" spans="1:18">
      <c r="A60" s="36"/>
      <c r="B60" s="36"/>
      <c r="C60" s="156" t="s">
        <v>105</v>
      </c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36"/>
      <c r="P60" s="36"/>
      <c r="Q60" s="36"/>
      <c r="R60" s="36"/>
    </row>
    <row r="61" spans="1:18">
      <c r="A61" s="36"/>
      <c r="B61" s="118" t="s">
        <v>88</v>
      </c>
      <c r="C61" s="123">
        <f t="array" ref="C61">COUNT(IF(C32:C44&gt;0,IF(C32:C44&lt;=$C$49,C32:C44,"")))</f>
        <v>9</v>
      </c>
      <c r="D61" s="123">
        <f t="array" ref="D61">COUNT(IF(D32:D44&gt;0,IF(D32:D44&lt;=$C$49,D32:D44,"")))</f>
        <v>9</v>
      </c>
      <c r="E61" s="123">
        <f t="array" ref="E61">COUNT(IF(E32:E44&gt;0,IF(E32:E44&lt;=$C$49,E32:E44,"")))</f>
        <v>8</v>
      </c>
      <c r="F61" s="123">
        <f t="array" ref="F61">COUNT(IF(F32:F44&gt;0,IF(F32:F44&lt;=$C$49,F32:F44,"")))</f>
        <v>4</v>
      </c>
      <c r="G61" s="123">
        <f t="array" ref="G61">COUNT(IF(G32:G44&gt;0,IF(G32:G44&lt;=$C$49,G32:G44,"")))</f>
        <v>8</v>
      </c>
      <c r="H61" s="123">
        <f t="array" ref="H61">COUNT(IF(H32:H44&gt;0,IF(H32:H44&lt;=$C$49,H32:H44,"")))</f>
        <v>6</v>
      </c>
      <c r="I61" s="123">
        <f t="array" ref="I61">COUNT(IF(I32:I44&gt;0,IF(I32:I44&lt;=$C$49,I32:I44,"")))</f>
        <v>7</v>
      </c>
      <c r="J61" s="123">
        <f t="array" ref="J61">COUNT(IF(J32:J44&gt;0,IF(J32:J44&lt;=$C$49,J32:J44,"")))</f>
        <v>6</v>
      </c>
      <c r="K61" s="123">
        <f t="array" ref="K61">COUNT(IF(K32:K44&gt;0,IF(K32:K44&lt;=$C$49,K32:K44,"")))</f>
        <v>7</v>
      </c>
      <c r="L61" s="123">
        <f t="array" ref="L61">COUNT(IF(L32:L44&gt;0,IF(L32:L44&lt;=$C$49,L32:L44,"")))</f>
        <v>7</v>
      </c>
      <c r="M61" s="123">
        <f t="array" ref="M61">COUNT(IF(M32:M44&gt;0,IF(M32:M44&lt;=$C$49,M32:M44,"")))</f>
        <v>9</v>
      </c>
      <c r="N61" s="123">
        <f t="array" ref="N61">COUNT(IF(N32:N44&gt;0,IF(N32:N44&lt;=$C$49,N32:N44,"")))</f>
        <v>9</v>
      </c>
      <c r="O61" s="119" t="s">
        <v>101</v>
      </c>
      <c r="P61" s="36"/>
      <c r="Q61" s="36"/>
      <c r="R61" s="36"/>
    </row>
    <row r="62" spans="1:18">
      <c r="A62" s="36"/>
      <c r="B62" s="118" t="s">
        <v>92</v>
      </c>
      <c r="C62" s="34">
        <f>C61*C23</f>
        <v>279</v>
      </c>
      <c r="D62" s="34">
        <f t="shared" ref="D62:N62" si="9">D61*D23</f>
        <v>252</v>
      </c>
      <c r="E62" s="34">
        <f t="shared" si="9"/>
        <v>248</v>
      </c>
      <c r="F62" s="34">
        <f t="shared" si="9"/>
        <v>120</v>
      </c>
      <c r="G62" s="34">
        <f t="shared" si="9"/>
        <v>248</v>
      </c>
      <c r="H62" s="34">
        <f t="shared" si="9"/>
        <v>180</v>
      </c>
      <c r="I62" s="34">
        <f t="shared" si="9"/>
        <v>217</v>
      </c>
      <c r="J62" s="34">
        <f t="shared" si="9"/>
        <v>180</v>
      </c>
      <c r="K62" s="34">
        <f t="shared" si="9"/>
        <v>217</v>
      </c>
      <c r="L62" s="34">
        <f t="shared" si="9"/>
        <v>217</v>
      </c>
      <c r="M62" s="34">
        <f t="shared" si="9"/>
        <v>270</v>
      </c>
      <c r="N62" s="34">
        <f t="shared" si="9"/>
        <v>279</v>
      </c>
      <c r="O62" s="34">
        <f>SUM(C62:N62)</f>
        <v>2707</v>
      </c>
      <c r="P62" s="130" t="s">
        <v>10</v>
      </c>
      <c r="Q62" s="36"/>
      <c r="R62" s="36"/>
    </row>
    <row r="63" spans="1:18">
      <c r="A63" s="36"/>
      <c r="B63" s="118" t="s">
        <v>104</v>
      </c>
      <c r="C63" s="124">
        <f t="array" ref="C63">SUM(IF(C32:C44&gt;0,IF(C32:C44&lt;=$C$49,C32:C44,"")))*C23/1000000</f>
        <v>35.000355547941332</v>
      </c>
      <c r="D63" s="124">
        <f t="array" ref="D63">SUM(IF(D32:D44&gt;0,IF(D32:D44&lt;=$C$49,D32:D44,"")))*D23/1000000</f>
        <v>36.013978669303611</v>
      </c>
      <c r="E63" s="124">
        <f t="array" ref="E63">SUM(IF(E32:E44&gt;0,IF(E32:E44&lt;=$C$49,E32:E44,"")))*E23/1000000</f>
        <v>32.367007638634576</v>
      </c>
      <c r="F63" s="124">
        <f t="array" ref="F63">SUM(IF(F32:F44&gt;0,IF(F32:F44&lt;=$C$49,F32:F44,"")))*F23/1000000</f>
        <v>13.607316145552272</v>
      </c>
      <c r="G63" s="124">
        <f t="array" ref="G63">SUM(IF(G32:G44&gt;0,IF(G32:G44&lt;=$C$49,G32:G44,"")))*G23/1000000</f>
        <v>30.401069973384228</v>
      </c>
      <c r="H63" s="124">
        <f t="array" ref="H63">SUM(IF(H32:H44&gt;0,IF(H32:H44&lt;=$C$49,H32:H44,"")))*H23/1000000</f>
        <v>20.484047822345808</v>
      </c>
      <c r="I63" s="124">
        <f t="array" ref="I63">SUM(IF(I32:I44&gt;0,IF(I32:I44&lt;=$C$49,I32:I44,"")))*I23/1000000</f>
        <v>24.313902900510389</v>
      </c>
      <c r="J63" s="124">
        <f t="array" ref="J63">SUM(IF(J32:J44&gt;0,IF(J32:J44&lt;=$C$49,J32:J44,"")))*J23/1000000</f>
        <v>24.678672229997687</v>
      </c>
      <c r="K63" s="124">
        <f t="array" ref="K63">SUM(IF(K32:K44&gt;0,IF(K32:K44&lt;=$C$49,K32:K44,"")))*K23/1000000</f>
        <v>28.722138015096395</v>
      </c>
      <c r="L63" s="124">
        <f t="array" ref="L63">SUM(IF(L32:L44&gt;0,IF(L32:L44&lt;=$C$49,L32:L44,"")))*L23/1000000</f>
        <v>34.647792617803432</v>
      </c>
      <c r="M63" s="124">
        <f t="array" ref="M63">SUM(IF(M32:M44&gt;0,IF(M32:M44&lt;=$C$49,M32:M44,"")))*M23/1000000</f>
        <v>37.684316368820461</v>
      </c>
      <c r="N63" s="124">
        <f t="array" ref="N63">SUM(IF(N32:N44&gt;0,IF(N32:N44&lt;=$C$49,N32:N44,"")))*N23/1000000</f>
        <v>30.409188483512366</v>
      </c>
      <c r="O63" s="124">
        <f>SUM(C63:N63)</f>
        <v>348.32978641290259</v>
      </c>
      <c r="P63" s="130" t="s">
        <v>20</v>
      </c>
      <c r="Q63" s="36"/>
      <c r="R63" s="36"/>
    </row>
    <row r="64" spans="1:18">
      <c r="A64" s="36"/>
      <c r="B64" s="118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30"/>
      <c r="Q64" s="36"/>
      <c r="R64" s="36"/>
    </row>
    <row r="65" spans="1:18">
      <c r="A65" s="36"/>
      <c r="B65" s="118" t="s">
        <v>106</v>
      </c>
      <c r="C65" s="124">
        <f>C62*$C$49/1000000-C63</f>
        <v>25.542644452058667</v>
      </c>
      <c r="D65" s="124">
        <f>D62*$C$49/1000000-D63</f>
        <v>18.670021330696386</v>
      </c>
      <c r="E65" s="124">
        <f t="shared" ref="E65:N65" si="10">E62*$C$49/1000000-E63</f>
        <v>21.448992361365427</v>
      </c>
      <c r="F65" s="124">
        <f t="shared" si="10"/>
        <v>12.432683854447728</v>
      </c>
      <c r="G65" s="124">
        <f t="shared" si="10"/>
        <v>23.414930026615774</v>
      </c>
      <c r="H65" s="124">
        <f t="shared" si="10"/>
        <v>18.575952177654194</v>
      </c>
      <c r="I65" s="124">
        <f t="shared" si="10"/>
        <v>22.77509709948961</v>
      </c>
      <c r="J65" s="124">
        <f t="shared" si="10"/>
        <v>14.381327770002315</v>
      </c>
      <c r="K65" s="124">
        <f t="shared" si="10"/>
        <v>18.366861984903604</v>
      </c>
      <c r="L65" s="124">
        <f t="shared" si="10"/>
        <v>12.441207382196566</v>
      </c>
      <c r="M65" s="124">
        <f t="shared" si="10"/>
        <v>20.905683631179542</v>
      </c>
      <c r="N65" s="124">
        <f t="shared" si="10"/>
        <v>30.133811516487633</v>
      </c>
      <c r="O65" s="124">
        <f>SUM(C65:N65)</f>
        <v>239.0892135870975</v>
      </c>
      <c r="P65" s="130" t="s">
        <v>20</v>
      </c>
      <c r="Q65" s="36"/>
      <c r="R65" s="36"/>
    </row>
    <row r="66" spans="1:18">
      <c r="A66" s="36"/>
      <c r="B66" s="118" t="s">
        <v>107</v>
      </c>
      <c r="C66" s="124">
        <f>(24*(Scaling!$E$10/8760)-(C53+C61))*$C$49*C23/1000000</f>
        <v>-6.7270000000000003</v>
      </c>
      <c r="D66" s="124">
        <f>(24*(Scaling!$E$10/8760)-(D53+D61))*$C$49*D23/1000000</f>
        <v>-6.0759999999999996</v>
      </c>
      <c r="E66" s="124">
        <f>(24*(Scaling!$E$10/8760)-(E53+E61))*$C$49*E23/1000000</f>
        <v>-20.181000000000001</v>
      </c>
      <c r="F66" s="124">
        <f>(24*(Scaling!$E$10/8760)-(F53+F61))*$C$49*F23/1000000</f>
        <v>-19.53</v>
      </c>
      <c r="G66" s="124">
        <f>(24*(Scaling!$E$10/8760)-(G53+G61))*$C$49*G23/1000000</f>
        <v>-33.634999999999998</v>
      </c>
      <c r="H66" s="124">
        <f>(24*(Scaling!$E$10/8760)-(H53+H61))*$C$49*H23/1000000</f>
        <v>-32.549999999999997</v>
      </c>
      <c r="I66" s="124">
        <f>(24*(Scaling!$E$10/8760)-(I53+I61))*$C$49*I23/1000000</f>
        <v>-33.634999999999998</v>
      </c>
      <c r="J66" s="124">
        <f>(24*(Scaling!$E$10/8760)-(J53+J61))*$C$49*J23/1000000</f>
        <v>-19.53</v>
      </c>
      <c r="K66" s="124">
        <f>(24*(Scaling!$E$10/8760)-(K53+K61))*$C$49*K23/1000000</f>
        <v>-20.181000000000001</v>
      </c>
      <c r="L66" s="124">
        <f>(24*(Scaling!$E$10/8760)-(L53+L61))*$C$49*L23/1000000</f>
        <v>-6.7270000000000003</v>
      </c>
      <c r="M66" s="124">
        <f>(24*(Scaling!$E$10/8760)-(M53+M61))*$C$49*M23/1000000</f>
        <v>-6.51</v>
      </c>
      <c r="N66" s="124">
        <f>(24*(Scaling!$E$10/8760)-(N53+N61))*$C$49*N23/1000000</f>
        <v>-6.7270000000000003</v>
      </c>
      <c r="O66" s="124">
        <f>SUM(C66:N66)</f>
        <v>-212.00900000000001</v>
      </c>
      <c r="P66" s="130" t="s">
        <v>20</v>
      </c>
      <c r="Q66" s="36"/>
      <c r="R66" s="36"/>
    </row>
    <row r="67" spans="1:18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36"/>
      <c r="B68" s="36"/>
      <c r="C68" s="156" t="s">
        <v>108</v>
      </c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19" t="s">
        <v>101</v>
      </c>
      <c r="Q68" s="36"/>
      <c r="R68" s="36"/>
    </row>
    <row r="69" spans="1:18">
      <c r="A69" s="36"/>
      <c r="B69" s="118" t="s">
        <v>109</v>
      </c>
      <c r="C69" s="124">
        <f>C58+C63</f>
        <v>35.000355547941332</v>
      </c>
      <c r="D69" s="124">
        <f t="shared" ref="D69:N69" si="11">D58+D63</f>
        <v>36.013978669303611</v>
      </c>
      <c r="E69" s="124">
        <f t="shared" si="11"/>
        <v>52.548007638634573</v>
      </c>
      <c r="F69" s="124">
        <f t="shared" si="11"/>
        <v>59.177316145552268</v>
      </c>
      <c r="G69" s="124">
        <f t="shared" si="11"/>
        <v>64.03606997338423</v>
      </c>
      <c r="H69" s="124">
        <f t="shared" si="11"/>
        <v>66.054047822345808</v>
      </c>
      <c r="I69" s="124">
        <f t="shared" si="11"/>
        <v>64.675902900510394</v>
      </c>
      <c r="J69" s="124">
        <f t="shared" si="11"/>
        <v>57.228672229997684</v>
      </c>
      <c r="K69" s="124">
        <f t="shared" si="11"/>
        <v>55.630138015096392</v>
      </c>
      <c r="L69" s="124">
        <f t="shared" si="11"/>
        <v>48.101792617803433</v>
      </c>
      <c r="M69" s="124">
        <f t="shared" si="11"/>
        <v>37.684316368820461</v>
      </c>
      <c r="N69" s="124">
        <f t="shared" si="11"/>
        <v>30.409188483512366</v>
      </c>
      <c r="O69" s="124">
        <f>SUM(C69:N69)</f>
        <v>606.55978641290255</v>
      </c>
      <c r="P69" s="130" t="s">
        <v>20</v>
      </c>
      <c r="Q69" s="36"/>
      <c r="R69" s="36"/>
    </row>
    <row r="70" spans="1:18">
      <c r="Q70" s="36"/>
      <c r="R70" s="36"/>
    </row>
    <row r="71" spans="1:18">
      <c r="A71" s="134"/>
      <c r="B71" s="134"/>
      <c r="C71" s="124"/>
      <c r="D71" s="135"/>
      <c r="E71" s="123"/>
      <c r="F71" s="123"/>
      <c r="G71" s="123"/>
      <c r="H71" s="123"/>
      <c r="I71" s="34"/>
      <c r="J71" s="34"/>
      <c r="K71" s="34"/>
      <c r="L71" s="34"/>
      <c r="M71" s="34"/>
      <c r="N71" s="34"/>
      <c r="O71" s="36"/>
      <c r="P71" s="36"/>
      <c r="Q71" s="36"/>
      <c r="R71" s="36"/>
    </row>
  </sheetData>
  <mergeCells count="7">
    <mergeCell ref="C68:N68"/>
    <mergeCell ref="B5:N5"/>
    <mergeCell ref="C6:N6"/>
    <mergeCell ref="B29:N29"/>
    <mergeCell ref="C30:N30"/>
    <mergeCell ref="C52:N52"/>
    <mergeCell ref="C60:N60"/>
  </mergeCells>
  <phoneticPr fontId="5" type="noConversion"/>
  <conditionalFormatting sqref="H49:N49 C32:N45 C48:N48">
    <cfRule type="cellIs" dxfId="2" priority="1" operator="greaterThan">
      <formula>$C$49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X211"/>
  <sheetViews>
    <sheetView zoomScale="75" workbookViewId="0">
      <selection activeCell="F22" sqref="F22"/>
    </sheetView>
  </sheetViews>
  <sheetFormatPr defaultRowHeight="15.6"/>
  <cols>
    <col min="2" max="2" width="17" customWidth="1"/>
    <col min="5" max="6" width="11.109375" customWidth="1"/>
    <col min="7" max="7" width="14.21875" customWidth="1"/>
    <col min="8" max="8" width="8.33203125" customWidth="1"/>
    <col min="9" max="9" width="7.44140625" customWidth="1"/>
    <col min="10" max="10" width="11" customWidth="1"/>
    <col min="12" max="12" width="13.5546875" customWidth="1"/>
    <col min="13" max="13" width="10.109375" customWidth="1"/>
    <col min="14" max="14" width="11.88671875" customWidth="1"/>
    <col min="15" max="15" width="10.5546875" customWidth="1"/>
    <col min="16" max="17" width="10.88671875" customWidth="1"/>
    <col min="19" max="19" width="13.44140625" customWidth="1"/>
    <col min="20" max="20" width="10.44140625" customWidth="1"/>
    <col min="21" max="21" width="10.88671875" customWidth="1"/>
    <col min="22" max="22" width="12.44140625" bestFit="1" customWidth="1"/>
    <col min="32" max="33" width="11.5546875" customWidth="1"/>
    <col min="34" max="34" width="13.88671875" customWidth="1"/>
    <col min="35" max="35" width="9" customWidth="1"/>
    <col min="36" max="36" width="10.33203125" bestFit="1" customWidth="1"/>
    <col min="37" max="37" width="11.21875" customWidth="1"/>
    <col min="38" max="38" width="12" customWidth="1"/>
    <col min="39" max="39" width="12.6640625" customWidth="1"/>
    <col min="40" max="40" width="13.109375" customWidth="1"/>
    <col min="41" max="41" width="11.6640625" customWidth="1"/>
    <col min="42" max="42" width="10.5546875" customWidth="1"/>
    <col min="43" max="43" width="11.6640625" customWidth="1"/>
    <col min="46" max="46" width="8.77734375" bestFit="1" customWidth="1"/>
    <col min="53" max="54" width="9" bestFit="1" customWidth="1"/>
    <col min="55" max="55" width="11.5546875" customWidth="1"/>
    <col min="56" max="56" width="9.5546875" customWidth="1"/>
    <col min="57" max="58" width="10.5546875" customWidth="1"/>
    <col min="59" max="59" width="14.33203125" bestFit="1" customWidth="1"/>
    <col min="60" max="60" width="11.5546875" customWidth="1"/>
    <col min="61" max="61" width="13.44140625" customWidth="1"/>
    <col min="62" max="62" width="12.33203125" customWidth="1"/>
    <col min="63" max="63" width="11.6640625" customWidth="1"/>
    <col min="64" max="64" width="12.21875" customWidth="1"/>
    <col min="65" max="65" width="11.33203125" customWidth="1"/>
    <col min="66" max="66" width="13.109375" customWidth="1"/>
    <col min="67" max="67" width="11.77734375" customWidth="1"/>
    <col min="68" max="68" width="11.44140625" customWidth="1"/>
    <col min="69" max="69" width="11.77734375" customWidth="1"/>
    <col min="78" max="78" width="15.44140625" customWidth="1"/>
    <col min="79" max="79" width="10.109375" customWidth="1"/>
    <col min="80" max="80" width="10.77734375" bestFit="1" customWidth="1"/>
    <col min="82" max="82" width="10.33203125" bestFit="1" customWidth="1"/>
    <col min="84" max="84" width="14" bestFit="1" customWidth="1"/>
    <col min="87" max="87" width="12.5546875" customWidth="1"/>
    <col min="95" max="95" width="10.44140625" customWidth="1"/>
  </cols>
  <sheetData>
    <row r="1" spans="1:59" ht="24.95">
      <c r="A1" s="78" t="s">
        <v>110</v>
      </c>
    </row>
    <row r="4" spans="1:59">
      <c r="A4" s="44"/>
      <c r="B4" s="60" t="s">
        <v>111</v>
      </c>
      <c r="C4" s="49">
        <v>200</v>
      </c>
      <c r="AB4" s="44"/>
      <c r="AC4" s="44"/>
      <c r="AD4" s="60" t="s">
        <v>111</v>
      </c>
      <c r="AE4" s="49">
        <f>C4</f>
        <v>200</v>
      </c>
      <c r="AI4" s="2"/>
      <c r="AJ4" s="2"/>
      <c r="AK4" s="2"/>
      <c r="BD4" s="44"/>
      <c r="BE4" s="44"/>
      <c r="BF4" s="60" t="s">
        <v>111</v>
      </c>
      <c r="BG4" s="49">
        <f>C4</f>
        <v>200</v>
      </c>
    </row>
    <row r="5" spans="1:59" ht="17.25" customHeight="1">
      <c r="G5" s="159" t="s">
        <v>112</v>
      </c>
      <c r="H5" s="159">
        <f>Scaling!E19</f>
        <v>1350</v>
      </c>
      <c r="L5" s="13"/>
      <c r="M5" s="4"/>
      <c r="AE5" s="2"/>
      <c r="AH5" s="3"/>
      <c r="AI5" s="69"/>
      <c r="BG5" s="2"/>
    </row>
    <row r="6" spans="1:59">
      <c r="A6" s="44"/>
      <c r="B6" s="60" t="s">
        <v>113</v>
      </c>
      <c r="C6" s="49">
        <v>10</v>
      </c>
      <c r="G6" s="159"/>
      <c r="H6" s="159"/>
      <c r="L6" s="13"/>
      <c r="M6" s="4"/>
      <c r="AB6" s="44"/>
      <c r="AC6" s="44"/>
      <c r="AD6" s="60" t="s">
        <v>113</v>
      </c>
      <c r="AE6" s="49">
        <f t="shared" ref="AE6:AE13" si="0">C6</f>
        <v>10</v>
      </c>
      <c r="AH6" s="2"/>
      <c r="AI6" s="4"/>
      <c r="AJ6" s="4"/>
      <c r="AK6" s="4"/>
      <c r="AR6" s="2"/>
      <c r="AS6" s="4"/>
      <c r="AT6" s="2"/>
      <c r="AU6" s="8"/>
      <c r="BD6" s="44"/>
      <c r="BE6" s="44"/>
      <c r="BF6" s="60" t="s">
        <v>113</v>
      </c>
      <c r="BG6" s="49">
        <f t="shared" ref="BG6:BG13" si="1">C6</f>
        <v>10</v>
      </c>
    </row>
    <row r="7" spans="1:59" ht="18">
      <c r="A7" s="44"/>
      <c r="B7" s="60" t="s">
        <v>114</v>
      </c>
      <c r="C7" s="45">
        <f>C4/C6</f>
        <v>20</v>
      </c>
      <c r="G7" s="1" t="s">
        <v>115</v>
      </c>
      <c r="H7" s="68">
        <f>5.6705*10^-8</f>
        <v>5.6704999999999997E-8</v>
      </c>
      <c r="L7" s="13"/>
      <c r="M7" s="4"/>
      <c r="R7" s="2"/>
      <c r="S7" s="69"/>
      <c r="T7" s="69"/>
      <c r="U7" s="69"/>
      <c r="AB7" s="44"/>
      <c r="AC7" s="44"/>
      <c r="AD7" s="60" t="s">
        <v>114</v>
      </c>
      <c r="AE7" s="49">
        <f t="shared" si="0"/>
        <v>20</v>
      </c>
      <c r="AH7" s="2"/>
      <c r="AI7" s="4"/>
      <c r="AJ7" s="4"/>
      <c r="AK7" s="4"/>
      <c r="AR7" s="2"/>
      <c r="AS7" s="4"/>
      <c r="AT7" s="2"/>
      <c r="AU7" s="8"/>
      <c r="BD7" s="44"/>
      <c r="BE7" s="44"/>
      <c r="BF7" s="60" t="s">
        <v>114</v>
      </c>
      <c r="BG7" s="49">
        <f t="shared" si="1"/>
        <v>20</v>
      </c>
    </row>
    <row r="8" spans="1:59">
      <c r="A8" s="44"/>
      <c r="B8" s="61" t="s">
        <v>116</v>
      </c>
      <c r="C8" s="49">
        <v>0.92</v>
      </c>
      <c r="G8" s="2"/>
      <c r="H8" s="3"/>
      <c r="I8" s="8"/>
      <c r="L8" s="13"/>
      <c r="M8" s="4"/>
      <c r="R8" s="2"/>
      <c r="S8" s="4"/>
      <c r="T8" s="4"/>
      <c r="U8" s="4"/>
      <c r="AB8" s="44"/>
      <c r="AC8" s="44"/>
      <c r="AD8" s="61" t="s">
        <v>116</v>
      </c>
      <c r="AE8" s="49">
        <f t="shared" si="0"/>
        <v>0.92</v>
      </c>
      <c r="AH8" s="2"/>
      <c r="AI8" s="4"/>
      <c r="AJ8" s="4"/>
      <c r="AK8" s="4"/>
      <c r="AR8" s="2"/>
      <c r="AS8" s="2"/>
      <c r="AT8" s="2"/>
      <c r="AU8" s="2"/>
      <c r="BD8" s="44"/>
      <c r="BE8" s="44"/>
      <c r="BF8" s="61" t="s">
        <v>116</v>
      </c>
      <c r="BG8" s="49">
        <f t="shared" si="1"/>
        <v>0.92</v>
      </c>
    </row>
    <row r="9" spans="1:59">
      <c r="A9" s="44"/>
      <c r="B9" s="62" t="s">
        <v>117</v>
      </c>
      <c r="C9" s="49">
        <v>934</v>
      </c>
      <c r="L9" s="13"/>
      <c r="M9" s="4"/>
      <c r="R9" s="2"/>
      <c r="S9" s="4"/>
      <c r="T9" s="4"/>
      <c r="U9" s="4"/>
      <c r="AB9" s="44"/>
      <c r="AC9" s="44"/>
      <c r="AD9" s="62" t="s">
        <v>117</v>
      </c>
      <c r="AE9" s="49">
        <f t="shared" si="0"/>
        <v>934</v>
      </c>
      <c r="AH9" s="2"/>
      <c r="AI9" s="4"/>
      <c r="AJ9" s="4"/>
      <c r="AK9" s="4"/>
      <c r="AR9" s="2"/>
      <c r="AS9" s="2"/>
      <c r="AT9" s="2"/>
      <c r="AU9" s="2"/>
      <c r="BD9" s="44"/>
      <c r="BE9" s="44"/>
      <c r="BF9" s="62" t="s">
        <v>117</v>
      </c>
      <c r="BG9" s="49">
        <f t="shared" si="1"/>
        <v>934</v>
      </c>
    </row>
    <row r="10" spans="1:59" ht="18.600000000000001">
      <c r="A10" s="44"/>
      <c r="B10" s="62" t="s">
        <v>118</v>
      </c>
      <c r="C10" s="52">
        <v>93400</v>
      </c>
      <c r="G10" s="58"/>
      <c r="I10" s="70"/>
      <c r="J10" s="70" t="s">
        <v>119</v>
      </c>
      <c r="N10" s="10"/>
      <c r="O10" s="2"/>
      <c r="R10" s="2"/>
      <c r="S10" s="4"/>
      <c r="T10" s="4"/>
      <c r="U10" s="4"/>
      <c r="AB10" s="44"/>
      <c r="AC10" s="44"/>
      <c r="AD10" s="62" t="s">
        <v>118</v>
      </c>
      <c r="AE10" s="49">
        <f t="shared" si="0"/>
        <v>93400</v>
      </c>
      <c r="AH10" s="2"/>
      <c r="AI10" s="4"/>
      <c r="AJ10" s="4"/>
      <c r="AK10" s="4"/>
      <c r="BD10" s="44"/>
      <c r="BE10" s="44"/>
      <c r="BF10" s="62" t="s">
        <v>118</v>
      </c>
      <c r="BG10" s="49">
        <f t="shared" si="1"/>
        <v>93400</v>
      </c>
    </row>
    <row r="11" spans="1:59" ht="18.600000000000001">
      <c r="A11" s="44"/>
      <c r="B11" s="62" t="s">
        <v>120</v>
      </c>
      <c r="C11" s="55">
        <v>205388</v>
      </c>
      <c r="I11" t="s">
        <v>121</v>
      </c>
      <c r="N11" s="10"/>
      <c r="O11" s="2"/>
      <c r="R11" s="2"/>
      <c r="S11" s="4"/>
      <c r="T11" s="4"/>
      <c r="U11" s="4"/>
      <c r="AB11" s="44"/>
      <c r="AC11" s="44"/>
      <c r="AD11" s="62" t="s">
        <v>120</v>
      </c>
      <c r="AE11" s="49">
        <f t="shared" si="0"/>
        <v>205388</v>
      </c>
      <c r="AH11" s="2"/>
      <c r="AI11" s="4"/>
      <c r="AJ11" s="4"/>
      <c r="AK11" s="4"/>
      <c r="BD11" s="44"/>
      <c r="BE11" s="44"/>
      <c r="BF11" s="62" t="s">
        <v>120</v>
      </c>
      <c r="BG11" s="49">
        <f t="shared" si="1"/>
        <v>205388</v>
      </c>
    </row>
    <row r="12" spans="1:59" ht="15" customHeight="1">
      <c r="A12" s="44"/>
      <c r="B12" s="62" t="s">
        <v>122</v>
      </c>
      <c r="C12" s="54">
        <f>C10/C11</f>
        <v>0.45474906031511092</v>
      </c>
      <c r="I12" s="3" t="s">
        <v>123</v>
      </c>
      <c r="J12" s="4">
        <f>AVERAGE(E64,AF64,BG64)/(C10)</f>
        <v>0.84154185394542613</v>
      </c>
      <c r="K12" s="161" t="s">
        <v>124</v>
      </c>
      <c r="N12" s="10"/>
      <c r="O12" s="2"/>
      <c r="R12" s="2"/>
      <c r="S12" s="4"/>
      <c r="T12" s="4"/>
      <c r="U12" s="4"/>
      <c r="AB12" s="44"/>
      <c r="AC12" s="44"/>
      <c r="AD12" s="62" t="s">
        <v>122</v>
      </c>
      <c r="AE12" s="48">
        <f t="shared" si="0"/>
        <v>0.45474906031511092</v>
      </c>
      <c r="AH12" s="2"/>
      <c r="AI12" s="4"/>
      <c r="AJ12" s="4"/>
      <c r="AK12" s="4"/>
      <c r="BD12" s="44"/>
      <c r="BE12" s="44"/>
      <c r="BF12" s="62" t="s">
        <v>122</v>
      </c>
      <c r="BG12" s="48">
        <f t="shared" si="1"/>
        <v>0.45474906031511092</v>
      </c>
    </row>
    <row r="13" spans="1:59" ht="20.45">
      <c r="A13" s="44"/>
      <c r="B13" s="62" t="s">
        <v>125</v>
      </c>
      <c r="C13" s="57">
        <v>52.2</v>
      </c>
      <c r="I13" s="3" t="s">
        <v>126</v>
      </c>
      <c r="J13" s="4">
        <f>1-AVERAGE(I64,AJ64,BK64)</f>
        <v>0.91423483568995267</v>
      </c>
      <c r="K13" s="161"/>
      <c r="M13" s="69" t="s">
        <v>127</v>
      </c>
      <c r="N13" s="69" t="s">
        <v>128</v>
      </c>
      <c r="O13" s="69" t="s">
        <v>129</v>
      </c>
      <c r="R13" s="2"/>
      <c r="S13" s="4"/>
      <c r="T13" s="4"/>
      <c r="U13" s="4"/>
      <c r="AB13" s="44"/>
      <c r="AC13" s="44"/>
      <c r="AD13" s="62" t="s">
        <v>125</v>
      </c>
      <c r="AE13" s="49">
        <f t="shared" si="0"/>
        <v>52.2</v>
      </c>
      <c r="AH13" s="2"/>
      <c r="AI13" s="4"/>
      <c r="AJ13" s="4"/>
      <c r="AK13" s="4"/>
      <c r="BD13" s="44"/>
      <c r="BE13" s="44"/>
      <c r="BF13" s="62" t="s">
        <v>125</v>
      </c>
      <c r="BG13" s="49">
        <f t="shared" si="1"/>
        <v>52.2</v>
      </c>
    </row>
    <row r="14" spans="1:59">
      <c r="A14" s="44"/>
      <c r="B14" s="62" t="s">
        <v>130</v>
      </c>
      <c r="C14" s="49">
        <v>3</v>
      </c>
      <c r="I14" s="3" t="s">
        <v>131</v>
      </c>
      <c r="J14" s="4">
        <f>C8</f>
        <v>0.92</v>
      </c>
      <c r="K14" s="161"/>
      <c r="L14" s="3" t="s">
        <v>22</v>
      </c>
      <c r="M14" s="4">
        <f>AVERAGE(P64,AQ64,BR64)</f>
        <v>0.59977720185581729</v>
      </c>
      <c r="N14" s="4">
        <f>AVERAGE(T64,AU64,BV64)</f>
        <v>0.89741145119149834</v>
      </c>
      <c r="O14" s="4">
        <f>N14*M14</f>
        <v>0.53824692910900518</v>
      </c>
      <c r="R14" s="2"/>
      <c r="S14" s="4"/>
      <c r="T14" s="4"/>
      <c r="U14" s="4"/>
      <c r="AB14" s="44"/>
      <c r="AC14" s="62"/>
      <c r="AD14" s="49" t="s">
        <v>130</v>
      </c>
      <c r="AE14" s="49">
        <v>3</v>
      </c>
      <c r="AH14" s="2"/>
      <c r="AI14" s="4"/>
      <c r="AJ14" s="4"/>
      <c r="AK14" s="4"/>
      <c r="BD14" s="44"/>
      <c r="BE14" s="62"/>
      <c r="BF14" s="49" t="s">
        <v>130</v>
      </c>
      <c r="BG14" s="49">
        <v>3</v>
      </c>
    </row>
    <row r="15" spans="1:59">
      <c r="E15" s="41"/>
      <c r="F15" s="41"/>
      <c r="I15" s="3" t="s">
        <v>132</v>
      </c>
      <c r="J15" s="4">
        <f>AVERAGE(K64,AL64,BM64)</f>
        <v>0.93017847527990216</v>
      </c>
      <c r="K15" s="161"/>
      <c r="L15" s="3"/>
      <c r="N15" s="10"/>
      <c r="O15" s="4"/>
      <c r="R15" s="2"/>
      <c r="S15" s="4"/>
      <c r="T15" s="4"/>
      <c r="U15" s="4"/>
      <c r="AH15" s="2"/>
      <c r="AI15" s="4"/>
      <c r="AJ15" s="4"/>
      <c r="AK15" s="4"/>
    </row>
    <row r="16" spans="1:59" ht="16.5">
      <c r="A16" s="44"/>
      <c r="B16" s="61" t="s">
        <v>133</v>
      </c>
      <c r="C16" s="49">
        <v>35</v>
      </c>
      <c r="E16" s="41"/>
      <c r="F16" s="41"/>
      <c r="I16" s="3" t="s">
        <v>70</v>
      </c>
      <c r="J16" s="4">
        <f>AVERAGE(N64,AO64,BP64)</f>
        <v>0.91525525676245822</v>
      </c>
      <c r="K16" s="161"/>
      <c r="L16" s="3" t="s">
        <v>26</v>
      </c>
      <c r="M16" s="4">
        <f>AVERAGE(P201,AQ201,BR201)</f>
        <v>0.51267223284344887</v>
      </c>
      <c r="N16" s="4">
        <f>AVERAGE(T201,AU201,BV201)</f>
        <v>0.86974704839312234</v>
      </c>
      <c r="O16" s="4">
        <f>N16*M16</f>
        <v>0.44589516130870122</v>
      </c>
      <c r="R16" s="2"/>
      <c r="S16" s="4"/>
      <c r="T16" s="4"/>
      <c r="U16" s="4"/>
      <c r="AB16" s="44"/>
      <c r="AC16" s="61"/>
      <c r="AD16" s="49" t="s">
        <v>133</v>
      </c>
      <c r="AE16" s="49">
        <v>35</v>
      </c>
      <c r="AH16" s="2"/>
      <c r="AI16" s="4"/>
      <c r="AJ16" s="4"/>
      <c r="AK16" s="4"/>
      <c r="BD16" s="44"/>
      <c r="BE16" s="61"/>
      <c r="BF16" s="49" t="s">
        <v>133</v>
      </c>
      <c r="BG16" s="49">
        <v>35</v>
      </c>
    </row>
    <row r="17" spans="1:75">
      <c r="A17" s="44"/>
      <c r="B17" s="63" t="s">
        <v>134</v>
      </c>
      <c r="C17" s="49">
        <v>35</v>
      </c>
      <c r="E17" s="41"/>
      <c r="F17" s="41"/>
      <c r="I17" s="3" t="s">
        <v>135</v>
      </c>
      <c r="J17" s="4">
        <f>PRODUCT(J12:J16)</f>
        <v>0.60260097594135187</v>
      </c>
      <c r="K17" s="161"/>
      <c r="N17" s="10"/>
      <c r="O17" s="2"/>
      <c r="R17" s="2"/>
      <c r="S17" s="4"/>
      <c r="T17" s="4"/>
      <c r="U17" s="4"/>
      <c r="AB17" s="44"/>
      <c r="AC17" s="63"/>
      <c r="AD17" s="49" t="s">
        <v>134</v>
      </c>
      <c r="AE17" s="49">
        <v>35</v>
      </c>
      <c r="AH17" s="2"/>
      <c r="AI17" s="4"/>
      <c r="AJ17" s="4"/>
      <c r="AK17" s="4"/>
      <c r="BD17" s="44"/>
      <c r="BE17" s="63"/>
      <c r="BF17" s="49" t="s">
        <v>134</v>
      </c>
      <c r="BG17" s="49">
        <v>35</v>
      </c>
    </row>
    <row r="18" spans="1:75">
      <c r="A18" s="44"/>
      <c r="B18" s="62" t="s">
        <v>136</v>
      </c>
      <c r="C18" s="49">
        <v>3.7</v>
      </c>
      <c r="E18" s="41"/>
      <c r="F18" s="41"/>
      <c r="I18" s="3" t="s">
        <v>137</v>
      </c>
      <c r="J18" s="4">
        <f>AVERAGE(R64,AS64,BT64)</f>
        <v>0.86080251179307776</v>
      </c>
      <c r="K18" t="str">
        <f>"@"&amp;H5&amp;"C"</f>
        <v>@1350C</v>
      </c>
      <c r="N18" s="10"/>
      <c r="O18" s="2"/>
      <c r="R18" s="2"/>
      <c r="S18" s="4"/>
      <c r="T18" s="4"/>
      <c r="U18" s="4"/>
      <c r="AB18" s="44"/>
      <c r="AC18" s="62"/>
      <c r="AD18" s="49" t="s">
        <v>136</v>
      </c>
      <c r="AE18" s="49">
        <v>3.7</v>
      </c>
      <c r="AH18" s="2"/>
      <c r="AI18" s="4"/>
      <c r="AJ18" s="4"/>
      <c r="AK18" s="4"/>
      <c r="BD18" s="44"/>
      <c r="BE18" s="62"/>
      <c r="BF18" s="49" t="s">
        <v>136</v>
      </c>
      <c r="BG18" s="49">
        <v>3.7</v>
      </c>
    </row>
    <row r="19" spans="1:75">
      <c r="A19" s="44"/>
      <c r="B19" s="62" t="s">
        <v>138</v>
      </c>
      <c r="C19" s="49">
        <v>2.1469999999999998</v>
      </c>
      <c r="E19" s="41"/>
      <c r="F19" s="41"/>
      <c r="I19" s="3" t="s">
        <v>139</v>
      </c>
      <c r="J19" s="4">
        <f>PRODUCT(J17:J18)</f>
        <v>0.51872043369927567</v>
      </c>
      <c r="N19" s="10"/>
      <c r="O19" s="2"/>
      <c r="R19" s="2"/>
      <c r="S19" s="4"/>
      <c r="T19" s="4"/>
      <c r="U19" s="4"/>
      <c r="AB19" s="44"/>
      <c r="AC19" s="62"/>
      <c r="AD19" s="49" t="s">
        <v>138</v>
      </c>
      <c r="AE19" s="49">
        <v>2.1469999999999998</v>
      </c>
      <c r="AH19" s="2"/>
      <c r="AI19" s="4"/>
      <c r="AJ19" s="4"/>
      <c r="AK19" s="4"/>
      <c r="BD19" s="44"/>
      <c r="BE19" s="62"/>
      <c r="BF19" s="49" t="s">
        <v>138</v>
      </c>
      <c r="BG19" s="49">
        <v>2.1469999999999998</v>
      </c>
    </row>
    <row r="20" spans="1:75">
      <c r="A20" s="44"/>
      <c r="B20" s="62" t="s">
        <v>140</v>
      </c>
      <c r="C20" s="49">
        <v>6.7279999999999998</v>
      </c>
      <c r="E20" s="41"/>
      <c r="F20" s="41"/>
      <c r="G20" s="40"/>
      <c r="H20" s="43"/>
      <c r="N20" s="10"/>
      <c r="O20" s="2"/>
      <c r="R20" s="2"/>
      <c r="S20" s="4"/>
      <c r="T20" s="4"/>
      <c r="U20" s="4"/>
      <c r="AB20" s="44"/>
      <c r="AC20" s="62"/>
      <c r="AD20" s="49" t="s">
        <v>140</v>
      </c>
      <c r="AE20" s="49">
        <v>6.7279999999999998</v>
      </c>
      <c r="AH20" s="2"/>
      <c r="AI20" s="4"/>
      <c r="AJ20" s="4"/>
      <c r="AK20" s="4"/>
      <c r="BD20" s="44"/>
      <c r="BE20" s="62"/>
      <c r="BF20" s="49" t="s">
        <v>140</v>
      </c>
      <c r="BG20" s="49">
        <v>6.7279999999999998</v>
      </c>
    </row>
    <row r="21" spans="1:75">
      <c r="A21" s="44"/>
      <c r="B21" s="62" t="s">
        <v>80</v>
      </c>
      <c r="C21" s="54">
        <f>(C18/C19)^2</f>
        <v>2.9698831289161407</v>
      </c>
      <c r="E21" s="41"/>
      <c r="F21" s="41"/>
      <c r="G21" s="40"/>
      <c r="H21" s="43"/>
      <c r="N21" s="10"/>
      <c r="O21" s="2"/>
      <c r="AB21" s="44"/>
      <c r="AC21" s="62"/>
      <c r="AD21" s="54" t="s">
        <v>80</v>
      </c>
      <c r="AE21" s="54">
        <f>(AE18/AE19)^2</f>
        <v>2.9698831289161407</v>
      </c>
      <c r="AH21" s="2"/>
      <c r="AI21" s="4"/>
      <c r="AJ21" s="4"/>
      <c r="AK21" s="4"/>
      <c r="BD21" s="44"/>
      <c r="BE21" s="62"/>
      <c r="BF21" s="54" t="s">
        <v>80</v>
      </c>
      <c r="BG21" s="54">
        <f>(BG18/BG19)^2</f>
        <v>2.9698831289161407</v>
      </c>
    </row>
    <row r="22" spans="1:75" ht="18.600000000000001">
      <c r="A22" s="44"/>
      <c r="B22" s="62" t="s">
        <v>141</v>
      </c>
      <c r="C22" s="54">
        <f>PI()*SQRT($C$20^2-($C$18-$C$19)^2)*($C$18+$C$19)</f>
        <v>120.24846353450793</v>
      </c>
      <c r="H22" s="43"/>
      <c r="N22" s="10"/>
      <c r="O22" s="2"/>
      <c r="AB22" s="44"/>
      <c r="AC22" s="62"/>
      <c r="AD22" s="54" t="s">
        <v>141</v>
      </c>
      <c r="AE22" s="54">
        <f>PI()*SQRT($C$20^2-($C$18-$C$19)^2)*($C$18+$C$19)</f>
        <v>120.24846353450793</v>
      </c>
      <c r="AH22" s="2"/>
      <c r="AI22" s="4"/>
      <c r="AJ22" s="4"/>
      <c r="AK22" s="4"/>
      <c r="BD22" s="44"/>
      <c r="BE22" s="62"/>
      <c r="BF22" s="54" t="s">
        <v>141</v>
      </c>
      <c r="BG22" s="54">
        <f>PI()*SQRT($C$20^2-($C$18-$C$19)^2)*($C$18+$C$19)</f>
        <v>120.24846353450793</v>
      </c>
    </row>
    <row r="23" spans="1:75">
      <c r="E23" s="41"/>
      <c r="F23" s="41"/>
      <c r="G23" s="40"/>
      <c r="H23" s="43"/>
      <c r="N23" s="10"/>
      <c r="O23" s="2"/>
      <c r="AH23" s="2"/>
      <c r="AI23" s="4"/>
      <c r="AJ23" s="4"/>
      <c r="AK23" s="4"/>
    </row>
    <row r="24" spans="1:75">
      <c r="A24" s="44"/>
      <c r="B24" s="60" t="s">
        <v>142</v>
      </c>
      <c r="C24" s="49">
        <v>30</v>
      </c>
      <c r="N24" s="10"/>
      <c r="O24" s="2"/>
      <c r="AB24" s="44"/>
      <c r="AC24" s="60"/>
      <c r="AD24" s="49" t="s">
        <v>142</v>
      </c>
      <c r="AE24" s="49">
        <v>30</v>
      </c>
      <c r="AH24" s="2"/>
      <c r="AI24" s="4"/>
      <c r="AJ24" s="4"/>
      <c r="AK24" s="4"/>
      <c r="BD24" s="44"/>
      <c r="BE24" s="60"/>
      <c r="BF24" s="49" t="s">
        <v>142</v>
      </c>
      <c r="BG24" s="49">
        <v>30</v>
      </c>
    </row>
    <row r="25" spans="1:75" ht="20.100000000000001">
      <c r="A25" s="44"/>
      <c r="B25" s="67" t="s">
        <v>143</v>
      </c>
      <c r="C25" s="44"/>
      <c r="N25" s="10"/>
      <c r="O25" s="2"/>
      <c r="AB25" s="44"/>
      <c r="AC25" s="67"/>
      <c r="AD25" s="67" t="s">
        <v>144</v>
      </c>
      <c r="AE25" s="44"/>
      <c r="AH25" s="2"/>
      <c r="AI25" s="4"/>
      <c r="AJ25" s="4"/>
      <c r="AK25" s="4"/>
      <c r="BD25" s="44"/>
      <c r="BE25" s="67"/>
      <c r="BF25" s="67" t="s">
        <v>145</v>
      </c>
      <c r="BG25" s="44"/>
    </row>
    <row r="26" spans="1:75" ht="35.25" customHeight="1">
      <c r="AK26" s="4"/>
    </row>
    <row r="27" spans="1:75">
      <c r="A27" s="34"/>
      <c r="M27" s="7"/>
      <c r="N27" s="3"/>
      <c r="O27" s="5"/>
      <c r="P27" s="4"/>
      <c r="Q27" s="4"/>
      <c r="R27" s="4"/>
      <c r="S27" s="4"/>
      <c r="T27" s="4"/>
      <c r="U27" s="4"/>
      <c r="AK27" s="4"/>
    </row>
    <row r="28" spans="1:75">
      <c r="P28" s="4"/>
      <c r="Q28" s="4"/>
      <c r="W28" s="2"/>
      <c r="AK28" s="4"/>
    </row>
    <row r="29" spans="1:75">
      <c r="M29" s="7"/>
      <c r="R29" s="7"/>
      <c r="S29" s="4"/>
      <c r="T29" s="4"/>
      <c r="U29" s="4"/>
      <c r="AK29" s="4"/>
    </row>
    <row r="30" spans="1:75">
      <c r="R30" s="4"/>
      <c r="AK30" s="4"/>
    </row>
    <row r="31" spans="1:75" ht="22.15" customHeight="1">
      <c r="AK31" s="4"/>
    </row>
    <row r="32" spans="1:75" ht="16.149999999999999" customHeight="1">
      <c r="E32" s="162" t="s">
        <v>146</v>
      </c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0" t="s">
        <v>147</v>
      </c>
      <c r="R32" s="160"/>
      <c r="S32" s="160"/>
      <c r="T32" s="158" t="s">
        <v>148</v>
      </c>
      <c r="U32" s="158"/>
      <c r="V32" s="41"/>
      <c r="W32" s="37"/>
      <c r="X32" s="4"/>
      <c r="Y32" s="50"/>
      <c r="Z32" s="37"/>
      <c r="AA32" s="41"/>
      <c r="AF32" s="162" t="s">
        <v>146</v>
      </c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0" t="s">
        <v>147</v>
      </c>
      <c r="AS32" s="160"/>
      <c r="AT32" s="160"/>
      <c r="AU32" s="158" t="s">
        <v>148</v>
      </c>
      <c r="AV32" s="158"/>
      <c r="BE32" s="37"/>
      <c r="BF32" s="37"/>
      <c r="BG32" s="162" t="s">
        <v>146</v>
      </c>
      <c r="BH32" s="162"/>
      <c r="BI32" s="162"/>
      <c r="BJ32" s="162"/>
      <c r="BK32" s="162"/>
      <c r="BL32" s="162"/>
      <c r="BM32" s="162"/>
      <c r="BN32" s="162"/>
      <c r="BO32" s="162"/>
      <c r="BP32" s="162"/>
      <c r="BQ32" s="162"/>
      <c r="BR32" s="162"/>
      <c r="BS32" s="160" t="s">
        <v>147</v>
      </c>
      <c r="BT32" s="160"/>
      <c r="BU32" s="160"/>
      <c r="BV32" s="158" t="s">
        <v>148</v>
      </c>
      <c r="BW32" s="158"/>
    </row>
    <row r="33" spans="2:86">
      <c r="B33" s="66"/>
      <c r="C33" s="66"/>
      <c r="D33" s="66"/>
      <c r="E33" s="104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6"/>
      <c r="Q33" s="104"/>
      <c r="R33" s="105"/>
      <c r="S33" s="106"/>
      <c r="T33" s="104"/>
      <c r="U33" s="106"/>
      <c r="AC33" s="66"/>
      <c r="AD33" s="66"/>
      <c r="AE33" s="66"/>
      <c r="AF33" s="104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6"/>
      <c r="AR33" s="104"/>
      <c r="AS33" s="105"/>
      <c r="AT33" s="106"/>
      <c r="AU33" s="104"/>
      <c r="AV33" s="106"/>
      <c r="BB33" s="4"/>
      <c r="BD33" s="66"/>
      <c r="BE33" s="66"/>
      <c r="BF33" s="66"/>
      <c r="BG33" s="104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6"/>
      <c r="BS33" s="104"/>
      <c r="BT33" s="105"/>
      <c r="BU33" s="106"/>
      <c r="BV33" s="104"/>
      <c r="BW33" s="106"/>
    </row>
    <row r="34" spans="2:86" ht="33" customHeight="1">
      <c r="B34" s="34"/>
      <c r="C34" s="64" t="s">
        <v>149</v>
      </c>
      <c r="D34" s="64" t="s">
        <v>87</v>
      </c>
      <c r="E34" s="96" t="s">
        <v>150</v>
      </c>
      <c r="F34" s="64" t="s">
        <v>123</v>
      </c>
      <c r="G34" s="64" t="s">
        <v>151</v>
      </c>
      <c r="H34" s="33" t="s">
        <v>152</v>
      </c>
      <c r="I34" s="34" t="s">
        <v>153</v>
      </c>
      <c r="J34" s="92" t="s">
        <v>154</v>
      </c>
      <c r="K34" s="35" t="s">
        <v>155</v>
      </c>
      <c r="L34" s="35" t="s">
        <v>156</v>
      </c>
      <c r="M34" s="92" t="s">
        <v>157</v>
      </c>
      <c r="N34" s="35" t="s">
        <v>70</v>
      </c>
      <c r="O34" s="35" t="s">
        <v>158</v>
      </c>
      <c r="P34" s="107" t="s">
        <v>127</v>
      </c>
      <c r="Q34" s="150" t="s">
        <v>159</v>
      </c>
      <c r="R34" s="69" t="s">
        <v>128</v>
      </c>
      <c r="S34" s="107" t="s">
        <v>129</v>
      </c>
      <c r="T34" s="114" t="s">
        <v>128</v>
      </c>
      <c r="U34" s="107" t="s">
        <v>129</v>
      </c>
      <c r="AC34" s="34"/>
      <c r="AD34" s="64" t="s">
        <v>149</v>
      </c>
      <c r="AE34" s="64" t="s">
        <v>87</v>
      </c>
      <c r="AF34" s="96" t="s">
        <v>150</v>
      </c>
      <c r="AG34" s="64" t="s">
        <v>123</v>
      </c>
      <c r="AH34" s="64" t="s">
        <v>151</v>
      </c>
      <c r="AI34" s="33" t="s">
        <v>152</v>
      </c>
      <c r="AJ34" s="34" t="s">
        <v>153</v>
      </c>
      <c r="AK34" s="92" t="s">
        <v>154</v>
      </c>
      <c r="AL34" s="35" t="s">
        <v>155</v>
      </c>
      <c r="AM34" s="35" t="s">
        <v>156</v>
      </c>
      <c r="AN34" s="92" t="s">
        <v>157</v>
      </c>
      <c r="AO34" s="35" t="s">
        <v>70</v>
      </c>
      <c r="AP34" s="35" t="s">
        <v>158</v>
      </c>
      <c r="AQ34" s="107" t="s">
        <v>127</v>
      </c>
      <c r="AR34" s="150" t="s">
        <v>159</v>
      </c>
      <c r="AS34" s="69" t="s">
        <v>128</v>
      </c>
      <c r="AT34" s="107" t="s">
        <v>129</v>
      </c>
      <c r="AU34" s="114" t="s">
        <v>128</v>
      </c>
      <c r="AV34" s="107" t="s">
        <v>129</v>
      </c>
      <c r="BD34" s="34"/>
      <c r="BE34" s="64" t="s">
        <v>149</v>
      </c>
      <c r="BF34" s="64" t="s">
        <v>87</v>
      </c>
      <c r="BG34" s="96" t="s">
        <v>150</v>
      </c>
      <c r="BH34" s="64" t="s">
        <v>123</v>
      </c>
      <c r="BI34" s="64" t="s">
        <v>151</v>
      </c>
      <c r="BJ34" s="33" t="s">
        <v>152</v>
      </c>
      <c r="BK34" s="34" t="s">
        <v>153</v>
      </c>
      <c r="BL34" s="92" t="s">
        <v>154</v>
      </c>
      <c r="BM34" s="35" t="s">
        <v>155</v>
      </c>
      <c r="BN34" s="35" t="s">
        <v>156</v>
      </c>
      <c r="BO34" s="92" t="s">
        <v>157</v>
      </c>
      <c r="BP34" s="35" t="s">
        <v>70</v>
      </c>
      <c r="BQ34" s="35" t="s">
        <v>158</v>
      </c>
      <c r="BR34" s="107" t="s">
        <v>127</v>
      </c>
      <c r="BS34" s="150" t="s">
        <v>159</v>
      </c>
      <c r="BT34" s="69" t="s">
        <v>128</v>
      </c>
      <c r="BU34" s="107" t="s">
        <v>129</v>
      </c>
      <c r="BV34" s="114" t="s">
        <v>128</v>
      </c>
      <c r="BW34" s="107" t="s">
        <v>129</v>
      </c>
      <c r="CG34" s="35"/>
    </row>
    <row r="35" spans="2:86" ht="19.899999999999999" customHeight="1">
      <c r="B35" s="2" t="s">
        <v>86</v>
      </c>
      <c r="C35" s="7">
        <v>22</v>
      </c>
      <c r="D35" s="38">
        <v>8</v>
      </c>
      <c r="E35" s="93">
        <v>80932.612635890691</v>
      </c>
      <c r="F35" s="37">
        <f>E35/$C$10</f>
        <v>0.86651619524508239</v>
      </c>
      <c r="G35" s="38">
        <v>38302.42</v>
      </c>
      <c r="H35" s="37">
        <f>G35/$C$10</f>
        <v>0.41009014989293358</v>
      </c>
      <c r="I35" s="37">
        <f>1-G35/(E35*$C$8)</f>
        <v>0.48558357550255904</v>
      </c>
      <c r="J35" s="38">
        <v>35804.18</v>
      </c>
      <c r="K35" s="37">
        <f>J35/G35</f>
        <v>0.93477592277459232</v>
      </c>
      <c r="L35" s="7">
        <f>J35/(PI()*$C$18^2)</f>
        <v>832.49265600467152</v>
      </c>
      <c r="M35" s="38">
        <v>32186.79</v>
      </c>
      <c r="N35" s="37">
        <f>M35/J35</f>
        <v>0.89896738313794644</v>
      </c>
      <c r="O35" s="50">
        <f>M35/(PI()*$C$19^2)</f>
        <v>2222.6122565973765</v>
      </c>
      <c r="P35" s="98">
        <f>M35/$C$10</f>
        <v>0.34461231263383296</v>
      </c>
      <c r="Q35" s="110">
        <f>INDEX(Daggett!$B$7:$M$21, MATCH(D35,Daggett!$A$7:$A$21,0), MATCH(B$36,Daggett!$B$6:$M$6,0))</f>
        <v>264</v>
      </c>
      <c r="R35" s="4">
        <f>IF(1-$H$7*(($H$5+273)^4-298^4)*(PI()*$C$19^2)*1000/(M35*Q35*1000)&lt;0,NA(),1-$H$7*(($H$5+273)^4-298^4)*(PI()*$C$19^2)*1000/(M35*Q35*1000))</f>
        <v>0.33021730683496298</v>
      </c>
      <c r="S35" s="98">
        <f>R35*P35</f>
        <v>0.11379694978011261</v>
      </c>
      <c r="T35" s="111">
        <f>IF(1-$H$7*(($H$5+273)^4-298^4)/(O35*1000)&lt;0,#N/A,1-$H$7*(($H$5+273)^4-298^4)/(O35*1000))</f>
        <v>0.82317736900443017</v>
      </c>
      <c r="U35" s="98">
        <f>T35*P35</f>
        <v>0.28367705684045075</v>
      </c>
      <c r="AC35" s="2" t="s">
        <v>86</v>
      </c>
      <c r="AD35" s="7">
        <v>22</v>
      </c>
      <c r="AE35" s="38">
        <v>8</v>
      </c>
      <c r="AF35" s="93">
        <v>43402.111223044536</v>
      </c>
      <c r="AG35" s="37">
        <f>AF35/$C$10</f>
        <v>0.46469069831953463</v>
      </c>
      <c r="AH35" s="38">
        <v>31349.227999999999</v>
      </c>
      <c r="AI35" s="37">
        <f>AH35/$C$10</f>
        <v>0.33564483940042827</v>
      </c>
      <c r="AJ35" s="37">
        <f>1-AH35/(AF35*$C$8)</f>
        <v>0.21489423288711917</v>
      </c>
      <c r="AK35" s="38">
        <v>24839.2618</v>
      </c>
      <c r="AL35" s="37">
        <f>AK35/AH35</f>
        <v>0.7923404621000556</v>
      </c>
      <c r="AM35" s="7">
        <f t="shared" ref="AM35:AM43" si="2">AK35/(PI()*$C$18^2)</f>
        <v>577.54438250163469</v>
      </c>
      <c r="AN35" s="38">
        <v>22778.749186000001</v>
      </c>
      <c r="AO35" s="37">
        <f>AN35/AK35</f>
        <v>0.91704614128266893</v>
      </c>
      <c r="AP35" s="50">
        <f t="shared" ref="AP35:AP43" si="3">AN35/(PI()*$C$19^2)</f>
        <v>1572.9535977573753</v>
      </c>
      <c r="AQ35" s="98">
        <f>AN35/$C$10</f>
        <v>0.24388382426124197</v>
      </c>
      <c r="AR35" s="110">
        <f>INDEX(Daggett!$B$7:$M$21, MATCH(AE35,Daggett!$A$7:$A$21,0), MATCH(AC$36,Daggett!$B$6:$M$6,0))</f>
        <v>264</v>
      </c>
      <c r="AS35" s="4">
        <f t="shared" ref="AS35:AS43" si="4">IF(1-$H$7*(($H$5+273)^4-298^4)*(PI()*$C$19^2)*1000/(AN35*AR35*1000)&lt;0,#N/A,1-$H$7*(($H$5+273)^4-298^4)*(PI()*$C$19^2)*1000/(AN35*AR35*1000))</f>
        <v>5.3584781389695468E-2</v>
      </c>
      <c r="AT35" s="98">
        <f>AS35*AQ35</f>
        <v>1.3068461407521558E-2</v>
      </c>
      <c r="AU35" s="111">
        <f>IF(1-$H$7*(($H$5+273)^4-298^4)/(AP35*1000)&lt;0,#N/A,1-$H$7*(($H$5+273)^4-298^4)/(AP35*1000))</f>
        <v>0.75014638228687958</v>
      </c>
      <c r="AV35" s="98">
        <f>AU35*AQ35</f>
        <v>0.18294856846785978</v>
      </c>
      <c r="BD35" s="2" t="s">
        <v>86</v>
      </c>
      <c r="BE35" s="7">
        <v>22</v>
      </c>
      <c r="BF35" s="38">
        <v>8</v>
      </c>
      <c r="BG35" s="93">
        <f>AF43</f>
        <v>79186.422459859823</v>
      </c>
      <c r="BH35" s="37">
        <f>BG35/$C$10</f>
        <v>0.84782036894924862</v>
      </c>
      <c r="BI35" s="38">
        <f t="shared" ref="BI35:BQ35" si="5">AH43</f>
        <v>38510.341999999997</v>
      </c>
      <c r="BJ35" s="37">
        <f t="shared" si="5"/>
        <v>0.41231629550321197</v>
      </c>
      <c r="BK35" s="37">
        <f t="shared" si="5"/>
        <v>0.4713857995981191</v>
      </c>
      <c r="BL35" s="38">
        <f t="shared" si="5"/>
        <v>36053.648000000001</v>
      </c>
      <c r="BM35" s="37">
        <f t="shared" si="5"/>
        <v>0.93620690255100836</v>
      </c>
      <c r="BN35" s="7">
        <f t="shared" si="5"/>
        <v>838.29310382691392</v>
      </c>
      <c r="BO35" s="38">
        <f t="shared" si="5"/>
        <v>32452.880000000001</v>
      </c>
      <c r="BP35" s="37">
        <f t="shared" si="5"/>
        <v>0.90012749888721388</v>
      </c>
      <c r="BQ35" s="50">
        <f t="shared" si="5"/>
        <v>2240.9867169072736</v>
      </c>
      <c r="BR35" s="98">
        <f>BO35/$C$10</f>
        <v>0.34746124197002143</v>
      </c>
      <c r="BS35" s="110">
        <f>INDEX(Daggett!$B$7:$M$21, MATCH(BF35,Daggett!$A$7:$A$21,0), MATCH(BD$36,Daggett!$B$6:$M$6,0))</f>
        <v>264</v>
      </c>
      <c r="BT35" s="4">
        <f t="shared" ref="BT35:BT43" si="6">IF(1-$H$7*(($H$5+273)^4-298^4)*(PI()*$C$19^2)*1000/(BO35*BS35*1000)&lt;0,#N/A,1-$H$7*(($H$5+273)^4-298^4)*(PI()*$C$19^2)*1000/(BO35*BS35*1000))</f>
        <v>0.33570903751724079</v>
      </c>
      <c r="BU35" s="98">
        <f>BT35*BR35</f>
        <v>0.116645879116301</v>
      </c>
      <c r="BV35" s="111">
        <f>IF(1-$H$7*(($H$5+273)^4-298^4)/(BQ35*1000)&lt;0,#N/A,1-$H$7*(($H$5+273)^4-298^4)/(BQ35*1000))</f>
        <v>0.82462718590455153</v>
      </c>
      <c r="BW35" s="98">
        <f>BV35*BR35</f>
        <v>0.28652598617663921</v>
      </c>
      <c r="CG35" s="35"/>
      <c r="CH35">
        <f>SUM(BS35:BS43)*31/1000</f>
        <v>169.54300000000001</v>
      </c>
    </row>
    <row r="36" spans="2:86" ht="16.149999999999999" customHeight="1">
      <c r="B36" s="2">
        <v>1</v>
      </c>
      <c r="D36" s="38">
        <v>9</v>
      </c>
      <c r="E36" s="93">
        <v>85451.927365477401</v>
      </c>
      <c r="F36" s="37">
        <f t="shared" ref="F36:F43" si="7">E36/$C$10</f>
        <v>0.91490286258541109</v>
      </c>
      <c r="G36" s="38">
        <v>55161.35</v>
      </c>
      <c r="H36" s="37">
        <f>G36/$C$10</f>
        <v>0.59059261241970018</v>
      </c>
      <c r="I36" s="37">
        <f>1-G36/(E36*$C$8)</f>
        <v>0.29834246015312438</v>
      </c>
      <c r="J36" s="38">
        <v>52235.595000000001</v>
      </c>
      <c r="K36" s="37">
        <f>J36/G36</f>
        <v>0.94696005445842069</v>
      </c>
      <c r="L36" s="7">
        <f>J36/(PI()*$C$18^2)</f>
        <v>1214.5439225122414</v>
      </c>
      <c r="M36" s="38">
        <v>47072.18</v>
      </c>
      <c r="N36" s="37">
        <f>M36/J36</f>
        <v>0.90115140834520979</v>
      </c>
      <c r="O36" s="50">
        <f>M36/(PI()*$C$19^2)</f>
        <v>3250.501345824106</v>
      </c>
      <c r="P36" s="98">
        <f>M36/$C$10</f>
        <v>0.50398479657387585</v>
      </c>
      <c r="Q36" s="110">
        <f>INDEX(Daggett!$B$7:$M$21, MATCH(D36,Daggett!$A$7:$A$21,0), MATCH(B$36,Daggett!$B$6:$M$6,0))</f>
        <v>518.41935483870964</v>
      </c>
      <c r="R36" s="4">
        <f t="shared" ref="R36:R43" si="8">IF(1-$H$7*(($H$5+273)^4-298^4)*(PI()*$C$19^2)*1000/(M36*Q36*1000)&lt;0,#N/A,1-$H$7*(($H$5+273)^4-298^4)*(PI()*$C$19^2)*1000/(M36*Q36*1000))</f>
        <v>0.76677774200114945</v>
      </c>
      <c r="S36" s="98">
        <f t="shared" ref="S36:S43" si="9">R36*P36</f>
        <v>0.38644432431982517</v>
      </c>
      <c r="T36" s="111">
        <f t="shared" ref="T36:T43" si="10">IF(1-$H$7*(($H$5+273)^4-298^4)/(O36*1000)&lt;0,#N/A,1-$H$7*(($H$5+273)^4-298^4)/(O36*1000))</f>
        <v>0.87909306747420879</v>
      </c>
      <c r="U36" s="98">
        <f t="shared" ref="U36:U43" si="11">T36*P36</f>
        <v>0.44304954078049363</v>
      </c>
      <c r="AC36" s="2">
        <v>1</v>
      </c>
      <c r="AE36" s="38">
        <v>9</v>
      </c>
      <c r="AF36" s="93">
        <v>50831.090954300103</v>
      </c>
      <c r="AG36" s="37">
        <f t="shared" ref="AG36:AG43" si="12">AF36/$C$10</f>
        <v>0.54423009587045079</v>
      </c>
      <c r="AH36" s="38">
        <v>41301.031999999999</v>
      </c>
      <c r="AI36" s="37">
        <f t="shared" ref="AI36:AI43" si="13">AH36/$C$10</f>
        <v>0.44219520342612417</v>
      </c>
      <c r="AJ36" s="37">
        <f t="shared" ref="AJ36:AJ43" si="14">1-AH36/(AF36*$C$8)</f>
        <v>0.11683134781983662</v>
      </c>
      <c r="AK36" s="38">
        <v>34425.138800000001</v>
      </c>
      <c r="AL36" s="37">
        <f t="shared" ref="AL36:AL43" si="15">AK36/AH36</f>
        <v>0.83351764188362176</v>
      </c>
      <c r="AM36" s="7">
        <f t="shared" si="2"/>
        <v>800.4281967340537</v>
      </c>
      <c r="AN36" s="38">
        <v>32088.723000000002</v>
      </c>
      <c r="AO36" s="37">
        <f t="shared" ref="AO36:AO43" si="16">AN36/AK36</f>
        <v>0.93213053363200971</v>
      </c>
      <c r="AP36" s="50">
        <f t="shared" si="3"/>
        <v>2215.8403816708078</v>
      </c>
      <c r="AQ36" s="98">
        <f t="shared" ref="AQ36:AQ43" si="17">AN36/$C$10</f>
        <v>0.34356234475374736</v>
      </c>
      <c r="AR36" s="110">
        <f>INDEX(Daggett!$B$7:$M$21, MATCH(AE36,Daggett!$A$7:$A$21,0), MATCH(AC$36,Daggett!$B$6:$M$6,0))</f>
        <v>518.41935483870964</v>
      </c>
      <c r="AS36" s="4">
        <f t="shared" si="4"/>
        <v>0.65787731382989811</v>
      </c>
      <c r="AT36" s="98">
        <f t="shared" ref="AT36:AT43" si="18">AS36*AQ36</f>
        <v>0.22602187249969671</v>
      </c>
      <c r="AU36" s="111">
        <f t="shared" ref="AU36:AU43" si="19">IF(1-$H$7*(($H$5+273)^4-298^4)/(AP36*1000)&lt;0,#N/A,1-$H$7*(($H$5+273)^4-298^4)/(AP36*1000))</f>
        <v>0.82263697776000944</v>
      </c>
      <c r="AV36" s="98">
        <f t="shared" ref="AV36:AV43" si="20">AU36*AQ36</f>
        <v>0.28262708896036515</v>
      </c>
      <c r="BD36" s="2">
        <v>1</v>
      </c>
      <c r="BF36" s="38">
        <v>9</v>
      </c>
      <c r="BG36" s="93">
        <f>AF42</f>
        <v>78514.253231149341</v>
      </c>
      <c r="BH36" s="37">
        <f t="shared" ref="BH36:BH43" si="21">BG36/$C$10</f>
        <v>0.84062369626498223</v>
      </c>
      <c r="BI36" s="38">
        <f t="shared" ref="BI36:BQ36" si="22">AH42</f>
        <v>54788.146000000001</v>
      </c>
      <c r="BJ36" s="37">
        <f t="shared" si="22"/>
        <v>0.58659685224839397</v>
      </c>
      <c r="BK36" s="37">
        <f t="shared" si="22"/>
        <v>0.24150927815143297</v>
      </c>
      <c r="BL36" s="38">
        <f t="shared" si="22"/>
        <v>51168.224600000001</v>
      </c>
      <c r="BM36" s="37">
        <f t="shared" si="22"/>
        <v>0.93392874801786507</v>
      </c>
      <c r="BN36" s="7">
        <f t="shared" si="22"/>
        <v>1189.7262051608939</v>
      </c>
      <c r="BO36" s="38">
        <f t="shared" si="22"/>
        <v>46469.755400000002</v>
      </c>
      <c r="BP36" s="37">
        <f t="shared" si="22"/>
        <v>0.90817603626606969</v>
      </c>
      <c r="BQ36" s="50">
        <f t="shared" si="22"/>
        <v>3208.9017858917314</v>
      </c>
      <c r="BR36" s="98">
        <f t="shared" ref="BR36:BR43" si="23">BO36/$C$10</f>
        <v>0.49753485438972167</v>
      </c>
      <c r="BS36" s="110">
        <f>INDEX(Daggett!$B$7:$M$21, MATCH(BF36,Daggett!$A$7:$A$21,0), MATCH(BD$36,Daggett!$B$6:$M$6,0))</f>
        <v>518.41935483870964</v>
      </c>
      <c r="BT36" s="4">
        <f t="shared" si="6"/>
        <v>0.76375429536845962</v>
      </c>
      <c r="BU36" s="98">
        <f t="shared" ref="BU36:BU43" si="24">BT36*BR36</f>
        <v>0.37999438213567105</v>
      </c>
      <c r="BV36" s="111">
        <f t="shared" ref="BV36:BV43" si="25">IF(1-$H$7*(($H$5+273)^4-298^4)/(BQ36*1000)&lt;0,#N/A,1-$H$7*(($H$5+273)^4-298^4)/(BQ36*1000))</f>
        <v>0.87752565422150042</v>
      </c>
      <c r="BW36" s="98">
        <f t="shared" ref="BW36:BW43" si="26">BV36*BR36</f>
        <v>0.43659959859633946</v>
      </c>
      <c r="CG36" s="35"/>
    </row>
    <row r="37" spans="2:86">
      <c r="D37" s="38">
        <v>10</v>
      </c>
      <c r="E37" s="93">
        <v>88764.467893855472</v>
      </c>
      <c r="F37" s="37">
        <f t="shared" si="7"/>
        <v>0.95036903526611849</v>
      </c>
      <c r="G37" s="38">
        <v>61459.4</v>
      </c>
      <c r="H37" s="37">
        <f>G37/$C$10</f>
        <v>0.65802355460385442</v>
      </c>
      <c r="I37" s="37">
        <f>1-G37/(E37*$C$8)</f>
        <v>0.24740498943724021</v>
      </c>
      <c r="J37" s="38">
        <v>58430.77</v>
      </c>
      <c r="K37" s="37">
        <f>J37/G37</f>
        <v>0.95072145188530954</v>
      </c>
      <c r="L37" s="7">
        <f>J37/(PI()*$C$18^2)</f>
        <v>1358.5896090819026</v>
      </c>
      <c r="M37" s="38">
        <v>52978.07</v>
      </c>
      <c r="N37" s="37">
        <f>M37/J37</f>
        <v>0.9066810175529092</v>
      </c>
      <c r="O37" s="50">
        <f>M37/(PI()*$C$19^2)</f>
        <v>3658.3240426545722</v>
      </c>
      <c r="P37" s="98">
        <f>M37/$C$10</f>
        <v>0.56721702355460391</v>
      </c>
      <c r="Q37" s="110">
        <f>INDEX(Daggett!$B$7:$M$21, MATCH(D37,Daggett!$A$7:$A$21,0), MATCH(B$36,Daggett!$B$6:$M$6,0))</f>
        <v>655.22580645161293</v>
      </c>
      <c r="R37" s="4">
        <f t="shared" si="8"/>
        <v>0.83604359471538847</v>
      </c>
      <c r="S37" s="98">
        <f t="shared" si="9"/>
        <v>0.4742181593563542</v>
      </c>
      <c r="T37" s="111">
        <f t="shared" si="10"/>
        <v>0.89257153212448292</v>
      </c>
      <c r="U37" s="98">
        <f t="shared" si="11"/>
        <v>0.50628176776122169</v>
      </c>
      <c r="AE37" s="38">
        <v>10</v>
      </c>
      <c r="AF37" s="93">
        <v>57761.22769655264</v>
      </c>
      <c r="AG37" s="37">
        <f t="shared" si="12"/>
        <v>0.61842856206159147</v>
      </c>
      <c r="AH37" s="38">
        <v>49601.909</v>
      </c>
      <c r="AI37" s="37">
        <f t="shared" si="13"/>
        <v>0.53106968950749467</v>
      </c>
      <c r="AJ37" s="37">
        <f t="shared" si="14"/>
        <v>6.6586348172812837E-2</v>
      </c>
      <c r="AK37" s="38">
        <v>43066.349600000001</v>
      </c>
      <c r="AL37" s="37">
        <f t="shared" si="15"/>
        <v>0.86823976069146858</v>
      </c>
      <c r="AM37" s="7">
        <f t="shared" si="2"/>
        <v>1001.3473220984176</v>
      </c>
      <c r="AN37" s="38">
        <v>39970.557800000002</v>
      </c>
      <c r="AO37" s="37">
        <f t="shared" si="16"/>
        <v>0.92811576024544229</v>
      </c>
      <c r="AP37" s="50">
        <f t="shared" si="3"/>
        <v>2760.1090903850263</v>
      </c>
      <c r="AQ37" s="98">
        <f t="shared" si="17"/>
        <v>0.42795029764453962</v>
      </c>
      <c r="AR37" s="110">
        <f>INDEX(Daggett!$B$7:$M$21, MATCH(AE37,Daggett!$A$7:$A$21,0), MATCH(AC$36,Daggett!$B$6:$M$6,0))</f>
        <v>655.22580645161293</v>
      </c>
      <c r="AS37" s="4">
        <f t="shared" si="4"/>
        <v>0.7826876982908525</v>
      </c>
      <c r="AT37" s="98">
        <f t="shared" si="18"/>
        <v>0.33495143344628997</v>
      </c>
      <c r="AU37" s="111">
        <f t="shared" si="19"/>
        <v>0.85761137186076752</v>
      </c>
      <c r="AV37" s="98">
        <f t="shared" si="20"/>
        <v>0.36701504185115741</v>
      </c>
      <c r="BF37" s="38">
        <v>10</v>
      </c>
      <c r="BG37" s="93">
        <f>AF41</f>
        <v>76601.422338151606</v>
      </c>
      <c r="BH37" s="37">
        <f t="shared" si="21"/>
        <v>0.8201437081172549</v>
      </c>
      <c r="BI37" s="38">
        <f t="shared" ref="BI37:BQ37" si="27">AH41</f>
        <v>57441.539299999997</v>
      </c>
      <c r="BJ37" s="37">
        <f t="shared" si="27"/>
        <v>0.61500577408993573</v>
      </c>
      <c r="BK37" s="37">
        <f t="shared" si="27"/>
        <v>0.18491780106577915</v>
      </c>
      <c r="BL37" s="38">
        <f t="shared" si="27"/>
        <v>53569.105000000003</v>
      </c>
      <c r="BM37" s="37">
        <f t="shared" si="27"/>
        <v>0.93258477493481806</v>
      </c>
      <c r="BN37" s="7">
        <f t="shared" si="27"/>
        <v>1245.5497235586217</v>
      </c>
      <c r="BO37" s="38">
        <f t="shared" si="27"/>
        <v>48868.175289999999</v>
      </c>
      <c r="BP37" s="37">
        <f t="shared" si="27"/>
        <v>0.9122455058750748</v>
      </c>
      <c r="BQ37" s="50">
        <f t="shared" si="27"/>
        <v>3374.5212044165646</v>
      </c>
      <c r="BR37" s="98">
        <f t="shared" si="23"/>
        <v>0.52321386820128479</v>
      </c>
      <c r="BS37" s="110">
        <f>INDEX(Daggett!$B$7:$M$21, MATCH(BF37,Daggett!$A$7:$A$21,0), MATCH(BD$36,Daggett!$B$6:$M$6,0))</f>
        <v>655.22580645161293</v>
      </c>
      <c r="BT37" s="4">
        <f t="shared" si="6"/>
        <v>0.82225458870583257</v>
      </c>
      <c r="BU37" s="98">
        <f t="shared" si="24"/>
        <v>0.43021500400303514</v>
      </c>
      <c r="BV37" s="111">
        <f t="shared" si="25"/>
        <v>0.88353661954170548</v>
      </c>
      <c r="BW37" s="98">
        <f t="shared" si="26"/>
        <v>0.46227861240790258</v>
      </c>
    </row>
    <row r="38" spans="2:86">
      <c r="D38" s="38">
        <v>11</v>
      </c>
      <c r="E38" s="93">
        <v>90785.181197422135</v>
      </c>
      <c r="F38" s="37">
        <f t="shared" si="7"/>
        <v>0.97200408134284944</v>
      </c>
      <c r="G38" s="38">
        <v>67092.62</v>
      </c>
      <c r="H38" s="37">
        <f>G38/$C$10</f>
        <v>0.71833640256959308</v>
      </c>
      <c r="I38" s="37">
        <f>1-G38/(E38*$C$8)</f>
        <v>0.19671074169056157</v>
      </c>
      <c r="J38" s="38">
        <v>63976.33</v>
      </c>
      <c r="K38" s="37">
        <f>J38/G38</f>
        <v>0.95355241753862063</v>
      </c>
      <c r="L38" s="7">
        <f>J38/(PI()*$C$18^2)</f>
        <v>1487.5309218960285</v>
      </c>
      <c r="M38" s="38">
        <v>58235.62</v>
      </c>
      <c r="N38" s="37">
        <f>M38/J38</f>
        <v>0.91026821951181014</v>
      </c>
      <c r="O38" s="50">
        <f>M38/(PI()*$C$19^2)</f>
        <v>4021.3765579775836</v>
      </c>
      <c r="P38" s="98">
        <f>M38/$C$10</f>
        <v>0.62350770877944328</v>
      </c>
      <c r="Q38" s="110">
        <f>INDEX(Daggett!$B$7:$M$21, MATCH(D38,Daggett!$A$7:$A$21,0), MATCH(B$36,Daggett!$B$6:$M$6,0))</f>
        <v>692.29032258064512</v>
      </c>
      <c r="R38" s="4">
        <f t="shared" si="8"/>
        <v>0.85883125606267563</v>
      </c>
      <c r="S38" s="98">
        <f t="shared" si="9"/>
        <v>0.5354879086958102</v>
      </c>
      <c r="T38" s="111">
        <f t="shared" si="10"/>
        <v>0.90227024472132522</v>
      </c>
      <c r="U38" s="98">
        <f t="shared" si="11"/>
        <v>0.56257245298606107</v>
      </c>
      <c r="V38" s="41"/>
      <c r="W38" s="37"/>
      <c r="X38" s="4"/>
      <c r="Y38" s="50"/>
      <c r="Z38" s="37"/>
      <c r="AA38" s="41"/>
      <c r="AE38" s="38">
        <v>11</v>
      </c>
      <c r="AF38" s="93">
        <v>63954.97167446003</v>
      </c>
      <c r="AG38" s="37">
        <f t="shared" si="12"/>
        <v>0.684742737413919</v>
      </c>
      <c r="AH38" s="38">
        <v>55319.957029999998</v>
      </c>
      <c r="AI38" s="37">
        <f t="shared" si="13"/>
        <v>0.59229076049250529</v>
      </c>
      <c r="AJ38" s="37">
        <f t="shared" si="14"/>
        <v>5.9801192905545419E-2</v>
      </c>
      <c r="AK38" s="38">
        <v>49421.36</v>
      </c>
      <c r="AL38" s="37">
        <f t="shared" si="15"/>
        <v>0.89337307281708134</v>
      </c>
      <c r="AM38" s="7">
        <f t="shared" si="2"/>
        <v>1149.1093847076802</v>
      </c>
      <c r="AN38" s="38">
        <v>45331.666599999997</v>
      </c>
      <c r="AO38" s="37">
        <f t="shared" si="16"/>
        <v>0.91724846503617052</v>
      </c>
      <c r="AP38" s="50">
        <f t="shared" si="3"/>
        <v>3130.3127089450641</v>
      </c>
      <c r="AQ38" s="98">
        <f t="shared" si="17"/>
        <v>0.48534974946466808</v>
      </c>
      <c r="AR38" s="110">
        <f>INDEX(Daggett!$B$7:$M$21, MATCH(AE38,Daggett!$A$7:$A$21,0), MATCH(AC$36,Daggett!$B$6:$M$6,0))</f>
        <v>692.29032258064512</v>
      </c>
      <c r="AS38" s="4">
        <f t="shared" si="4"/>
        <v>0.81864665598217112</v>
      </c>
      <c r="AT38" s="98">
        <f t="shared" si="18"/>
        <v>0.39732994938103505</v>
      </c>
      <c r="AU38" s="111">
        <f t="shared" si="19"/>
        <v>0.87445083496881848</v>
      </c>
      <c r="AV38" s="98">
        <f t="shared" si="20"/>
        <v>0.42441449367128586</v>
      </c>
      <c r="BF38" s="38">
        <v>11</v>
      </c>
      <c r="BG38" s="93">
        <f>AF40</f>
        <v>73487.735306779185</v>
      </c>
      <c r="BH38" s="37">
        <f t="shared" si="21"/>
        <v>0.78680658786701485</v>
      </c>
      <c r="BI38" s="38">
        <f t="shared" ref="BI38:BQ38" si="28">AH40</f>
        <v>60364.639000000003</v>
      </c>
      <c r="BJ38" s="37">
        <f t="shared" si="28"/>
        <v>0.64630234475374737</v>
      </c>
      <c r="BK38" s="37">
        <f t="shared" si="28"/>
        <v>0.10714709373517117</v>
      </c>
      <c r="BL38" s="38">
        <f t="shared" si="28"/>
        <v>55935.622300000003</v>
      </c>
      <c r="BM38" s="37">
        <f t="shared" si="28"/>
        <v>0.92662895408021906</v>
      </c>
      <c r="BN38" s="7">
        <f t="shared" si="28"/>
        <v>1300.5742562405042</v>
      </c>
      <c r="BO38" s="38">
        <f t="shared" si="28"/>
        <v>50969.504000000001</v>
      </c>
      <c r="BP38" s="37">
        <f t="shared" si="28"/>
        <v>0.91121725126494213</v>
      </c>
      <c r="BQ38" s="50">
        <f t="shared" si="28"/>
        <v>3519.6254209596236</v>
      </c>
      <c r="BR38" s="98">
        <f t="shared" si="23"/>
        <v>0.54571203426124193</v>
      </c>
      <c r="BS38" s="110">
        <f>INDEX(Daggett!$B$7:$M$21, MATCH(BF38,Daggett!$A$7:$A$21,0), MATCH(BD$36,Daggett!$B$6:$M$6,0))</f>
        <v>692.29032258064512</v>
      </c>
      <c r="BT38" s="4">
        <f t="shared" si="6"/>
        <v>0.83870650717316531</v>
      </c>
      <c r="BU38" s="98">
        <f t="shared" si="24"/>
        <v>0.45769223417760896</v>
      </c>
      <c r="BV38" s="111">
        <f t="shared" si="25"/>
        <v>0.88833807582075164</v>
      </c>
      <c r="BW38" s="98">
        <f t="shared" si="26"/>
        <v>0.48477677846785977</v>
      </c>
    </row>
    <row r="39" spans="2:86">
      <c r="D39" s="38">
        <v>12</v>
      </c>
      <c r="E39" s="93">
        <v>91464.231497869026</v>
      </c>
      <c r="F39" s="37">
        <f t="shared" si="7"/>
        <v>0.97927442717204527</v>
      </c>
      <c r="G39" s="38">
        <v>69256.180999999997</v>
      </c>
      <c r="H39" s="37">
        <f>G39/$C$10</f>
        <v>0.74150086723768738</v>
      </c>
      <c r="I39" s="37">
        <f>1-G39/(E39*$C$8)</f>
        <v>0.17696288072513333</v>
      </c>
      <c r="J39" s="38">
        <v>66047.149999999994</v>
      </c>
      <c r="K39" s="37">
        <f>J39/G39</f>
        <v>0.95366433791664018</v>
      </c>
      <c r="L39" s="7">
        <f>J39/(PI()*$C$18^2)</f>
        <v>1535.6801168198499</v>
      </c>
      <c r="M39" s="38">
        <v>60105.883999999998</v>
      </c>
      <c r="N39" s="37">
        <f>M39/J39</f>
        <v>0.91004508143046303</v>
      </c>
      <c r="O39" s="50">
        <f>M39/(PI()*$C$19^2)</f>
        <v>4150.5249349817159</v>
      </c>
      <c r="P39" s="98">
        <f>M39/$C$10</f>
        <v>0.64353194860813701</v>
      </c>
      <c r="Q39" s="110">
        <f>INDEX(Daggett!$B$7:$M$21, MATCH(D39,Daggett!$A$7:$A$21,0), MATCH(B$36,Daggett!$B$6:$M$6,0))</f>
        <v>722.54838709677415</v>
      </c>
      <c r="R39" s="4">
        <f t="shared" si="8"/>
        <v>0.86895164011010972</v>
      </c>
      <c r="S39" s="98">
        <f t="shared" si="9"/>
        <v>0.55919814220629549</v>
      </c>
      <c r="T39" s="111">
        <f t="shared" si="10"/>
        <v>0.9053112189298822</v>
      </c>
      <c r="U39" s="98">
        <f t="shared" si="11"/>
        <v>0.58259669281475479</v>
      </c>
      <c r="AE39" s="38">
        <v>12</v>
      </c>
      <c r="AF39" s="93">
        <v>69240.441242608693</v>
      </c>
      <c r="AG39" s="37">
        <f t="shared" si="12"/>
        <v>0.74133234735127085</v>
      </c>
      <c r="AH39" s="38">
        <v>59708.589</v>
      </c>
      <c r="AI39" s="37">
        <f t="shared" si="13"/>
        <v>0.63927825481798717</v>
      </c>
      <c r="AJ39" s="37">
        <f t="shared" si="14"/>
        <v>6.2677258367134669E-2</v>
      </c>
      <c r="AK39" s="38">
        <v>54602.991600000001</v>
      </c>
      <c r="AL39" s="37">
        <f t="shared" si="15"/>
        <v>0.91449140759296788</v>
      </c>
      <c r="AM39" s="7">
        <f t="shared" si="2"/>
        <v>1269.5889000358272</v>
      </c>
      <c r="AN39" s="38">
        <v>50013.223100000003</v>
      </c>
      <c r="AO39" s="37">
        <f t="shared" si="16"/>
        <v>0.91594291145029505</v>
      </c>
      <c r="AP39" s="50">
        <f t="shared" si="3"/>
        <v>3453.5908257393494</v>
      </c>
      <c r="AQ39" s="98">
        <f t="shared" si="17"/>
        <v>0.53547348072805145</v>
      </c>
      <c r="AR39" s="110">
        <f>INDEX(Daggett!$B$7:$M$21, MATCH(AE39,Daggett!$A$7:$A$21,0), MATCH(AC$36,Daggett!$B$6:$M$6,0))</f>
        <v>722.54838709677415</v>
      </c>
      <c r="AS39" s="4">
        <f t="shared" si="4"/>
        <v>0.8425061007929322</v>
      </c>
      <c r="AT39" s="98">
        <f t="shared" si="18"/>
        <v>0.45113967432620994</v>
      </c>
      <c r="AU39" s="111">
        <f t="shared" si="19"/>
        <v>0.8862030371503512</v>
      </c>
      <c r="AV39" s="98">
        <f t="shared" si="20"/>
        <v>0.47453822493466924</v>
      </c>
      <c r="BF39" s="38">
        <v>12</v>
      </c>
      <c r="BG39" s="93">
        <f>AF39</f>
        <v>69240.441242608693</v>
      </c>
      <c r="BH39" s="37">
        <f t="shared" si="21"/>
        <v>0.74133234735127085</v>
      </c>
      <c r="BI39" s="38">
        <f t="shared" ref="BI39:BQ39" si="29">AH39</f>
        <v>59708.589</v>
      </c>
      <c r="BJ39" s="37">
        <f t="shared" si="29"/>
        <v>0.63927825481798717</v>
      </c>
      <c r="BK39" s="37">
        <f t="shared" si="29"/>
        <v>6.2677258367134669E-2</v>
      </c>
      <c r="BL39" s="38">
        <f t="shared" si="29"/>
        <v>54602.991600000001</v>
      </c>
      <c r="BM39" s="37">
        <f t="shared" si="29"/>
        <v>0.91449140759296788</v>
      </c>
      <c r="BN39" s="7">
        <f t="shared" si="29"/>
        <v>1269.5889000358272</v>
      </c>
      <c r="BO39" s="38">
        <f t="shared" si="29"/>
        <v>50013.223100000003</v>
      </c>
      <c r="BP39" s="37">
        <f t="shared" si="29"/>
        <v>0.91594291145029505</v>
      </c>
      <c r="BQ39" s="50">
        <f t="shared" si="29"/>
        <v>3453.5908257393494</v>
      </c>
      <c r="BR39" s="98">
        <f t="shared" si="23"/>
        <v>0.53547348072805145</v>
      </c>
      <c r="BS39" s="110">
        <f>INDEX(Daggett!$B$7:$M$21, MATCH(BF39,Daggett!$A$7:$A$21,0), MATCH(BD$36,Daggett!$B$6:$M$6,0))</f>
        <v>722.54838709677415</v>
      </c>
      <c r="BT39" s="4">
        <f t="shared" si="6"/>
        <v>0.8425061007929322</v>
      </c>
      <c r="BU39" s="98">
        <f t="shared" si="24"/>
        <v>0.45113967432620994</v>
      </c>
      <c r="BV39" s="111">
        <f t="shared" si="25"/>
        <v>0.8862030371503512</v>
      </c>
      <c r="BW39" s="98">
        <f t="shared" si="26"/>
        <v>0.47453822493466924</v>
      </c>
    </row>
    <row r="40" spans="2:86">
      <c r="D40" s="38">
        <v>13</v>
      </c>
      <c r="E40" s="93">
        <f>E38</f>
        <v>90785.181197422135</v>
      </c>
      <c r="F40" s="37">
        <f t="shared" si="7"/>
        <v>0.97200408134284944</v>
      </c>
      <c r="G40" s="38">
        <f t="shared" ref="G40:P40" si="30">G38</f>
        <v>67092.62</v>
      </c>
      <c r="H40" s="37">
        <f t="shared" si="30"/>
        <v>0.71833640256959308</v>
      </c>
      <c r="I40" s="37">
        <f t="shared" si="30"/>
        <v>0.19671074169056157</v>
      </c>
      <c r="J40" s="38">
        <f t="shared" si="30"/>
        <v>63976.33</v>
      </c>
      <c r="K40" s="37">
        <f t="shared" si="30"/>
        <v>0.95355241753862063</v>
      </c>
      <c r="L40" s="7">
        <f t="shared" si="30"/>
        <v>1487.5309218960285</v>
      </c>
      <c r="M40" s="38">
        <f t="shared" si="30"/>
        <v>58235.62</v>
      </c>
      <c r="N40" s="37">
        <f t="shared" si="30"/>
        <v>0.91026821951181014</v>
      </c>
      <c r="O40" s="50">
        <f t="shared" si="30"/>
        <v>4021.3765579775836</v>
      </c>
      <c r="P40" s="98">
        <f t="shared" si="30"/>
        <v>0.62350770877944328</v>
      </c>
      <c r="Q40" s="110">
        <f>INDEX(Daggett!$B$7:$M$21, MATCH(D40,Daggett!$A$7:$A$21,0), MATCH(B$36,Daggett!$B$6:$M$6,0))</f>
        <v>724.09677419354841</v>
      </c>
      <c r="R40" s="4">
        <f t="shared" si="8"/>
        <v>0.86503219077654403</v>
      </c>
      <c r="S40" s="98">
        <f t="shared" si="9"/>
        <v>0.53935423929154525</v>
      </c>
      <c r="T40" s="111">
        <f t="shared" si="10"/>
        <v>0.90227024472132522</v>
      </c>
      <c r="U40" s="98">
        <f t="shared" si="11"/>
        <v>0.56257245298606107</v>
      </c>
      <c r="AE40" s="38">
        <v>13</v>
      </c>
      <c r="AF40" s="93">
        <v>73487.735306779185</v>
      </c>
      <c r="AG40" s="37">
        <f t="shared" si="12"/>
        <v>0.78680658786701485</v>
      </c>
      <c r="AH40" s="38">
        <v>60364.639000000003</v>
      </c>
      <c r="AI40" s="37">
        <f t="shared" si="13"/>
        <v>0.64630234475374737</v>
      </c>
      <c r="AJ40" s="37">
        <f t="shared" si="14"/>
        <v>0.10714709373517117</v>
      </c>
      <c r="AK40" s="38">
        <v>55935.622300000003</v>
      </c>
      <c r="AL40" s="37">
        <f t="shared" si="15"/>
        <v>0.92662895408021906</v>
      </c>
      <c r="AM40" s="7">
        <f t="shared" si="2"/>
        <v>1300.5742562405042</v>
      </c>
      <c r="AN40" s="38">
        <v>50969.504000000001</v>
      </c>
      <c r="AO40" s="37">
        <f t="shared" si="16"/>
        <v>0.91121725126494213</v>
      </c>
      <c r="AP40" s="50">
        <f t="shared" si="3"/>
        <v>3519.6254209596236</v>
      </c>
      <c r="AQ40" s="98">
        <f t="shared" si="17"/>
        <v>0.54571203426124193</v>
      </c>
      <c r="AR40" s="110">
        <f>INDEX(Daggett!$B$7:$M$21, MATCH(AE40,Daggett!$A$7:$A$21,0), MATCH(AC$36,Daggett!$B$6:$M$6,0))</f>
        <v>724.09677419354841</v>
      </c>
      <c r="AS40" s="4">
        <f t="shared" si="4"/>
        <v>0.84579143540086876</v>
      </c>
      <c r="AT40" s="98">
        <f t="shared" si="18"/>
        <v>0.46155856477334389</v>
      </c>
      <c r="AU40" s="111">
        <f t="shared" si="19"/>
        <v>0.88833807582075164</v>
      </c>
      <c r="AV40" s="98">
        <f t="shared" si="20"/>
        <v>0.48477677846785977</v>
      </c>
      <c r="BF40" s="38">
        <v>13</v>
      </c>
      <c r="BG40" s="93">
        <f>AF38</f>
        <v>63954.97167446003</v>
      </c>
      <c r="BH40" s="37">
        <f t="shared" si="21"/>
        <v>0.684742737413919</v>
      </c>
      <c r="BI40" s="38">
        <f t="shared" ref="BI40:BQ40" si="31">AH38</f>
        <v>55319.957029999998</v>
      </c>
      <c r="BJ40" s="37">
        <f t="shared" si="31"/>
        <v>0.59229076049250529</v>
      </c>
      <c r="BK40" s="37">
        <f t="shared" si="31"/>
        <v>5.9801192905545419E-2</v>
      </c>
      <c r="BL40" s="38">
        <f t="shared" si="31"/>
        <v>49421.36</v>
      </c>
      <c r="BM40" s="37">
        <f t="shared" si="31"/>
        <v>0.89337307281708134</v>
      </c>
      <c r="BN40" s="7">
        <f t="shared" si="31"/>
        <v>1149.1093847076802</v>
      </c>
      <c r="BO40" s="38">
        <f t="shared" si="31"/>
        <v>45331.666599999997</v>
      </c>
      <c r="BP40" s="37">
        <f t="shared" si="31"/>
        <v>0.91724846503617052</v>
      </c>
      <c r="BQ40" s="50">
        <f t="shared" si="31"/>
        <v>3130.3127089450641</v>
      </c>
      <c r="BR40" s="98">
        <f t="shared" si="23"/>
        <v>0.48534974946466808</v>
      </c>
      <c r="BS40" s="110">
        <f>INDEX(Daggett!$B$7:$M$21, MATCH(BF40,Daggett!$A$7:$A$21,0), MATCH(BD$36,Daggett!$B$6:$M$6,0))</f>
        <v>724.09677419354841</v>
      </c>
      <c r="BT40" s="4">
        <f t="shared" si="6"/>
        <v>0.82661272704741728</v>
      </c>
      <c r="BU40" s="98">
        <f t="shared" si="24"/>
        <v>0.40119627997677004</v>
      </c>
      <c r="BV40" s="111">
        <f t="shared" si="25"/>
        <v>0.87445083496881848</v>
      </c>
      <c r="BW40" s="98">
        <f t="shared" si="26"/>
        <v>0.42441449367128586</v>
      </c>
    </row>
    <row r="41" spans="2:86">
      <c r="D41" s="38">
        <v>14</v>
      </c>
      <c r="E41" s="93">
        <f>E37</f>
        <v>88764.467893855472</v>
      </c>
      <c r="F41" s="37">
        <f t="shared" si="7"/>
        <v>0.95036903526611849</v>
      </c>
      <c r="G41" s="38">
        <f t="shared" ref="G41:P41" si="32">G37</f>
        <v>61459.4</v>
      </c>
      <c r="H41" s="37">
        <f t="shared" si="32"/>
        <v>0.65802355460385442</v>
      </c>
      <c r="I41" s="37">
        <f t="shared" si="32"/>
        <v>0.24740498943724021</v>
      </c>
      <c r="J41" s="38">
        <f t="shared" si="32"/>
        <v>58430.77</v>
      </c>
      <c r="K41" s="37">
        <f t="shared" si="32"/>
        <v>0.95072145188530954</v>
      </c>
      <c r="L41" s="7">
        <f t="shared" si="32"/>
        <v>1358.5896090819026</v>
      </c>
      <c r="M41" s="38">
        <f t="shared" si="32"/>
        <v>52978.07</v>
      </c>
      <c r="N41" s="37">
        <f t="shared" si="32"/>
        <v>0.9066810175529092</v>
      </c>
      <c r="O41" s="50">
        <f t="shared" si="32"/>
        <v>3658.3240426545722</v>
      </c>
      <c r="P41" s="98">
        <f t="shared" si="32"/>
        <v>0.56721702355460391</v>
      </c>
      <c r="Q41" s="110">
        <f>INDEX(Daggett!$B$7:$M$21, MATCH(D41,Daggett!$A$7:$A$21,0), MATCH(B$36,Daggett!$B$6:$M$6,0))</f>
        <v>716.58064516129036</v>
      </c>
      <c r="R41" s="4">
        <f t="shared" si="8"/>
        <v>0.85008181758616053</v>
      </c>
      <c r="S41" s="98">
        <f t="shared" si="9"/>
        <v>0.48218087834910972</v>
      </c>
      <c r="T41" s="111">
        <f t="shared" si="10"/>
        <v>0.89257153212448292</v>
      </c>
      <c r="U41" s="98">
        <f t="shared" si="11"/>
        <v>0.50628176776122169</v>
      </c>
      <c r="AE41" s="38">
        <v>14</v>
      </c>
      <c r="AF41" s="93">
        <v>76601.422338151606</v>
      </c>
      <c r="AG41" s="37">
        <f t="shared" si="12"/>
        <v>0.8201437081172549</v>
      </c>
      <c r="AH41" s="38">
        <v>57441.539299999997</v>
      </c>
      <c r="AI41" s="37">
        <f t="shared" si="13"/>
        <v>0.61500577408993573</v>
      </c>
      <c r="AJ41" s="37">
        <f t="shared" si="14"/>
        <v>0.18491780106577915</v>
      </c>
      <c r="AK41" s="38">
        <v>53569.105000000003</v>
      </c>
      <c r="AL41" s="37">
        <f t="shared" si="15"/>
        <v>0.93258477493481806</v>
      </c>
      <c r="AM41" s="7">
        <f t="shared" si="2"/>
        <v>1245.5497235586217</v>
      </c>
      <c r="AN41" s="38">
        <v>48868.175289999999</v>
      </c>
      <c r="AO41" s="37">
        <f t="shared" si="16"/>
        <v>0.9122455058750748</v>
      </c>
      <c r="AP41" s="50">
        <f t="shared" si="3"/>
        <v>3374.5212044165646</v>
      </c>
      <c r="AQ41" s="98">
        <f t="shared" si="17"/>
        <v>0.52321386820128479</v>
      </c>
      <c r="AR41" s="110">
        <f>INDEX(Daggett!$B$7:$M$21, MATCH(AE41,Daggett!$A$7:$A$21,0), MATCH(AC$36,Daggett!$B$6:$M$6,0))</f>
        <v>716.58064516129036</v>
      </c>
      <c r="AS41" s="4">
        <f t="shared" si="4"/>
        <v>0.83747344943697088</v>
      </c>
      <c r="AT41" s="98">
        <f t="shared" si="18"/>
        <v>0.43817772299579061</v>
      </c>
      <c r="AU41" s="111">
        <f t="shared" si="19"/>
        <v>0.88353661954170548</v>
      </c>
      <c r="AV41" s="98">
        <f t="shared" si="20"/>
        <v>0.46227861240790258</v>
      </c>
      <c r="BF41" s="38">
        <v>14</v>
      </c>
      <c r="BG41" s="93">
        <f>AF37</f>
        <v>57761.22769655264</v>
      </c>
      <c r="BH41" s="37">
        <f t="shared" si="21"/>
        <v>0.61842856206159147</v>
      </c>
      <c r="BI41" s="38">
        <f t="shared" ref="BI41:BQ41" si="33">AH37</f>
        <v>49601.909</v>
      </c>
      <c r="BJ41" s="37">
        <f t="shared" si="33"/>
        <v>0.53106968950749467</v>
      </c>
      <c r="BK41" s="37">
        <f t="shared" si="33"/>
        <v>6.6586348172812837E-2</v>
      </c>
      <c r="BL41" s="38">
        <f t="shared" si="33"/>
        <v>43066.349600000001</v>
      </c>
      <c r="BM41" s="37">
        <f t="shared" si="33"/>
        <v>0.86823976069146858</v>
      </c>
      <c r="BN41" s="7">
        <f t="shared" si="33"/>
        <v>1001.3473220984176</v>
      </c>
      <c r="BO41" s="38">
        <f t="shared" si="33"/>
        <v>39970.557800000002</v>
      </c>
      <c r="BP41" s="37">
        <f t="shared" si="33"/>
        <v>0.92811576024544229</v>
      </c>
      <c r="BQ41" s="50">
        <f t="shared" si="33"/>
        <v>2760.1090903850263</v>
      </c>
      <c r="BR41" s="98">
        <f t="shared" si="23"/>
        <v>0.42795029764453962</v>
      </c>
      <c r="BS41" s="110">
        <f>INDEX(Daggett!$B$7:$M$21, MATCH(BF41,Daggett!$A$7:$A$21,0), MATCH(BD$36,Daggett!$B$6:$M$6,0))</f>
        <v>716.58064516129036</v>
      </c>
      <c r="BT41" s="4">
        <f t="shared" si="6"/>
        <v>0.80129434265255228</v>
      </c>
      <c r="BU41" s="98">
        <f t="shared" si="24"/>
        <v>0.34291415243904549</v>
      </c>
      <c r="BV41" s="111">
        <f t="shared" si="25"/>
        <v>0.85761137186076752</v>
      </c>
      <c r="BW41" s="98">
        <f t="shared" si="26"/>
        <v>0.36701504185115741</v>
      </c>
    </row>
    <row r="42" spans="2:86">
      <c r="C42" s="7" t="s">
        <v>160</v>
      </c>
      <c r="D42" s="38">
        <v>15</v>
      </c>
      <c r="E42" s="93">
        <f>E36</f>
        <v>85451.927365477401</v>
      </c>
      <c r="F42" s="37">
        <f t="shared" si="7"/>
        <v>0.91490286258541109</v>
      </c>
      <c r="G42" s="38">
        <f t="shared" ref="G42:P42" si="34">G36</f>
        <v>55161.35</v>
      </c>
      <c r="H42" s="37">
        <f t="shared" si="34"/>
        <v>0.59059261241970018</v>
      </c>
      <c r="I42" s="37">
        <f t="shared" si="34"/>
        <v>0.29834246015312438</v>
      </c>
      <c r="J42" s="38">
        <f t="shared" si="34"/>
        <v>52235.595000000001</v>
      </c>
      <c r="K42" s="37">
        <f t="shared" si="34"/>
        <v>0.94696005445842069</v>
      </c>
      <c r="L42" s="7">
        <f t="shared" si="34"/>
        <v>1214.5439225122414</v>
      </c>
      <c r="M42" s="38">
        <f t="shared" si="34"/>
        <v>47072.18</v>
      </c>
      <c r="N42" s="37">
        <f t="shared" si="34"/>
        <v>0.90115140834520979</v>
      </c>
      <c r="O42" s="50">
        <f t="shared" si="34"/>
        <v>3250.501345824106</v>
      </c>
      <c r="P42" s="98">
        <f t="shared" si="34"/>
        <v>0.50398479657387585</v>
      </c>
      <c r="Q42" s="110">
        <f>INDEX(Daggett!$B$7:$M$21, MATCH(D42,Daggett!$A$7:$A$21,0), MATCH(B$36,Daggett!$B$6:$M$6,0))</f>
        <v>652.64516129032256</v>
      </c>
      <c r="R42" s="4">
        <f t="shared" si="8"/>
        <v>0.81474323308128083</v>
      </c>
      <c r="S42" s="98">
        <f t="shared" si="9"/>
        <v>0.41061820258441123</v>
      </c>
      <c r="T42" s="111">
        <f t="shared" si="10"/>
        <v>0.87909306747420879</v>
      </c>
      <c r="U42" s="98">
        <f t="shared" si="11"/>
        <v>0.44304954078049363</v>
      </c>
      <c r="AD42" s="7" t="s">
        <v>160</v>
      </c>
      <c r="AE42" s="38">
        <v>15</v>
      </c>
      <c r="AF42" s="93">
        <v>78514.253231149341</v>
      </c>
      <c r="AG42" s="37">
        <f t="shared" si="12"/>
        <v>0.84062369626498223</v>
      </c>
      <c r="AH42" s="38">
        <v>54788.146000000001</v>
      </c>
      <c r="AI42" s="37">
        <f t="shared" si="13"/>
        <v>0.58659685224839397</v>
      </c>
      <c r="AJ42" s="37">
        <f t="shared" si="14"/>
        <v>0.24150927815143297</v>
      </c>
      <c r="AK42" s="38">
        <v>51168.224600000001</v>
      </c>
      <c r="AL42" s="37">
        <f t="shared" si="15"/>
        <v>0.93392874801786507</v>
      </c>
      <c r="AM42" s="7">
        <f t="shared" si="2"/>
        <v>1189.7262051608939</v>
      </c>
      <c r="AN42" s="38">
        <v>46469.755400000002</v>
      </c>
      <c r="AO42" s="37">
        <f t="shared" si="16"/>
        <v>0.90817603626606969</v>
      </c>
      <c r="AP42" s="50">
        <f t="shared" si="3"/>
        <v>3208.9017858917314</v>
      </c>
      <c r="AQ42" s="98">
        <f t="shared" si="17"/>
        <v>0.49753485438972167</v>
      </c>
      <c r="AR42" s="110">
        <f>INDEX(Daggett!$B$7:$M$21, MATCH(AE42,Daggett!$A$7:$A$21,0), MATCH(AC$36,Daggett!$B$6:$M$6,0))</f>
        <v>652.64516129032256</v>
      </c>
      <c r="AS42" s="4">
        <f t="shared" si="4"/>
        <v>0.8123416014663164</v>
      </c>
      <c r="AT42" s="98">
        <f t="shared" si="18"/>
        <v>0.40416826040025705</v>
      </c>
      <c r="AU42" s="111">
        <f t="shared" si="19"/>
        <v>0.87752565422150042</v>
      </c>
      <c r="AV42" s="98">
        <f t="shared" si="20"/>
        <v>0.43659959859633946</v>
      </c>
      <c r="BE42" s="7" t="s">
        <v>160</v>
      </c>
      <c r="BF42" s="38">
        <v>15</v>
      </c>
      <c r="BG42" s="93">
        <f>AF36</f>
        <v>50831.090954300103</v>
      </c>
      <c r="BH42" s="37">
        <f t="shared" si="21"/>
        <v>0.54423009587045079</v>
      </c>
      <c r="BI42" s="38">
        <f t="shared" ref="BI42:BQ42" si="35">AH36</f>
        <v>41301.031999999999</v>
      </c>
      <c r="BJ42" s="37">
        <f t="shared" si="35"/>
        <v>0.44219520342612417</v>
      </c>
      <c r="BK42" s="37">
        <f t="shared" si="35"/>
        <v>0.11683134781983662</v>
      </c>
      <c r="BL42" s="38">
        <f t="shared" si="35"/>
        <v>34425.138800000001</v>
      </c>
      <c r="BM42" s="37">
        <f t="shared" si="35"/>
        <v>0.83351764188362176</v>
      </c>
      <c r="BN42" s="7">
        <f t="shared" si="35"/>
        <v>800.4281967340537</v>
      </c>
      <c r="BO42" s="38">
        <f t="shared" si="35"/>
        <v>32088.723000000002</v>
      </c>
      <c r="BP42" s="37">
        <f t="shared" si="35"/>
        <v>0.93213053363200971</v>
      </c>
      <c r="BQ42" s="50">
        <f t="shared" si="35"/>
        <v>2215.8403816708078</v>
      </c>
      <c r="BR42" s="98">
        <f t="shared" si="23"/>
        <v>0.34356234475374736</v>
      </c>
      <c r="BS42" s="110">
        <f>INDEX(Daggett!$B$7:$M$21, MATCH(BF42,Daggett!$A$7:$A$21,0), MATCH(BD$36,Daggett!$B$6:$M$6,0))</f>
        <v>652.64516129032256</v>
      </c>
      <c r="BT42" s="4">
        <f t="shared" si="6"/>
        <v>0.72823973460657832</v>
      </c>
      <c r="BU42" s="98">
        <f t="shared" si="24"/>
        <v>0.25019575076428274</v>
      </c>
      <c r="BV42" s="111">
        <f t="shared" si="25"/>
        <v>0.82263697776000944</v>
      </c>
      <c r="BW42" s="98">
        <f t="shared" si="26"/>
        <v>0.28262708896036515</v>
      </c>
    </row>
    <row r="43" spans="2:86">
      <c r="C43" s="7">
        <f>ROW(D43)-ROW(D35)+1</f>
        <v>9</v>
      </c>
      <c r="D43" s="38">
        <v>16</v>
      </c>
      <c r="E43" s="93">
        <f>E35</f>
        <v>80932.612635890691</v>
      </c>
      <c r="F43" s="37">
        <f t="shared" si="7"/>
        <v>0.86651619524508239</v>
      </c>
      <c r="G43" s="38">
        <f t="shared" ref="G43:P43" si="36">G35</f>
        <v>38302.42</v>
      </c>
      <c r="H43" s="37">
        <f t="shared" si="36"/>
        <v>0.41009014989293358</v>
      </c>
      <c r="I43" s="37">
        <f t="shared" si="36"/>
        <v>0.48558357550255904</v>
      </c>
      <c r="J43" s="38">
        <f t="shared" si="36"/>
        <v>35804.18</v>
      </c>
      <c r="K43" s="37">
        <f t="shared" si="36"/>
        <v>0.93477592277459232</v>
      </c>
      <c r="L43" s="7">
        <f t="shared" si="36"/>
        <v>832.49265600467152</v>
      </c>
      <c r="M43" s="38">
        <f t="shared" si="36"/>
        <v>32186.79</v>
      </c>
      <c r="N43" s="37">
        <f t="shared" si="36"/>
        <v>0.89896738313794644</v>
      </c>
      <c r="O43" s="50">
        <f t="shared" si="36"/>
        <v>2222.6122565973765</v>
      </c>
      <c r="P43" s="98">
        <f t="shared" si="36"/>
        <v>0.34461231263383296</v>
      </c>
      <c r="Q43" s="110">
        <f>INDEX(Daggett!$B$7:$M$21, MATCH(D43,Daggett!$A$7:$A$21,0), MATCH(B$36,Daggett!$B$6:$M$6,0))</f>
        <v>523.32258064516134</v>
      </c>
      <c r="R43" s="4">
        <f t="shared" si="8"/>
        <v>0.66211541879660585</v>
      </c>
      <c r="S43" s="98">
        <f t="shared" si="9"/>
        <v>0.22817312570201717</v>
      </c>
      <c r="T43" s="111">
        <f t="shared" si="10"/>
        <v>0.82317736900443017</v>
      </c>
      <c r="U43" s="98">
        <f t="shared" si="11"/>
        <v>0.28367705684045075</v>
      </c>
      <c r="AD43" s="7">
        <f>ROW(AE43)-ROW(AE35)+1</f>
        <v>9</v>
      </c>
      <c r="AE43" s="38">
        <v>16</v>
      </c>
      <c r="AF43" s="93">
        <v>79186.422459859823</v>
      </c>
      <c r="AG43" s="37">
        <f t="shared" si="12"/>
        <v>0.84782036894924862</v>
      </c>
      <c r="AH43" s="38">
        <v>38510.341999999997</v>
      </c>
      <c r="AI43" s="37">
        <f t="shared" si="13"/>
        <v>0.41231629550321197</v>
      </c>
      <c r="AJ43" s="37">
        <f t="shared" si="14"/>
        <v>0.4713857995981191</v>
      </c>
      <c r="AK43" s="38">
        <v>36053.648000000001</v>
      </c>
      <c r="AL43" s="37">
        <f t="shared" si="15"/>
        <v>0.93620690255100836</v>
      </c>
      <c r="AM43" s="7">
        <f t="shared" si="2"/>
        <v>838.29310382691392</v>
      </c>
      <c r="AN43" s="38">
        <v>32452.880000000001</v>
      </c>
      <c r="AO43" s="37">
        <f t="shared" si="16"/>
        <v>0.90012749888721388</v>
      </c>
      <c r="AP43" s="50">
        <f t="shared" si="3"/>
        <v>2240.9867169072736</v>
      </c>
      <c r="AQ43" s="98">
        <f t="shared" si="17"/>
        <v>0.34746124197002143</v>
      </c>
      <c r="AR43" s="110">
        <f>INDEX(Daggett!$B$7:$M$21, MATCH(AE43,Daggett!$A$7:$A$21,0), MATCH(AC$36,Daggett!$B$6:$M$6,0))</f>
        <v>523.32258064516134</v>
      </c>
      <c r="AS43" s="4">
        <f t="shared" si="4"/>
        <v>0.66488582648345562</v>
      </c>
      <c r="AT43" s="98">
        <f t="shared" si="18"/>
        <v>0.23102205503820566</v>
      </c>
      <c r="AU43" s="111">
        <f t="shared" si="19"/>
        <v>0.82462718590455153</v>
      </c>
      <c r="AV43" s="98">
        <f t="shared" si="20"/>
        <v>0.28652598617663921</v>
      </c>
      <c r="BE43" s="7">
        <f>ROW(BF43)-ROW(BF35)+1</f>
        <v>9</v>
      </c>
      <c r="BF43" s="38">
        <v>16</v>
      </c>
      <c r="BG43" s="93">
        <f>AF35</f>
        <v>43402.111223044536</v>
      </c>
      <c r="BH43" s="37">
        <f t="shared" si="21"/>
        <v>0.46469069831953463</v>
      </c>
      <c r="BI43" s="38">
        <f t="shared" ref="BI43:BQ43" si="37">AH35</f>
        <v>31349.227999999999</v>
      </c>
      <c r="BJ43" s="37">
        <f t="shared" si="37"/>
        <v>0.33564483940042827</v>
      </c>
      <c r="BK43" s="37">
        <f t="shared" si="37"/>
        <v>0.21489423288711917</v>
      </c>
      <c r="BL43" s="38">
        <f t="shared" si="37"/>
        <v>24839.2618</v>
      </c>
      <c r="BM43" s="37">
        <f t="shared" si="37"/>
        <v>0.7923404621000556</v>
      </c>
      <c r="BN43" s="7">
        <f t="shared" si="37"/>
        <v>577.54438250163469</v>
      </c>
      <c r="BO43" s="38">
        <f t="shared" si="37"/>
        <v>22778.749186000001</v>
      </c>
      <c r="BP43" s="37">
        <f t="shared" si="37"/>
        <v>0.91704614128266893</v>
      </c>
      <c r="BQ43" s="50">
        <f t="shared" si="37"/>
        <v>1572.9535977573753</v>
      </c>
      <c r="BR43" s="98">
        <f t="shared" si="23"/>
        <v>0.24388382426124197</v>
      </c>
      <c r="BS43" s="110">
        <f>INDEX(Daggett!$B$7:$M$21, MATCH(BF43,Daggett!$A$7:$A$21,0), MATCH(BD$36,Daggett!$B$6:$M$6,0))</f>
        <v>523.32258064516134</v>
      </c>
      <c r="BT43" s="4">
        <f t="shared" si="6"/>
        <v>0.52256289532720634</v>
      </c>
      <c r="BU43" s="98">
        <f t="shared" si="24"/>
        <v>0.12744463732942618</v>
      </c>
      <c r="BV43" s="111">
        <f t="shared" si="25"/>
        <v>0.75014638228687958</v>
      </c>
      <c r="BW43" s="98">
        <f t="shared" si="26"/>
        <v>0.18294856846785978</v>
      </c>
    </row>
    <row r="44" spans="2:86">
      <c r="E44" s="94"/>
      <c r="P44" s="95"/>
      <c r="Q44" s="94"/>
      <c r="S44" s="95"/>
      <c r="T44" s="94"/>
      <c r="U44" s="95"/>
      <c r="AF44" s="94"/>
      <c r="AQ44" s="95"/>
      <c r="AR44" s="94"/>
      <c r="AT44" s="95"/>
      <c r="AU44" s="94"/>
      <c r="AV44" s="95"/>
      <c r="BG44" s="94"/>
      <c r="BR44" s="95"/>
      <c r="BS44" s="94"/>
      <c r="BU44" s="95"/>
      <c r="BV44" s="94"/>
      <c r="BW44" s="95"/>
    </row>
    <row r="45" spans="2:86">
      <c r="E45" s="94"/>
      <c r="P45" s="95"/>
      <c r="Q45" s="94"/>
      <c r="S45" s="95"/>
      <c r="T45" s="94"/>
      <c r="U45" s="95"/>
      <c r="AF45" s="94"/>
      <c r="AQ45" s="95"/>
      <c r="AR45" s="94"/>
      <c r="AT45" s="95"/>
      <c r="AU45" s="94"/>
      <c r="AV45" s="95"/>
      <c r="BG45" s="94"/>
      <c r="BR45" s="95"/>
      <c r="BS45" s="94"/>
      <c r="BU45" s="95"/>
      <c r="BV45" s="94"/>
      <c r="BW45" s="95"/>
    </row>
    <row r="46" spans="2:86" ht="49.5">
      <c r="B46" s="34"/>
      <c r="C46" s="64" t="s">
        <v>149</v>
      </c>
      <c r="D46" s="64" t="s">
        <v>87</v>
      </c>
      <c r="E46" s="96" t="s">
        <v>150</v>
      </c>
      <c r="F46" s="64" t="s">
        <v>123</v>
      </c>
      <c r="G46" s="64" t="s">
        <v>151</v>
      </c>
      <c r="H46" s="33" t="s">
        <v>152</v>
      </c>
      <c r="I46" s="34" t="s">
        <v>153</v>
      </c>
      <c r="J46" s="92" t="s">
        <v>154</v>
      </c>
      <c r="K46" s="35" t="s">
        <v>155</v>
      </c>
      <c r="L46" s="35" t="s">
        <v>156</v>
      </c>
      <c r="M46" s="92" t="s">
        <v>157</v>
      </c>
      <c r="N46" s="35" t="s">
        <v>70</v>
      </c>
      <c r="O46" s="35" t="s">
        <v>158</v>
      </c>
      <c r="P46" s="107" t="s">
        <v>127</v>
      </c>
      <c r="Q46" s="150" t="s">
        <v>159</v>
      </c>
      <c r="R46" s="69" t="s">
        <v>128</v>
      </c>
      <c r="S46" s="107" t="s">
        <v>129</v>
      </c>
      <c r="T46" s="114" t="s">
        <v>128</v>
      </c>
      <c r="U46" s="107" t="s">
        <v>129</v>
      </c>
      <c r="AC46" s="34"/>
      <c r="AD46" s="64" t="s">
        <v>149</v>
      </c>
      <c r="AE46" s="64" t="s">
        <v>87</v>
      </c>
      <c r="AF46" s="96" t="s">
        <v>150</v>
      </c>
      <c r="AG46" s="64" t="s">
        <v>123</v>
      </c>
      <c r="AH46" s="64" t="s">
        <v>151</v>
      </c>
      <c r="AI46" s="33" t="s">
        <v>152</v>
      </c>
      <c r="AJ46" s="34" t="s">
        <v>153</v>
      </c>
      <c r="AK46" s="92" t="s">
        <v>154</v>
      </c>
      <c r="AL46" s="35" t="s">
        <v>155</v>
      </c>
      <c r="AM46" s="35" t="s">
        <v>156</v>
      </c>
      <c r="AN46" s="92" t="s">
        <v>157</v>
      </c>
      <c r="AO46" s="35" t="s">
        <v>70</v>
      </c>
      <c r="AP46" s="35" t="s">
        <v>158</v>
      </c>
      <c r="AQ46" s="107" t="s">
        <v>127</v>
      </c>
      <c r="AR46" s="150" t="s">
        <v>159</v>
      </c>
      <c r="AS46" s="69" t="s">
        <v>128</v>
      </c>
      <c r="AT46" s="107" t="s">
        <v>129</v>
      </c>
      <c r="AU46" s="114" t="s">
        <v>128</v>
      </c>
      <c r="AV46" s="107" t="s">
        <v>129</v>
      </c>
      <c r="BD46" s="34"/>
      <c r="BE46" s="64" t="s">
        <v>149</v>
      </c>
      <c r="BF46" s="64" t="s">
        <v>87</v>
      </c>
      <c r="BG46" s="96" t="s">
        <v>150</v>
      </c>
      <c r="BH46" s="64" t="s">
        <v>123</v>
      </c>
      <c r="BI46" s="64" t="s">
        <v>151</v>
      </c>
      <c r="BJ46" s="33" t="s">
        <v>152</v>
      </c>
      <c r="BK46" s="34" t="s">
        <v>153</v>
      </c>
      <c r="BL46" s="92" t="s">
        <v>154</v>
      </c>
      <c r="BM46" s="35" t="s">
        <v>155</v>
      </c>
      <c r="BN46" s="35" t="s">
        <v>156</v>
      </c>
      <c r="BO46" s="92" t="s">
        <v>157</v>
      </c>
      <c r="BP46" s="35" t="s">
        <v>70</v>
      </c>
      <c r="BQ46" s="35" t="s">
        <v>158</v>
      </c>
      <c r="BR46" s="107" t="s">
        <v>127</v>
      </c>
      <c r="BS46" s="150" t="s">
        <v>159</v>
      </c>
      <c r="BT46" s="69" t="s">
        <v>128</v>
      </c>
      <c r="BU46" s="107" t="s">
        <v>129</v>
      </c>
      <c r="BV46" s="114" t="s">
        <v>128</v>
      </c>
      <c r="BW46" s="107" t="s">
        <v>129</v>
      </c>
    </row>
    <row r="47" spans="2:86">
      <c r="B47" s="2" t="s">
        <v>86</v>
      </c>
      <c r="C47" s="7">
        <v>53</v>
      </c>
      <c r="D47" s="38">
        <v>8</v>
      </c>
      <c r="E47" s="93">
        <v>80142.912645621298</v>
      </c>
      <c r="F47" s="37">
        <f t="shared" ref="F47:F55" si="38">E47/$C$10</f>
        <v>0.85806116322935011</v>
      </c>
      <c r="G47" s="38">
        <v>50168.038999999997</v>
      </c>
      <c r="H47" s="37">
        <f>G47/$C$10</f>
        <v>0.53713103854389721</v>
      </c>
      <c r="I47" s="37">
        <f>1-G47/(E47*$C$8)</f>
        <v>0.31958453500389006</v>
      </c>
      <c r="J47" s="38">
        <v>47088.959999999999</v>
      </c>
      <c r="K47" s="37">
        <f>J47/G47</f>
        <v>0.93862468891797823</v>
      </c>
      <c r="L47" s="7">
        <f>J47/(PI()*$C$18^2)</f>
        <v>1094.8781225794792</v>
      </c>
      <c r="M47" s="38">
        <v>42702.380400000002</v>
      </c>
      <c r="N47" s="37">
        <f>M47/J47</f>
        <v>0.90684484006442279</v>
      </c>
      <c r="O47" s="50">
        <f>M47/(PI()*$C$19^2)</f>
        <v>2948.7511511065122</v>
      </c>
      <c r="P47" s="98">
        <f>M47/$C$10</f>
        <v>0.45719893361884373</v>
      </c>
      <c r="Q47" s="110">
        <f>INDEX(Daggett!$B$7:$M$21, MATCH(D47,Daggett!$A$7:$A$21,0), MATCH(B$48,Daggett!$B$6:$M$6,0))</f>
        <v>387.35714285714283</v>
      </c>
      <c r="R47" s="4">
        <f t="shared" ref="R47:R55" si="39">IF(1-$H$7*(($H$5+273)^4-298^4)*(PI()*$C$19^2)*1000/(M47*Q47*1000)&lt;0,#N/A,1-$H$7*(($H$5+273)^4-298^4)*(PI()*$C$19^2)*1000/(M47*Q47*1000))</f>
        <v>0.65592599628628978</v>
      </c>
      <c r="S47" s="98">
        <f>R47*P47</f>
        <v>0.29988866603496933</v>
      </c>
      <c r="T47" s="111">
        <f>IF(1-$H$7*(($H$5+273)^4-298^4)/(O47*1000)&lt;0,#N/A,1-$H$7*(($H$5+273)^4-298^4)/(O47*1000))</f>
        <v>0.86672047699003929</v>
      </c>
      <c r="U47" s="98">
        <f>T47*P47</f>
        <v>0.39626367782546157</v>
      </c>
      <c r="AC47" s="2" t="s">
        <v>86</v>
      </c>
      <c r="AD47" s="7">
        <v>53</v>
      </c>
      <c r="AE47" s="38">
        <v>8</v>
      </c>
      <c r="AF47" s="93">
        <v>47172.812436235159</v>
      </c>
      <c r="AG47" s="37">
        <f>AF47/$C$10</f>
        <v>0.50506223165134001</v>
      </c>
      <c r="AH47" s="38">
        <v>38232.247519999997</v>
      </c>
      <c r="AI47" s="37">
        <f>AH47/$C$10</f>
        <v>0.40933883854389719</v>
      </c>
      <c r="AJ47" s="37">
        <f>1-AH47/(AF47*$C$8)</f>
        <v>0.11905208452893934</v>
      </c>
      <c r="AK47" s="38">
        <v>31256.737000000001</v>
      </c>
      <c r="AL47" s="37">
        <f>AK47/AH47</f>
        <v>0.81754903327744521</v>
      </c>
      <c r="AM47" s="7">
        <f t="shared" ref="AM47:AM55" si="40">AK47/(PI()*$C$18^2)</f>
        <v>726.75883104066304</v>
      </c>
      <c r="AN47" s="38">
        <v>28707.034</v>
      </c>
      <c r="AO47" s="37">
        <f>AN47/AK47</f>
        <v>0.91842708981426946</v>
      </c>
      <c r="AP47" s="50">
        <f t="shared" ref="AP47:AP55" si="41">AN47/(PI()*$C$19^2)</f>
        <v>1982.3227360963178</v>
      </c>
      <c r="AQ47" s="98">
        <f>AN47/$C$10</f>
        <v>0.3073558244111349</v>
      </c>
      <c r="AR47" s="110">
        <f>INDEX(Daggett!$B$7:$M$21, MATCH(AE47,Daggett!$A$7:$A$21,0), MATCH(AC$48,Daggett!$B$6:$M$6,0))</f>
        <v>387.35714285714283</v>
      </c>
      <c r="AS47" s="4">
        <f t="shared" ref="AS47:AS55" si="42">IF(1-$H$7*(($H$5+273)^4-298^4)*(PI()*$C$19^2)*1000/(AN47*AR47*1000)&lt;0,#N/A,1-$H$7*(($H$5+273)^4-298^4)*(PI()*$C$19^2)*1000/(AN47*AR47*1000))</f>
        <v>0.48818192111613246</v>
      </c>
      <c r="AT47" s="98">
        <f>AS47*AQ47</f>
        <v>0.15004555682726051</v>
      </c>
      <c r="AU47" s="111">
        <f>IF(1-$H$7*(($H$5+273)^4-298^4)/(AP47*1000)&lt;0,#N/A,1-$H$7*(($H$5+273)^4-298^4)/(AP47*1000))</f>
        <v>0.80174361130091332</v>
      </c>
      <c r="AV47" s="98">
        <f>AU47*AQ47</f>
        <v>0.24642056861775272</v>
      </c>
      <c r="BD47" s="2" t="s">
        <v>86</v>
      </c>
      <c r="BE47" s="7">
        <v>53</v>
      </c>
      <c r="BF47" s="38">
        <v>8</v>
      </c>
      <c r="BG47" s="93">
        <f>AF55</f>
        <v>82506.365010660578</v>
      </c>
      <c r="BH47" s="37">
        <f>BG47/$C$10</f>
        <v>0.88336579240535951</v>
      </c>
      <c r="BI47" s="38">
        <f t="shared" ref="BI47:BQ47" si="43">AH55</f>
        <v>50328.262999999999</v>
      </c>
      <c r="BJ47" s="37">
        <f t="shared" si="43"/>
        <v>0.53884649892933623</v>
      </c>
      <c r="BK47" s="37">
        <f t="shared" si="43"/>
        <v>0.33696468522660239</v>
      </c>
      <c r="BL47" s="38">
        <f t="shared" si="43"/>
        <v>47337.9018</v>
      </c>
      <c r="BM47" s="37">
        <f t="shared" si="43"/>
        <v>0.94058286494012322</v>
      </c>
      <c r="BN47" s="7">
        <f t="shared" si="43"/>
        <v>1100.6663355834519</v>
      </c>
      <c r="BO47" s="38">
        <f t="shared" si="43"/>
        <v>42919.5458</v>
      </c>
      <c r="BP47" s="37">
        <f t="shared" si="43"/>
        <v>0.90666345925792602</v>
      </c>
      <c r="BQ47" s="50">
        <f t="shared" si="43"/>
        <v>2963.7471938852073</v>
      </c>
      <c r="BR47" s="98">
        <f>BO47/$C$10</f>
        <v>0.45952404496788007</v>
      </c>
      <c r="BS47" s="110">
        <f>INDEX(Daggett!$B$7:$M$21, MATCH(BF47,Daggett!$A$7:$A$21,0), MATCH(BD$48,Daggett!$B$6:$M$6,0))</f>
        <v>387.35714285714283</v>
      </c>
      <c r="BT47" s="4">
        <f t="shared" ref="BT47:BT55" si="44">IF(1-$H$7*(($H$5+273)^4-298^4)*(PI()*$C$19^2)*1000/(BO47*BS47*1000)&lt;0,#N/A,1-$H$7*(($H$5+273)^4-298^4)*(PI()*$C$19^2)*1000/(BO47*BS47*1000))</f>
        <v>0.65766695060566405</v>
      </c>
      <c r="BU47" s="98">
        <f>BT47*BR47</f>
        <v>0.30221377738400573</v>
      </c>
      <c r="BV47" s="111">
        <f>IF(1-$H$7*(($H$5+273)^4-298^4)/(BQ47*1000)&lt;0,#N/A,1-$H$7*(($H$5+273)^4-298^4)/(BQ47*1000))</f>
        <v>0.86739484808103684</v>
      </c>
      <c r="BW47" s="98">
        <f>BV47*BR47</f>
        <v>0.39858878917449786</v>
      </c>
    </row>
    <row r="48" spans="2:86">
      <c r="B48" s="2">
        <v>2</v>
      </c>
      <c r="D48" s="38">
        <v>9</v>
      </c>
      <c r="E48" s="93">
        <v>84902.688749685229</v>
      </c>
      <c r="F48" s="37">
        <f t="shared" si="38"/>
        <v>0.90902236348699383</v>
      </c>
      <c r="G48" s="38">
        <v>62459.33</v>
      </c>
      <c r="H48" s="37">
        <f>G48/$C$10</f>
        <v>0.66872944325481798</v>
      </c>
      <c r="I48" s="37">
        <f>1-G48/(E48*$C$8)</f>
        <v>0.20037189532224065</v>
      </c>
      <c r="J48" s="38">
        <v>59072.77</v>
      </c>
      <c r="K48" s="37">
        <f>J48/G48</f>
        <v>0.94577975780399814</v>
      </c>
      <c r="L48" s="7">
        <f>J48/(PI()*$C$18^2)</f>
        <v>1373.5169244164529</v>
      </c>
      <c r="M48" s="38">
        <v>54043.95</v>
      </c>
      <c r="N48" s="37">
        <f>M48/J48</f>
        <v>0.91487076025045044</v>
      </c>
      <c r="O48" s="50">
        <f>M48/(PI()*$C$19^2)</f>
        <v>3731.9268452969609</v>
      </c>
      <c r="P48" s="98">
        <f>M48/$C$10</f>
        <v>0.57862901498929331</v>
      </c>
      <c r="Q48" s="110">
        <f>INDEX(Daggett!$B$7:$M$21, MATCH(D48,Daggett!$A$7:$A$21,0), MATCH(B$48,Daggett!$B$6:$M$6,0))</f>
        <v>545.35714285714289</v>
      </c>
      <c r="R48" s="4">
        <f t="shared" si="39"/>
        <v>0.80689770935819982</v>
      </c>
      <c r="S48" s="98">
        <f t="shared" ref="S48:S55" si="45">R48*P48</f>
        <v>0.46689442676305226</v>
      </c>
      <c r="T48" s="111">
        <f t="shared" ref="T48:T55" si="46">IF(1-$H$7*(($H$5+273)^4-298^4)/(O48*1000)&lt;0,#N/A,1-$H$7*(($H$5+273)^4-298^4)/(O48*1000))</f>
        <v>0.89469028649641824</v>
      </c>
      <c r="U48" s="98">
        <f t="shared" ref="U48:U55" si="47">T48*P48</f>
        <v>0.5176937591959111</v>
      </c>
      <c r="AC48" s="2">
        <v>2</v>
      </c>
      <c r="AE48" s="38">
        <v>9</v>
      </c>
      <c r="AF48" s="93">
        <v>54375.393362950716</v>
      </c>
      <c r="AG48" s="37">
        <f t="shared" ref="AG48:AG55" si="48">AF48/$C$10</f>
        <v>0.58217765913223463</v>
      </c>
      <c r="AH48" s="38">
        <v>48683.368900000001</v>
      </c>
      <c r="AI48" s="37">
        <f t="shared" ref="AI48:AI55" si="49">AH48/$C$10</f>
        <v>0.52123521306209852</v>
      </c>
      <c r="AJ48" s="37">
        <f t="shared" ref="AJ48:AJ54" si="50">1-AH48/(AF48*$C$8)</f>
        <v>2.6826252586848454E-2</v>
      </c>
      <c r="AK48" s="38">
        <v>41645.476999999999</v>
      </c>
      <c r="AL48" s="37">
        <f t="shared" ref="AL48:AL55" si="51">AK48/AH48</f>
        <v>0.85543539695339366</v>
      </c>
      <c r="AM48" s="7">
        <f t="shared" si="40"/>
        <v>968.3102296522768</v>
      </c>
      <c r="AN48" s="38">
        <v>38390.825299999997</v>
      </c>
      <c r="AO48" s="37">
        <f t="shared" ref="AO48:AO55" si="52">AN48/AK48</f>
        <v>0.92184861515693528</v>
      </c>
      <c r="AP48" s="50">
        <f t="shared" si="41"/>
        <v>2651.0229461424592</v>
      </c>
      <c r="AQ48" s="98">
        <f t="shared" ref="AQ48:AQ55" si="53">AN48/$C$10</f>
        <v>0.41103667344753742</v>
      </c>
      <c r="AR48" s="110">
        <f>INDEX(Daggett!$B$7:$M$21, MATCH(AE48,Daggett!$A$7:$A$21,0), MATCH(AC$48,Daggett!$B$6:$M$6,0))</f>
        <v>545.35714285714289</v>
      </c>
      <c r="AS48" s="4">
        <f t="shared" si="42"/>
        <v>0.72816394389075767</v>
      </c>
      <c r="AT48" s="98">
        <f t="shared" ref="AT48:AT55" si="54">AS48*AQ48</f>
        <v>0.29930208522129631</v>
      </c>
      <c r="AU48" s="111">
        <f t="shared" ref="AU48:AU55" si="55">IF(1-$H$7*(($H$5+273)^4-298^4)/(AP48*1000)&lt;0,#N/A,1-$H$7*(($H$5+273)^4-298^4)/(AP48*1000))</f>
        <v>0.85175226511470969</v>
      </c>
      <c r="AV48" s="98">
        <f t="shared" ref="AV48:AV55" si="56">AU48*AQ48</f>
        <v>0.35010141765415526</v>
      </c>
      <c r="BD48" s="2">
        <v>2</v>
      </c>
      <c r="BF48" s="38">
        <v>9</v>
      </c>
      <c r="BG48" s="93">
        <f>AF54</f>
        <v>81833.426858430583</v>
      </c>
      <c r="BH48" s="37">
        <f t="shared" ref="BH48:BH55" si="57">BG48/$C$10</f>
        <v>0.8761608871352311</v>
      </c>
      <c r="BI48" s="38">
        <f t="shared" ref="BI48:BQ48" si="58">AH54</f>
        <v>61187.125200000002</v>
      </c>
      <c r="BJ48" s="37">
        <f t="shared" si="58"/>
        <v>0.65510840685224847</v>
      </c>
      <c r="BK48" s="37">
        <f t="shared" si="58"/>
        <v>0.18727899666642178</v>
      </c>
      <c r="BL48" s="38">
        <f t="shared" si="58"/>
        <v>57643.121299999999</v>
      </c>
      <c r="BM48" s="37">
        <f t="shared" si="58"/>
        <v>0.94207925460763431</v>
      </c>
      <c r="BN48" s="7">
        <f t="shared" si="58"/>
        <v>1340.2757764997398</v>
      </c>
      <c r="BO48" s="38">
        <f t="shared" si="58"/>
        <v>52587.31925</v>
      </c>
      <c r="BP48" s="37">
        <f t="shared" si="58"/>
        <v>0.91229132052569817</v>
      </c>
      <c r="BQ48" s="50">
        <f t="shared" si="58"/>
        <v>3631.3413144538222</v>
      </c>
      <c r="BR48" s="98">
        <f t="shared" ref="BR48:BR55" si="59">BO48/$C$10</f>
        <v>0.56303339668094221</v>
      </c>
      <c r="BS48" s="110">
        <f>INDEX(Daggett!$B$7:$M$21, MATCH(BF48,Daggett!$A$7:$A$21,0), MATCH(BD$48,Daggett!$B$6:$M$6,0))</f>
        <v>545.35714285714289</v>
      </c>
      <c r="BT48" s="4">
        <f t="shared" si="44"/>
        <v>0.80154891541973938</v>
      </c>
      <c r="BU48" s="98">
        <f t="shared" ref="BU48:BU55" si="60">BT48*BR48</f>
        <v>0.45129880845470111</v>
      </c>
      <c r="BV48" s="111">
        <f t="shared" ref="BV48:BV54" si="61">IF(1-$H$7*(($H$5+273)^4-298^4)/(BQ48*1000)&lt;0,#N/A,1-$H$7*(($H$5+273)^4-298^4)/(BQ48*1000))</f>
        <v>0.89177328351640783</v>
      </c>
      <c r="BW48" s="98">
        <f t="shared" ref="BW48:BW55" si="62">BV48*BR48</f>
        <v>0.50209814088756</v>
      </c>
    </row>
    <row r="49" spans="2:102" ht="17.45" customHeight="1">
      <c r="D49" s="38">
        <v>10</v>
      </c>
      <c r="E49" s="93">
        <v>88381.890349850903</v>
      </c>
      <c r="F49" s="37">
        <f t="shared" si="38"/>
        <v>0.94627291595129448</v>
      </c>
      <c r="G49" s="38">
        <v>68849.903000000006</v>
      </c>
      <c r="H49" s="37">
        <f>G49/$C$10</f>
        <v>0.73715099571734477</v>
      </c>
      <c r="I49" s="37">
        <f>1-G49/(E49*$C$8)</f>
        <v>0.15325582208388722</v>
      </c>
      <c r="J49" s="38">
        <v>65603.5</v>
      </c>
      <c r="K49" s="37">
        <f>J49/G49</f>
        <v>0.95284811076640141</v>
      </c>
      <c r="L49" s="7">
        <f>J49/(PI()*$C$18^2)</f>
        <v>1525.364690888116</v>
      </c>
      <c r="M49" s="38">
        <v>59921.47</v>
      </c>
      <c r="N49" s="37">
        <f>M49/J49</f>
        <v>0.91338831007491983</v>
      </c>
      <c r="O49" s="50">
        <f>M49/(PI()*$C$19^2)</f>
        <v>4137.7904927870095</v>
      </c>
      <c r="P49" s="98">
        <f>M49/$C$10</f>
        <v>0.64155749464668099</v>
      </c>
      <c r="Q49" s="110">
        <f>INDEX(Daggett!$B$7:$M$21, MATCH(D49,Daggett!$A$7:$A$21,0), MATCH(B$48,Daggett!$B$6:$M$6,0))</f>
        <v>628.78571428571433</v>
      </c>
      <c r="R49" s="4">
        <f t="shared" si="39"/>
        <v>0.84894664015836807</v>
      </c>
      <c r="S49" s="98">
        <f t="shared" si="45"/>
        <v>0.54464807954872008</v>
      </c>
      <c r="T49" s="111">
        <f t="shared" si="46"/>
        <v>0.90501980523672243</v>
      </c>
      <c r="U49" s="98">
        <f t="shared" si="47"/>
        <v>0.58062223885329878</v>
      </c>
      <c r="AE49" s="38">
        <v>10</v>
      </c>
      <c r="AF49" s="93">
        <v>61178.757935818976</v>
      </c>
      <c r="AG49" s="37">
        <f t="shared" si="48"/>
        <v>0.65501882158264424</v>
      </c>
      <c r="AH49" s="38">
        <v>54289.08</v>
      </c>
      <c r="AI49" s="37">
        <f t="shared" si="49"/>
        <v>0.58125353319057815</v>
      </c>
      <c r="AJ49" s="37">
        <f t="shared" si="50"/>
        <v>3.545165746707224E-2</v>
      </c>
      <c r="AK49" s="38">
        <v>47926.7834</v>
      </c>
      <c r="AL49" s="37">
        <f t="shared" si="51"/>
        <v>0.88280706543562715</v>
      </c>
      <c r="AM49" s="7">
        <f t="shared" si="40"/>
        <v>1114.3585806580852</v>
      </c>
      <c r="AN49" s="38">
        <v>44032.383999999998</v>
      </c>
      <c r="AO49" s="37">
        <f t="shared" si="52"/>
        <v>0.91874273373413995</v>
      </c>
      <c r="AP49" s="50">
        <f t="shared" si="41"/>
        <v>3040.5926271492808</v>
      </c>
      <c r="AQ49" s="98">
        <f t="shared" si="53"/>
        <v>0.471438800856531</v>
      </c>
      <c r="AR49" s="110">
        <f>INDEX(Daggett!$B$7:$M$21, MATCH(AE49,Daggett!$A$7:$A$21,0), MATCH(AC$48,Daggett!$B$6:$M$6,0))</f>
        <v>628.78571428571433</v>
      </c>
      <c r="AS49" s="4">
        <f t="shared" si="42"/>
        <v>0.7944390344581489</v>
      </c>
      <c r="AT49" s="98">
        <f t="shared" si="54"/>
        <v>0.37452938575857003</v>
      </c>
      <c r="AU49" s="111">
        <f t="shared" si="55"/>
        <v>0.87074620145250603</v>
      </c>
      <c r="AV49" s="98">
        <f t="shared" si="56"/>
        <v>0.41050354506314884</v>
      </c>
      <c r="BF49" s="38">
        <v>10</v>
      </c>
      <c r="BG49" s="93">
        <f>AF53</f>
        <v>79917.996644673214</v>
      </c>
      <c r="BH49" s="37">
        <f t="shared" si="57"/>
        <v>0.85565306900078386</v>
      </c>
      <c r="BI49" s="38">
        <f t="shared" ref="BI49:BQ49" si="63">AH53</f>
        <v>64589.16</v>
      </c>
      <c r="BJ49" s="37">
        <f t="shared" si="63"/>
        <v>0.69153276231263383</v>
      </c>
      <c r="BK49" s="37">
        <f t="shared" si="63"/>
        <v>0.12152942211757001</v>
      </c>
      <c r="BL49" s="38">
        <f t="shared" si="63"/>
        <v>60605.72</v>
      </c>
      <c r="BM49" s="37">
        <f t="shared" si="63"/>
        <v>0.93832649317625427</v>
      </c>
      <c r="BN49" s="7">
        <f t="shared" si="63"/>
        <v>1409.1599587499404</v>
      </c>
      <c r="BO49" s="38">
        <f t="shared" si="63"/>
        <v>55508.72</v>
      </c>
      <c r="BP49" s="37">
        <f t="shared" si="63"/>
        <v>0.9158990273525337</v>
      </c>
      <c r="BQ49" s="50">
        <f t="shared" si="63"/>
        <v>3833.0744202833498</v>
      </c>
      <c r="BR49" s="98">
        <f t="shared" si="59"/>
        <v>0.59431177730192719</v>
      </c>
      <c r="BS49" s="110">
        <f>INDEX(Daggett!$B$7:$M$21, MATCH(BF49,Daggett!$A$7:$A$21,0), MATCH(BD$48,Daggett!$B$6:$M$6,0))</f>
        <v>628.78571428571433</v>
      </c>
      <c r="BT49" s="4">
        <f t="shared" si="44"/>
        <v>0.83693842390619788</v>
      </c>
      <c r="BU49" s="98">
        <f t="shared" si="60"/>
        <v>0.49740236220396622</v>
      </c>
      <c r="BV49" s="111">
        <f t="shared" si="61"/>
        <v>0.8974692104033043</v>
      </c>
      <c r="BW49" s="98">
        <f t="shared" si="62"/>
        <v>0.53337652150854498</v>
      </c>
      <c r="CG49" s="35"/>
    </row>
    <row r="50" spans="2:102">
      <c r="D50" s="38">
        <v>11</v>
      </c>
      <c r="E50" s="93">
        <v>90500.7455434695</v>
      </c>
      <c r="F50" s="37">
        <f t="shared" si="38"/>
        <v>0.96895873172879554</v>
      </c>
      <c r="G50" s="38">
        <v>70834.2</v>
      </c>
      <c r="H50" s="37">
        <f>G50/$C$10</f>
        <v>0.75839614561027835</v>
      </c>
      <c r="I50" s="37">
        <f>1-G50/(E50*$C$8)</f>
        <v>0.14924794055765944</v>
      </c>
      <c r="J50" s="38">
        <v>67641</v>
      </c>
      <c r="K50" s="37">
        <f>J50/G50</f>
        <v>0.95492008097783276</v>
      </c>
      <c r="L50" s="7">
        <f>J50/(PI()*$C$18^2)</f>
        <v>1572.7391534958203</v>
      </c>
      <c r="M50" s="38">
        <v>61764.98</v>
      </c>
      <c r="N50" s="37">
        <f>M50/J50</f>
        <v>0.91312931506039241</v>
      </c>
      <c r="O50" s="50">
        <f>M50/(PI()*$C$19^2)</f>
        <v>4265.0914109947535</v>
      </c>
      <c r="P50" s="98">
        <f>M50/$C$10</f>
        <v>0.66129528907922919</v>
      </c>
      <c r="Q50" s="110">
        <f>INDEX(Daggett!$B$7:$M$21, MATCH(D50,Daggett!$A$7:$A$21,0), MATCH(B$48,Daggett!$B$6:$M$6,0))</f>
        <v>664.60714285714289</v>
      </c>
      <c r="R50" s="4">
        <f t="shared" si="39"/>
        <v>0.8613537252560759</v>
      </c>
      <c r="S50" s="98">
        <f t="shared" si="45"/>
        <v>0.56960916074268764</v>
      </c>
      <c r="T50" s="111">
        <f t="shared" si="46"/>
        <v>0.90785469547465414</v>
      </c>
      <c r="U50" s="98">
        <f t="shared" si="47"/>
        <v>0.60036003328584697</v>
      </c>
      <c r="AE50" s="38">
        <v>11</v>
      </c>
      <c r="AF50" s="93">
        <v>67307.642143613848</v>
      </c>
      <c r="AG50" s="37">
        <f t="shared" si="48"/>
        <v>0.720638566848114</v>
      </c>
      <c r="AH50" s="38">
        <v>58161.008999999998</v>
      </c>
      <c r="AI50" s="37">
        <f t="shared" si="49"/>
        <v>0.62270887580299783</v>
      </c>
      <c r="AJ50" s="37">
        <f t="shared" si="50"/>
        <v>6.0753191909628801E-2</v>
      </c>
      <c r="AK50" s="38">
        <v>52686.656999999999</v>
      </c>
      <c r="AL50" s="37">
        <f t="shared" si="51"/>
        <v>0.90587591078414753</v>
      </c>
      <c r="AM50" s="7">
        <f t="shared" si="40"/>
        <v>1225.0316868571524</v>
      </c>
      <c r="AN50" s="38">
        <v>48498.510999999999</v>
      </c>
      <c r="AO50" s="37">
        <f t="shared" si="52"/>
        <v>0.92050841259486249</v>
      </c>
      <c r="AP50" s="50">
        <f t="shared" si="41"/>
        <v>3348.9945712300814</v>
      </c>
      <c r="AQ50" s="98">
        <f t="shared" si="53"/>
        <v>0.51925600642398284</v>
      </c>
      <c r="AR50" s="110">
        <f>INDEX(Daggett!$B$7:$M$21, MATCH(AE50,Daggett!$A$7:$A$21,0), MATCH(AC$48,Daggett!$B$6:$M$6,0))</f>
        <v>664.60714285714289</v>
      </c>
      <c r="AS50" s="4">
        <f t="shared" si="42"/>
        <v>0.82342789067002531</v>
      </c>
      <c r="AT50" s="98">
        <f t="shared" si="54"/>
        <v>0.42756987808744129</v>
      </c>
      <c r="AU50" s="111">
        <f t="shared" si="55"/>
        <v>0.88264891490994646</v>
      </c>
      <c r="AV50" s="98">
        <f t="shared" si="56"/>
        <v>0.45832075063060063</v>
      </c>
      <c r="BF50" s="38">
        <v>11</v>
      </c>
      <c r="BG50" s="93">
        <f>AF52</f>
        <v>76803.752557367814</v>
      </c>
      <c r="BH50" s="37">
        <f t="shared" si="57"/>
        <v>0.8223099845542593</v>
      </c>
      <c r="BI50" s="38">
        <f t="shared" ref="BI50:BQ50" si="64">AH52</f>
        <v>64192.63</v>
      </c>
      <c r="BJ50" s="37">
        <f t="shared" si="64"/>
        <v>0.68728725910064237</v>
      </c>
      <c r="BK50" s="37">
        <f t="shared" si="64"/>
        <v>9.1520980384786621E-2</v>
      </c>
      <c r="BL50" s="38">
        <f t="shared" si="64"/>
        <v>59994.720000000001</v>
      </c>
      <c r="BM50" s="37">
        <f t="shared" si="64"/>
        <v>0.93460448652750328</v>
      </c>
      <c r="BN50" s="7">
        <f t="shared" si="64"/>
        <v>1394.953432785127</v>
      </c>
      <c r="BO50" s="38">
        <f t="shared" si="64"/>
        <v>55252.517999999996</v>
      </c>
      <c r="BP50" s="37">
        <f t="shared" si="64"/>
        <v>0.92095634415828587</v>
      </c>
      <c r="BQ50" s="50">
        <f t="shared" si="64"/>
        <v>3815.3827615200876</v>
      </c>
      <c r="BR50" s="98">
        <f t="shared" si="59"/>
        <v>0.59156871520342613</v>
      </c>
      <c r="BS50" s="110">
        <f>INDEX(Daggett!$B$7:$M$21, MATCH(BF50,Daggett!$A$7:$A$21,0), MATCH(BD$48,Daggett!$B$6:$M$6,0))</f>
        <v>664.60714285714289</v>
      </c>
      <c r="BT50" s="4">
        <f t="shared" si="44"/>
        <v>0.84501187101313679</v>
      </c>
      <c r="BU50" s="98">
        <f t="shared" si="60"/>
        <v>0.49988258686688458</v>
      </c>
      <c r="BV50" s="111">
        <f t="shared" si="61"/>
        <v>0.89699378241726657</v>
      </c>
      <c r="BW50" s="98">
        <f t="shared" si="62"/>
        <v>0.53063345941004392</v>
      </c>
    </row>
    <row r="51" spans="2:102">
      <c r="D51" s="38">
        <v>12</v>
      </c>
      <c r="E51" s="93">
        <v>91212.218174054535</v>
      </c>
      <c r="F51" s="37">
        <f t="shared" si="38"/>
        <v>0.97657621171364595</v>
      </c>
      <c r="G51" s="38">
        <v>71371.41</v>
      </c>
      <c r="H51" s="37">
        <f>G51/$C$10</f>
        <v>0.76414785867237689</v>
      </c>
      <c r="I51" s="37">
        <f>1-G51/(E51*$C$8)</f>
        <v>0.14948215142426524</v>
      </c>
      <c r="J51" s="38">
        <v>68055.98</v>
      </c>
      <c r="K51" s="37">
        <f>J51/G51</f>
        <v>0.95354680536646241</v>
      </c>
      <c r="L51" s="7">
        <f>J51/(PI()*$C$18^2)</f>
        <v>1582.3879655168978</v>
      </c>
      <c r="M51" s="38">
        <v>62153.52</v>
      </c>
      <c r="N51" s="37">
        <f>M51/J51</f>
        <v>0.91327051641898327</v>
      </c>
      <c r="O51" s="50">
        <f>M51/(PI()*$C$19^2)</f>
        <v>4291.92147904995</v>
      </c>
      <c r="P51" s="98">
        <f>M51/$C$10</f>
        <v>0.6654552462526766</v>
      </c>
      <c r="Q51" s="110">
        <f>INDEX(Daggett!$B$7:$M$21, MATCH(D51,Daggett!$A$7:$A$21,0), MATCH(B$48,Daggett!$B$6:$M$6,0))</f>
        <v>683.75</v>
      </c>
      <c r="R51" s="4">
        <f t="shared" si="39"/>
        <v>0.86607783981381936</v>
      </c>
      <c r="S51" s="98">
        <f t="shared" si="45"/>
        <v>0.5763360421672914</v>
      </c>
      <c r="T51" s="111">
        <f t="shared" si="46"/>
        <v>0.90843072297269889</v>
      </c>
      <c r="U51" s="98">
        <f t="shared" si="47"/>
        <v>0.60451999045929439</v>
      </c>
      <c r="AE51" s="38">
        <v>12</v>
      </c>
      <c r="AF51" s="93">
        <v>72564.806696581611</v>
      </c>
      <c r="AG51" s="37">
        <f t="shared" si="48"/>
        <v>0.77692512523106649</v>
      </c>
      <c r="AH51" s="38">
        <v>62795.27</v>
      </c>
      <c r="AI51" s="37">
        <f t="shared" si="49"/>
        <v>0.67232623126338331</v>
      </c>
      <c r="AJ51" s="37">
        <f t="shared" si="50"/>
        <v>5.9382483491340232E-2</v>
      </c>
      <c r="AK51" s="38">
        <v>57937.281999999999</v>
      </c>
      <c r="AL51" s="37">
        <f t="shared" si="51"/>
        <v>0.92263767637275873</v>
      </c>
      <c r="AM51" s="7">
        <f t="shared" si="40"/>
        <v>1347.1153863563318</v>
      </c>
      <c r="AN51" s="38">
        <v>53152.184999999998</v>
      </c>
      <c r="AO51" s="37">
        <f t="shared" si="52"/>
        <v>0.91740901825529197</v>
      </c>
      <c r="AP51" s="50">
        <f t="shared" si="41"/>
        <v>3670.3473022917542</v>
      </c>
      <c r="AQ51" s="98">
        <f t="shared" si="53"/>
        <v>0.56908120985010702</v>
      </c>
      <c r="AR51" s="110">
        <f>INDEX(Daggett!$B$7:$M$21, MATCH(AE51,Daggett!$A$7:$A$21,0), MATCH(AC$48,Daggett!$B$6:$M$6,0))</f>
        <v>683.75</v>
      </c>
      <c r="AS51" s="4">
        <f t="shared" si="42"/>
        <v>0.84339809056626769</v>
      </c>
      <c r="AT51" s="98">
        <f t="shared" si="54"/>
        <v>0.47996200576472176</v>
      </c>
      <c r="AU51" s="111">
        <f t="shared" si="55"/>
        <v>0.89292344442468552</v>
      </c>
      <c r="AV51" s="98">
        <f t="shared" si="56"/>
        <v>0.5081459540567248</v>
      </c>
      <c r="BF51" s="38">
        <v>12</v>
      </c>
      <c r="BG51" s="93">
        <f>AF51</f>
        <v>72564.806696581611</v>
      </c>
      <c r="BH51" s="37">
        <f t="shared" si="57"/>
        <v>0.77692512523106649</v>
      </c>
      <c r="BI51" s="38">
        <f t="shared" ref="BI51:BQ51" si="65">AH51</f>
        <v>62795.27</v>
      </c>
      <c r="BJ51" s="37">
        <f t="shared" si="65"/>
        <v>0.67232623126338331</v>
      </c>
      <c r="BK51" s="37">
        <f t="shared" si="65"/>
        <v>5.9382483491340232E-2</v>
      </c>
      <c r="BL51" s="38">
        <f t="shared" si="65"/>
        <v>57937.281999999999</v>
      </c>
      <c r="BM51" s="37">
        <f t="shared" si="65"/>
        <v>0.92263767637275873</v>
      </c>
      <c r="BN51" s="7">
        <f t="shared" si="65"/>
        <v>1347.1153863563318</v>
      </c>
      <c r="BO51" s="38">
        <f t="shared" si="65"/>
        <v>53152.184999999998</v>
      </c>
      <c r="BP51" s="37">
        <f t="shared" si="65"/>
        <v>0.91740901825529197</v>
      </c>
      <c r="BQ51" s="50">
        <f t="shared" si="65"/>
        <v>3670.3473022917542</v>
      </c>
      <c r="BR51" s="98">
        <f t="shared" si="59"/>
        <v>0.56908120985010702</v>
      </c>
      <c r="BS51" s="110">
        <f>INDEX(Daggett!$B$7:$M$21, MATCH(BF51,Daggett!$A$7:$A$21,0), MATCH(BD$48,Daggett!$B$6:$M$6,0))</f>
        <v>683.75</v>
      </c>
      <c r="BT51" s="4">
        <f t="shared" si="44"/>
        <v>0.84339809056626769</v>
      </c>
      <c r="BU51" s="98">
        <f t="shared" si="60"/>
        <v>0.47996200576472176</v>
      </c>
      <c r="BV51" s="111">
        <f t="shared" si="61"/>
        <v>0.89292344442468552</v>
      </c>
      <c r="BW51" s="98">
        <f t="shared" si="62"/>
        <v>0.5081459540567248</v>
      </c>
    </row>
    <row r="52" spans="2:102">
      <c r="D52" s="38">
        <v>13</v>
      </c>
      <c r="E52" s="93">
        <f>E50</f>
        <v>90500.7455434695</v>
      </c>
      <c r="F52" s="37">
        <f t="shared" si="38"/>
        <v>0.96895873172879554</v>
      </c>
      <c r="G52" s="38">
        <f t="shared" ref="G52:P52" si="66">G50</f>
        <v>70834.2</v>
      </c>
      <c r="H52" s="37">
        <f t="shared" si="66"/>
        <v>0.75839614561027835</v>
      </c>
      <c r="I52" s="37">
        <f t="shared" si="66"/>
        <v>0.14924794055765944</v>
      </c>
      <c r="J52" s="38">
        <f t="shared" si="66"/>
        <v>67641</v>
      </c>
      <c r="K52" s="37">
        <f t="shared" si="66"/>
        <v>0.95492008097783276</v>
      </c>
      <c r="L52" s="7">
        <f t="shared" si="66"/>
        <v>1572.7391534958203</v>
      </c>
      <c r="M52" s="38">
        <f t="shared" si="66"/>
        <v>61764.98</v>
      </c>
      <c r="N52" s="37">
        <f t="shared" si="66"/>
        <v>0.91312931506039241</v>
      </c>
      <c r="O52" s="50">
        <f t="shared" si="66"/>
        <v>4265.0914109947535</v>
      </c>
      <c r="P52" s="98">
        <f t="shared" si="66"/>
        <v>0.66129528907922919</v>
      </c>
      <c r="Q52" s="110">
        <f>INDEX(Daggett!$B$7:$M$21, MATCH(D52,Daggett!$A$7:$A$21,0), MATCH(B$48,Daggett!$B$6:$M$6,0))</f>
        <v>667.85714285714289</v>
      </c>
      <c r="R52" s="4">
        <f t="shared" si="39"/>
        <v>0.86202842103156774</v>
      </c>
      <c r="S52" s="98">
        <f t="shared" si="45"/>
        <v>0.57005533388058205</v>
      </c>
      <c r="T52" s="111">
        <f t="shared" si="46"/>
        <v>0.90785469547465414</v>
      </c>
      <c r="U52" s="98">
        <f t="shared" si="47"/>
        <v>0.60036003328584697</v>
      </c>
      <c r="AE52" s="38">
        <v>13</v>
      </c>
      <c r="AF52" s="93">
        <v>76803.752557367814</v>
      </c>
      <c r="AG52" s="37">
        <f t="shared" si="48"/>
        <v>0.8223099845542593</v>
      </c>
      <c r="AH52" s="38">
        <v>64192.63</v>
      </c>
      <c r="AI52" s="37">
        <f t="shared" si="49"/>
        <v>0.68728725910064237</v>
      </c>
      <c r="AJ52" s="37">
        <f t="shared" si="50"/>
        <v>9.1520980384786621E-2</v>
      </c>
      <c r="AK52" s="38">
        <v>59994.720000000001</v>
      </c>
      <c r="AL52" s="37">
        <f t="shared" si="51"/>
        <v>0.93460448652750328</v>
      </c>
      <c r="AM52" s="7">
        <f t="shared" si="40"/>
        <v>1394.953432785127</v>
      </c>
      <c r="AN52" s="38">
        <v>55252.517999999996</v>
      </c>
      <c r="AO52" s="37">
        <f t="shared" si="52"/>
        <v>0.92095634415828587</v>
      </c>
      <c r="AP52" s="50">
        <f t="shared" si="41"/>
        <v>3815.3827615200876</v>
      </c>
      <c r="AQ52" s="98">
        <f t="shared" si="53"/>
        <v>0.59156871520342613</v>
      </c>
      <c r="AR52" s="110">
        <f>INDEX(Daggett!$B$7:$M$21, MATCH(AE52,Daggett!$A$7:$A$21,0), MATCH(AC$48,Daggett!$B$6:$M$6,0))</f>
        <v>667.85714285714289</v>
      </c>
      <c r="AS52" s="4">
        <f t="shared" si="42"/>
        <v>0.84576609131997127</v>
      </c>
      <c r="AT52" s="98">
        <f t="shared" si="54"/>
        <v>0.50032876000477899</v>
      </c>
      <c r="AU52" s="111">
        <f t="shared" si="55"/>
        <v>0.89699378241726657</v>
      </c>
      <c r="AV52" s="98">
        <f t="shared" si="56"/>
        <v>0.53063345941004392</v>
      </c>
      <c r="BF52" s="38">
        <v>13</v>
      </c>
      <c r="BG52" s="93">
        <f>AF50</f>
        <v>67307.642143613848</v>
      </c>
      <c r="BH52" s="37">
        <f t="shared" si="57"/>
        <v>0.720638566848114</v>
      </c>
      <c r="BI52" s="38">
        <f t="shared" ref="BI52:BQ52" si="67">AH50</f>
        <v>58161.008999999998</v>
      </c>
      <c r="BJ52" s="37">
        <f t="shared" si="67"/>
        <v>0.62270887580299783</v>
      </c>
      <c r="BK52" s="37">
        <f t="shared" si="67"/>
        <v>6.0753191909628801E-2</v>
      </c>
      <c r="BL52" s="38">
        <f t="shared" si="67"/>
        <v>52686.656999999999</v>
      </c>
      <c r="BM52" s="37">
        <f t="shared" si="67"/>
        <v>0.90587591078414753</v>
      </c>
      <c r="BN52" s="7">
        <f t="shared" si="67"/>
        <v>1225.0316868571524</v>
      </c>
      <c r="BO52" s="38">
        <f t="shared" si="67"/>
        <v>48498.510999999999</v>
      </c>
      <c r="BP52" s="37">
        <f t="shared" si="67"/>
        <v>0.92050841259486249</v>
      </c>
      <c r="BQ52" s="50">
        <f t="shared" si="67"/>
        <v>3348.9945712300814</v>
      </c>
      <c r="BR52" s="98">
        <f t="shared" si="59"/>
        <v>0.51925600642398284</v>
      </c>
      <c r="BS52" s="110">
        <f>INDEX(Daggett!$B$7:$M$21, MATCH(BF52,Daggett!$A$7:$A$21,0), MATCH(BD$48,Daggett!$B$6:$M$6,0))</f>
        <v>667.85714285714289</v>
      </c>
      <c r="BT52" s="4">
        <f t="shared" si="44"/>
        <v>0.82428714531970593</v>
      </c>
      <c r="BU52" s="98">
        <f t="shared" si="60"/>
        <v>0.4280160512253357</v>
      </c>
      <c r="BV52" s="111">
        <f t="shared" si="61"/>
        <v>0.88264891490994646</v>
      </c>
      <c r="BW52" s="98">
        <f t="shared" si="62"/>
        <v>0.45832075063060063</v>
      </c>
    </row>
    <row r="53" spans="2:102">
      <c r="D53" s="38">
        <v>14</v>
      </c>
      <c r="E53" s="93">
        <f>E49</f>
        <v>88381.890349850903</v>
      </c>
      <c r="F53" s="37">
        <f t="shared" si="38"/>
        <v>0.94627291595129448</v>
      </c>
      <c r="G53" s="38">
        <f t="shared" ref="G53:P53" si="68">G49</f>
        <v>68849.903000000006</v>
      </c>
      <c r="H53" s="37">
        <f t="shared" si="68"/>
        <v>0.73715099571734477</v>
      </c>
      <c r="I53" s="37">
        <f t="shared" si="68"/>
        <v>0.15325582208388722</v>
      </c>
      <c r="J53" s="38">
        <f t="shared" si="68"/>
        <v>65603.5</v>
      </c>
      <c r="K53" s="37">
        <f t="shared" si="68"/>
        <v>0.95284811076640141</v>
      </c>
      <c r="L53" s="7">
        <f t="shared" si="68"/>
        <v>1525.364690888116</v>
      </c>
      <c r="M53" s="38">
        <f t="shared" si="68"/>
        <v>59921.47</v>
      </c>
      <c r="N53" s="37">
        <f t="shared" si="68"/>
        <v>0.91338831007491983</v>
      </c>
      <c r="O53" s="50">
        <f t="shared" si="68"/>
        <v>4137.7904927870095</v>
      </c>
      <c r="P53" s="98">
        <f t="shared" si="68"/>
        <v>0.64155749464668099</v>
      </c>
      <c r="Q53" s="110">
        <f>INDEX(Daggett!$B$7:$M$21, MATCH(D53,Daggett!$A$7:$A$21,0), MATCH(B$48,Daggett!$B$6:$M$6,0))</f>
        <v>677.10714285714289</v>
      </c>
      <c r="R53" s="4">
        <f t="shared" si="39"/>
        <v>0.85972649119828193</v>
      </c>
      <c r="S53" s="98">
        <f t="shared" si="45"/>
        <v>0.55156397377455157</v>
      </c>
      <c r="T53" s="111">
        <f t="shared" si="46"/>
        <v>0.90501980523672243</v>
      </c>
      <c r="U53" s="98">
        <f t="shared" si="47"/>
        <v>0.58062223885329878</v>
      </c>
      <c r="AE53" s="38">
        <v>14</v>
      </c>
      <c r="AF53" s="93">
        <v>79917.996644673214</v>
      </c>
      <c r="AG53" s="37">
        <f t="shared" si="48"/>
        <v>0.85565306900078386</v>
      </c>
      <c r="AH53" s="38">
        <v>64589.16</v>
      </c>
      <c r="AI53" s="37">
        <f t="shared" si="49"/>
        <v>0.69153276231263383</v>
      </c>
      <c r="AJ53" s="37">
        <f t="shared" si="50"/>
        <v>0.12152942211757001</v>
      </c>
      <c r="AK53" s="38">
        <v>60605.72</v>
      </c>
      <c r="AL53" s="37">
        <f t="shared" si="51"/>
        <v>0.93832649317625427</v>
      </c>
      <c r="AM53" s="7">
        <f t="shared" si="40"/>
        <v>1409.1599587499404</v>
      </c>
      <c r="AN53" s="38">
        <v>55508.72</v>
      </c>
      <c r="AO53" s="37">
        <f t="shared" si="52"/>
        <v>0.9158990273525337</v>
      </c>
      <c r="AP53" s="50">
        <f t="shared" si="41"/>
        <v>3833.0744202833498</v>
      </c>
      <c r="AQ53" s="98">
        <f t="shared" si="53"/>
        <v>0.59431177730192719</v>
      </c>
      <c r="AR53" s="110">
        <f>INDEX(Daggett!$B$7:$M$21, MATCH(AE53,Daggett!$A$7:$A$21,0), MATCH(AC$48,Daggett!$B$6:$M$6,0))</f>
        <v>677.10714285714289</v>
      </c>
      <c r="AS53" s="4">
        <f t="shared" si="42"/>
        <v>0.84857523557637637</v>
      </c>
      <c r="AT53" s="98">
        <f t="shared" si="54"/>
        <v>0.50431825642979777</v>
      </c>
      <c r="AU53" s="111">
        <f t="shared" si="55"/>
        <v>0.8974692104033043</v>
      </c>
      <c r="AV53" s="98">
        <f t="shared" si="56"/>
        <v>0.53337652150854498</v>
      </c>
      <c r="BF53" s="38">
        <v>14</v>
      </c>
      <c r="BG53" s="93">
        <f>AF49</f>
        <v>61178.757935818976</v>
      </c>
      <c r="BH53" s="37">
        <f t="shared" si="57"/>
        <v>0.65501882158264424</v>
      </c>
      <c r="BI53" s="38">
        <f t="shared" ref="BI53:BQ53" si="69">AH49</f>
        <v>54289.08</v>
      </c>
      <c r="BJ53" s="37">
        <f t="shared" si="69"/>
        <v>0.58125353319057815</v>
      </c>
      <c r="BK53" s="37">
        <f t="shared" si="69"/>
        <v>3.545165746707224E-2</v>
      </c>
      <c r="BL53" s="38">
        <f t="shared" si="69"/>
        <v>47926.7834</v>
      </c>
      <c r="BM53" s="37">
        <f t="shared" si="69"/>
        <v>0.88280706543562715</v>
      </c>
      <c r="BN53" s="7">
        <f t="shared" si="69"/>
        <v>1114.3585806580852</v>
      </c>
      <c r="BO53" s="38">
        <f t="shared" si="69"/>
        <v>44032.383999999998</v>
      </c>
      <c r="BP53" s="37">
        <f t="shared" si="69"/>
        <v>0.91874273373413995</v>
      </c>
      <c r="BQ53" s="50">
        <f t="shared" si="69"/>
        <v>3040.5926271492808</v>
      </c>
      <c r="BR53" s="98">
        <f t="shared" si="59"/>
        <v>0.471438800856531</v>
      </c>
      <c r="BS53" s="110">
        <f>INDEX(Daggett!$B$7:$M$21, MATCH(BF53,Daggett!$A$7:$A$21,0), MATCH(BD$48,Daggett!$B$6:$M$6,0))</f>
        <v>677.10714285714289</v>
      </c>
      <c r="BT53" s="4">
        <f t="shared" si="44"/>
        <v>0.8091087948030049</v>
      </c>
      <c r="BU53" s="98">
        <f t="shared" si="60"/>
        <v>0.38144527998440164</v>
      </c>
      <c r="BV53" s="111">
        <f t="shared" si="61"/>
        <v>0.87074620145250603</v>
      </c>
      <c r="BW53" s="98">
        <f t="shared" si="62"/>
        <v>0.41050354506314884</v>
      </c>
    </row>
    <row r="54" spans="2:102">
      <c r="C54" s="7" t="s">
        <v>160</v>
      </c>
      <c r="D54" s="38">
        <v>15</v>
      </c>
      <c r="E54" s="93">
        <f>E48</f>
        <v>84902.688749685229</v>
      </c>
      <c r="F54" s="37">
        <f t="shared" si="38"/>
        <v>0.90902236348699383</v>
      </c>
      <c r="G54" s="38">
        <f t="shared" ref="G54:P54" si="70">G48</f>
        <v>62459.33</v>
      </c>
      <c r="H54" s="37">
        <f t="shared" si="70"/>
        <v>0.66872944325481798</v>
      </c>
      <c r="I54" s="37">
        <f t="shared" si="70"/>
        <v>0.20037189532224065</v>
      </c>
      <c r="J54" s="38">
        <f t="shared" si="70"/>
        <v>59072.77</v>
      </c>
      <c r="K54" s="37">
        <f t="shared" si="70"/>
        <v>0.94577975780399814</v>
      </c>
      <c r="L54" s="7">
        <f t="shared" si="70"/>
        <v>1373.5169244164529</v>
      </c>
      <c r="M54" s="38">
        <f t="shared" si="70"/>
        <v>54043.95</v>
      </c>
      <c r="N54" s="37">
        <f t="shared" si="70"/>
        <v>0.91487076025045044</v>
      </c>
      <c r="O54" s="50">
        <f t="shared" si="70"/>
        <v>3731.9268452969609</v>
      </c>
      <c r="P54" s="98">
        <f t="shared" si="70"/>
        <v>0.57862901498929331</v>
      </c>
      <c r="Q54" s="110">
        <f>INDEX(Daggett!$B$7:$M$21, MATCH(D54,Daggett!$A$7:$A$21,0), MATCH(B$48,Daggett!$B$6:$M$6,0))</f>
        <v>645.64285714285711</v>
      </c>
      <c r="R54" s="4">
        <f t="shared" si="39"/>
        <v>0.83689169277020192</v>
      </c>
      <c r="S54" s="98">
        <f t="shared" si="45"/>
        <v>0.48424981584034421</v>
      </c>
      <c r="T54" s="111">
        <f t="shared" si="46"/>
        <v>0.89469028649641824</v>
      </c>
      <c r="U54" s="98">
        <f t="shared" si="47"/>
        <v>0.5176937591959111</v>
      </c>
      <c r="AD54" s="7" t="s">
        <v>160</v>
      </c>
      <c r="AE54" s="38">
        <v>15</v>
      </c>
      <c r="AF54" s="93">
        <v>81833.426858430583</v>
      </c>
      <c r="AG54" s="37">
        <f t="shared" si="48"/>
        <v>0.8761608871352311</v>
      </c>
      <c r="AH54" s="38">
        <v>61187.125200000002</v>
      </c>
      <c r="AI54" s="37">
        <f t="shared" si="49"/>
        <v>0.65510840685224847</v>
      </c>
      <c r="AJ54" s="37">
        <f t="shared" si="50"/>
        <v>0.18727899666642178</v>
      </c>
      <c r="AK54" s="38">
        <v>57643.121299999999</v>
      </c>
      <c r="AL54" s="37">
        <f t="shared" si="51"/>
        <v>0.94207925460763431</v>
      </c>
      <c r="AM54" s="7">
        <f t="shared" si="40"/>
        <v>1340.2757764997398</v>
      </c>
      <c r="AN54" s="38">
        <v>52587.31925</v>
      </c>
      <c r="AO54" s="37">
        <f t="shared" si="52"/>
        <v>0.91229132052569817</v>
      </c>
      <c r="AP54" s="50">
        <f t="shared" si="41"/>
        <v>3631.3413144538222</v>
      </c>
      <c r="AQ54" s="98">
        <f t="shared" si="53"/>
        <v>0.56303339668094221</v>
      </c>
      <c r="AR54" s="110">
        <f>INDEX(Daggett!$B$7:$M$21, MATCH(AE54,Daggett!$A$7:$A$21,0), MATCH(AC$48,Daggett!$B$6:$M$6,0))</f>
        <v>645.64285714285711</v>
      </c>
      <c r="AS54" s="4">
        <f t="shared" si="42"/>
        <v>0.83237371050223585</v>
      </c>
      <c r="AT54" s="98">
        <f t="shared" si="54"/>
        <v>0.46865419753199311</v>
      </c>
      <c r="AU54" s="111">
        <f t="shared" si="55"/>
        <v>0.89177328351640783</v>
      </c>
      <c r="AV54" s="98">
        <f t="shared" si="56"/>
        <v>0.50209814088756</v>
      </c>
      <c r="BE54" s="7" t="s">
        <v>160</v>
      </c>
      <c r="BF54" s="38">
        <v>15</v>
      </c>
      <c r="BG54" s="93">
        <f>AF48</f>
        <v>54375.393362950716</v>
      </c>
      <c r="BH54" s="37">
        <f t="shared" si="57"/>
        <v>0.58217765913223463</v>
      </c>
      <c r="BI54" s="38">
        <f t="shared" ref="BI54:BQ54" si="71">AH48</f>
        <v>48683.368900000001</v>
      </c>
      <c r="BJ54" s="37">
        <f t="shared" si="71"/>
        <v>0.52123521306209852</v>
      </c>
      <c r="BK54" s="37">
        <f t="shared" si="71"/>
        <v>2.6826252586848454E-2</v>
      </c>
      <c r="BL54" s="38">
        <f t="shared" si="71"/>
        <v>41645.476999999999</v>
      </c>
      <c r="BM54" s="37">
        <f t="shared" si="71"/>
        <v>0.85543539695339366</v>
      </c>
      <c r="BN54" s="7">
        <f t="shared" si="71"/>
        <v>968.3102296522768</v>
      </c>
      <c r="BO54" s="38">
        <f t="shared" si="71"/>
        <v>38390.825299999997</v>
      </c>
      <c r="BP54" s="37">
        <f t="shared" si="71"/>
        <v>0.92184861515693528</v>
      </c>
      <c r="BQ54" s="50">
        <f t="shared" si="71"/>
        <v>2651.0229461424592</v>
      </c>
      <c r="BR54" s="98">
        <f t="shared" si="59"/>
        <v>0.41103667344753742</v>
      </c>
      <c r="BS54" s="110">
        <f>INDEX(Daggett!$B$7:$M$21, MATCH(BF54,Daggett!$A$7:$A$21,0), MATCH(BD$48,Daggett!$B$6:$M$6,0))</f>
        <v>645.64285714285711</v>
      </c>
      <c r="BT54" s="4">
        <f t="shared" si="44"/>
        <v>0.77038740033255171</v>
      </c>
      <c r="BU54" s="98">
        <f t="shared" si="60"/>
        <v>0.31665747429858832</v>
      </c>
      <c r="BV54" s="111">
        <f t="shared" si="61"/>
        <v>0.85175226511470969</v>
      </c>
      <c r="BW54" s="98">
        <f t="shared" si="62"/>
        <v>0.35010141765415526</v>
      </c>
    </row>
    <row r="55" spans="2:102">
      <c r="C55" s="7">
        <f>ROW(D55)-ROW(D47)+1</f>
        <v>9</v>
      </c>
      <c r="D55" s="38">
        <v>16</v>
      </c>
      <c r="E55" s="93">
        <f>E47</f>
        <v>80142.912645621298</v>
      </c>
      <c r="F55" s="37">
        <f t="shared" si="38"/>
        <v>0.85806116322935011</v>
      </c>
      <c r="G55" s="38">
        <f t="shared" ref="G55:P55" si="72">G47</f>
        <v>50168.038999999997</v>
      </c>
      <c r="H55" s="37">
        <f t="shared" si="72"/>
        <v>0.53713103854389721</v>
      </c>
      <c r="I55" s="37">
        <f t="shared" si="72"/>
        <v>0.31958453500389006</v>
      </c>
      <c r="J55" s="38">
        <f t="shared" si="72"/>
        <v>47088.959999999999</v>
      </c>
      <c r="K55" s="37">
        <f t="shared" si="72"/>
        <v>0.93862468891797823</v>
      </c>
      <c r="L55" s="7">
        <f t="shared" si="72"/>
        <v>1094.8781225794792</v>
      </c>
      <c r="M55" s="38">
        <f t="shared" si="72"/>
        <v>42702.380400000002</v>
      </c>
      <c r="N55" s="37">
        <f t="shared" si="72"/>
        <v>0.90684484006442279</v>
      </c>
      <c r="O55" s="50">
        <f t="shared" si="72"/>
        <v>2948.7511511065122</v>
      </c>
      <c r="P55" s="98">
        <f t="shared" si="72"/>
        <v>0.45719893361884373</v>
      </c>
      <c r="Q55" s="110">
        <f>INDEX(Daggett!$B$7:$M$21, MATCH(D55,Daggett!$A$7:$A$21,0), MATCH(B$48,Daggett!$B$6:$M$6,0))</f>
        <v>581.07142857142856</v>
      </c>
      <c r="R55" s="4">
        <f t="shared" si="39"/>
        <v>0.77063142936208351</v>
      </c>
      <c r="S55" s="98">
        <f t="shared" si="45"/>
        <v>0.35233186771750985</v>
      </c>
      <c r="T55" s="111">
        <f t="shared" si="46"/>
        <v>0.86672047699003929</v>
      </c>
      <c r="U55" s="98">
        <f t="shared" si="47"/>
        <v>0.39626367782546157</v>
      </c>
      <c r="AD55" s="7">
        <f>ROW(AE55)-ROW(AE47)+1</f>
        <v>9</v>
      </c>
      <c r="AE55" s="38">
        <v>16</v>
      </c>
      <c r="AF55" s="93">
        <v>82506.365010660578</v>
      </c>
      <c r="AG55" s="37">
        <f t="shared" si="48"/>
        <v>0.88336579240535951</v>
      </c>
      <c r="AH55" s="38">
        <v>50328.262999999999</v>
      </c>
      <c r="AI55" s="37">
        <f t="shared" si="49"/>
        <v>0.53884649892933623</v>
      </c>
      <c r="AJ55" s="37">
        <f>1-AH55/(AF55*$C$8)</f>
        <v>0.33696468522660239</v>
      </c>
      <c r="AK55" s="38">
        <v>47337.9018</v>
      </c>
      <c r="AL55" s="37">
        <f t="shared" si="51"/>
        <v>0.94058286494012322</v>
      </c>
      <c r="AM55" s="7">
        <f t="shared" si="40"/>
        <v>1100.6663355834519</v>
      </c>
      <c r="AN55" s="38">
        <v>42919.5458</v>
      </c>
      <c r="AO55" s="37">
        <f t="shared" si="52"/>
        <v>0.90666345925792602</v>
      </c>
      <c r="AP55" s="50">
        <f t="shared" si="41"/>
        <v>2963.7471938852073</v>
      </c>
      <c r="AQ55" s="98">
        <f t="shared" si="53"/>
        <v>0.45952404496788007</v>
      </c>
      <c r="AR55" s="110">
        <f>INDEX(Daggett!$B$7:$M$21, MATCH(AE55,Daggett!$A$7:$A$21,0), MATCH(AC$48,Daggett!$B$6:$M$6,0))</f>
        <v>581.07142857142856</v>
      </c>
      <c r="AS55" s="4">
        <f t="shared" si="42"/>
        <v>0.77179199423903089</v>
      </c>
      <c r="AT55" s="98">
        <f t="shared" si="54"/>
        <v>0.35465697906654625</v>
      </c>
      <c r="AU55" s="111">
        <f t="shared" si="55"/>
        <v>0.86739484808103684</v>
      </c>
      <c r="AV55" s="98">
        <f t="shared" si="56"/>
        <v>0.39858878917449786</v>
      </c>
      <c r="BE55" s="7">
        <f>ROW(BF55)-ROW(BF47)+1</f>
        <v>9</v>
      </c>
      <c r="BF55" s="38">
        <v>16</v>
      </c>
      <c r="BG55" s="93">
        <f>AF47</f>
        <v>47172.812436235159</v>
      </c>
      <c r="BH55" s="37">
        <f t="shared" si="57"/>
        <v>0.50506223165134001</v>
      </c>
      <c r="BI55" s="38">
        <f t="shared" ref="BI55:BQ55" si="73">AH47</f>
        <v>38232.247519999997</v>
      </c>
      <c r="BJ55" s="37">
        <f t="shared" si="73"/>
        <v>0.40933883854389719</v>
      </c>
      <c r="BK55" s="37">
        <f t="shared" si="73"/>
        <v>0.11905208452893934</v>
      </c>
      <c r="BL55" s="38">
        <f t="shared" si="73"/>
        <v>31256.737000000001</v>
      </c>
      <c r="BM55" s="37">
        <f t="shared" si="73"/>
        <v>0.81754903327744521</v>
      </c>
      <c r="BN55" s="7">
        <f t="shared" si="73"/>
        <v>726.75883104066304</v>
      </c>
      <c r="BO55" s="38">
        <f t="shared" si="73"/>
        <v>28707.034</v>
      </c>
      <c r="BP55" s="37">
        <f t="shared" si="73"/>
        <v>0.91842708981426946</v>
      </c>
      <c r="BQ55" s="50">
        <f t="shared" si="73"/>
        <v>1982.3227360963178</v>
      </c>
      <c r="BR55" s="98">
        <f t="shared" si="59"/>
        <v>0.3073558244111349</v>
      </c>
      <c r="BS55" s="110">
        <f>INDEX(Daggett!$B$7:$M$21, MATCH(BF55,Daggett!$A$7:$A$21,0), MATCH(BD$48,Daggett!$B$6:$M$6,0))</f>
        <v>581.07142857142856</v>
      </c>
      <c r="BT55" s="4">
        <f t="shared" si="44"/>
        <v>0.65880891926401808</v>
      </c>
      <c r="BU55" s="98">
        <f t="shared" si="60"/>
        <v>0.20248875850980108</v>
      </c>
      <c r="BV55" s="111">
        <f>IF(1-$H$7*(($H$5+273)^4-298^4)/(BQ55*1000)&lt;0,#N/A,1-$H$7*(($H$5+273)^4-298^4)/(BQ55*1000))</f>
        <v>0.80174361130091332</v>
      </c>
      <c r="BW55" s="98">
        <f t="shared" si="62"/>
        <v>0.24642056861775272</v>
      </c>
    </row>
    <row r="56" spans="2:102">
      <c r="E56" s="94"/>
      <c r="P56" s="95"/>
      <c r="Q56" s="94"/>
      <c r="S56" s="95"/>
      <c r="T56" s="94"/>
      <c r="U56" s="95"/>
      <c r="AF56" s="94"/>
      <c r="AQ56" s="95"/>
      <c r="AR56" s="94"/>
      <c r="AT56" s="95"/>
      <c r="AU56" s="94"/>
      <c r="AV56" s="95"/>
      <c r="BG56" s="94"/>
      <c r="BR56" s="95"/>
      <c r="BS56" s="94"/>
      <c r="BU56" s="95"/>
      <c r="BV56" s="94"/>
      <c r="BW56" s="95"/>
      <c r="CQ56" s="2" t="s">
        <v>161</v>
      </c>
      <c r="CR56" s="2" t="s">
        <v>162</v>
      </c>
      <c r="CS56" s="2" t="s">
        <v>163</v>
      </c>
      <c r="CT56" s="2"/>
      <c r="CU56" s="2"/>
      <c r="CV56" s="4"/>
    </row>
    <row r="57" spans="2:102">
      <c r="E57" s="94"/>
      <c r="P57" s="95"/>
      <c r="Q57" s="94"/>
      <c r="S57" s="95"/>
      <c r="T57" s="94"/>
      <c r="U57" s="95"/>
      <c r="AF57" s="94"/>
      <c r="AQ57" s="95"/>
      <c r="AR57" s="94"/>
      <c r="AT57" s="95"/>
      <c r="AU57" s="94"/>
      <c r="AV57" s="95"/>
      <c r="BG57" s="94"/>
      <c r="BR57" s="95"/>
      <c r="BS57" s="94"/>
      <c r="BU57" s="95"/>
      <c r="BV57" s="94"/>
      <c r="BW57" s="95"/>
      <c r="CQ57" s="2">
        <v>1300</v>
      </c>
      <c r="CR57" s="7">
        <v>1413.0357403609901</v>
      </c>
      <c r="CS57" s="4">
        <v>0.50698427978989635</v>
      </c>
      <c r="CT57" s="4"/>
      <c r="CU57" s="4"/>
      <c r="CV57" s="4"/>
    </row>
    <row r="58" spans="2:102">
      <c r="E58" s="94"/>
      <c r="P58" s="95"/>
      <c r="Q58" s="94"/>
      <c r="S58" s="95"/>
      <c r="T58" s="94"/>
      <c r="U58" s="95"/>
      <c r="AF58" s="94"/>
      <c r="AQ58" s="95"/>
      <c r="AR58" s="94"/>
      <c r="AT58" s="95"/>
      <c r="AU58" s="94"/>
      <c r="AV58" s="95"/>
      <c r="BG58" s="94"/>
      <c r="BR58" s="95"/>
      <c r="BS58" s="94"/>
      <c r="BU58" s="95"/>
      <c r="BV58" s="94"/>
      <c r="BW58" s="95"/>
      <c r="CQ58" s="2">
        <v>1400</v>
      </c>
      <c r="CR58" s="7">
        <v>1390.6556530000084</v>
      </c>
      <c r="CS58" s="4">
        <v>0.49895450945341252</v>
      </c>
      <c r="CT58" s="4"/>
      <c r="CU58" s="4"/>
      <c r="CV58" s="4"/>
    </row>
    <row r="59" spans="2:102" ht="19.899999999999999" customHeight="1">
      <c r="E59" s="94"/>
      <c r="P59" s="95"/>
      <c r="Q59" s="94"/>
      <c r="R59">
        <f>1-$H$7*(($H$5+273)^4-298^4)*(PI()*$C$19^2)*1000/(M61*Q61*1000)</f>
        <v>0.27339212675040991</v>
      </c>
      <c r="S59" s="95"/>
      <c r="T59" s="94"/>
      <c r="U59" s="95"/>
      <c r="AF59" s="94"/>
      <c r="AQ59" s="95"/>
      <c r="AR59" s="94"/>
      <c r="AT59" s="95"/>
      <c r="AU59" s="94"/>
      <c r="AV59" s="95"/>
      <c r="BG59" s="94"/>
      <c r="BR59" s="95"/>
      <c r="BS59" s="94"/>
      <c r="BU59" s="95"/>
      <c r="BV59" s="94"/>
      <c r="BW59" s="95"/>
      <c r="CQ59" s="2">
        <v>1500</v>
      </c>
      <c r="CR59" s="7">
        <v>1363.8815064736812</v>
      </c>
      <c r="CS59" s="4">
        <v>0.48934819093936599</v>
      </c>
      <c r="CT59" s="4"/>
      <c r="CU59" t="s">
        <v>164</v>
      </c>
    </row>
    <row r="60" spans="2:102" ht="49.5">
      <c r="B60" s="34"/>
      <c r="C60" s="64" t="s">
        <v>149</v>
      </c>
      <c r="D60" s="64" t="s">
        <v>87</v>
      </c>
      <c r="E60" s="96" t="s">
        <v>150</v>
      </c>
      <c r="F60" s="64" t="s">
        <v>123</v>
      </c>
      <c r="G60" s="64" t="s">
        <v>151</v>
      </c>
      <c r="H60" s="33" t="s">
        <v>152</v>
      </c>
      <c r="I60" s="34" t="s">
        <v>153</v>
      </c>
      <c r="J60" s="92" t="s">
        <v>154</v>
      </c>
      <c r="K60" s="35" t="s">
        <v>155</v>
      </c>
      <c r="L60" s="35" t="s">
        <v>156</v>
      </c>
      <c r="M60" s="92" t="s">
        <v>157</v>
      </c>
      <c r="N60" s="35" t="s">
        <v>70</v>
      </c>
      <c r="O60" s="35" t="s">
        <v>158</v>
      </c>
      <c r="P60" s="107" t="s">
        <v>127</v>
      </c>
      <c r="Q60" s="150" t="s">
        <v>159</v>
      </c>
      <c r="R60" s="69" t="s">
        <v>128</v>
      </c>
      <c r="S60" s="107" t="s">
        <v>129</v>
      </c>
      <c r="T60" s="114" t="s">
        <v>128</v>
      </c>
      <c r="U60" s="107" t="s">
        <v>129</v>
      </c>
      <c r="AC60" s="34"/>
      <c r="AD60" s="64" t="s">
        <v>149</v>
      </c>
      <c r="AE60" s="64" t="s">
        <v>87</v>
      </c>
      <c r="AF60" s="96" t="s">
        <v>150</v>
      </c>
      <c r="AG60" s="64" t="s">
        <v>123</v>
      </c>
      <c r="AH60" s="64" t="s">
        <v>151</v>
      </c>
      <c r="AI60" s="33" t="s">
        <v>152</v>
      </c>
      <c r="AJ60" s="34" t="s">
        <v>153</v>
      </c>
      <c r="AK60" s="92" t="s">
        <v>154</v>
      </c>
      <c r="AL60" s="35" t="s">
        <v>155</v>
      </c>
      <c r="AM60" s="35" t="s">
        <v>156</v>
      </c>
      <c r="AN60" s="92" t="s">
        <v>157</v>
      </c>
      <c r="AO60" s="35" t="s">
        <v>70</v>
      </c>
      <c r="AP60" s="35" t="s">
        <v>158</v>
      </c>
      <c r="AQ60" s="107" t="s">
        <v>127</v>
      </c>
      <c r="AR60" s="150" t="s">
        <v>159</v>
      </c>
      <c r="AS60" s="69" t="s">
        <v>128</v>
      </c>
      <c r="AT60" s="107" t="s">
        <v>129</v>
      </c>
      <c r="AU60" s="114" t="s">
        <v>128</v>
      </c>
      <c r="AV60" s="107" t="s">
        <v>129</v>
      </c>
      <c r="BD60" s="34"/>
      <c r="BE60" s="64" t="s">
        <v>149</v>
      </c>
      <c r="BF60" s="64" t="s">
        <v>87</v>
      </c>
      <c r="BG60" s="96" t="s">
        <v>150</v>
      </c>
      <c r="BH60" s="64" t="s">
        <v>123</v>
      </c>
      <c r="BI60" s="64" t="s">
        <v>151</v>
      </c>
      <c r="BJ60" s="33" t="s">
        <v>152</v>
      </c>
      <c r="BK60" s="34" t="s">
        <v>153</v>
      </c>
      <c r="BL60" s="92" t="s">
        <v>154</v>
      </c>
      <c r="BM60" s="35" t="s">
        <v>155</v>
      </c>
      <c r="BN60" s="35" t="s">
        <v>156</v>
      </c>
      <c r="BO60" s="92" t="s">
        <v>157</v>
      </c>
      <c r="BP60" s="35" t="s">
        <v>70</v>
      </c>
      <c r="BQ60" s="35" t="s">
        <v>158</v>
      </c>
      <c r="BR60" s="107" t="s">
        <v>127</v>
      </c>
      <c r="BS60" s="150" t="s">
        <v>159</v>
      </c>
      <c r="BT60" s="69" t="s">
        <v>128</v>
      </c>
      <c r="BU60" s="107" t="s">
        <v>129</v>
      </c>
      <c r="BV60" s="114" t="s">
        <v>128</v>
      </c>
      <c r="BW60" s="107" t="s">
        <v>129</v>
      </c>
      <c r="CQ60" s="2">
        <v>1600</v>
      </c>
      <c r="CR60" s="7">
        <v>1332.1726326640073</v>
      </c>
      <c r="CS60" s="4">
        <v>0.4779713374797081</v>
      </c>
      <c r="CT60" s="4"/>
      <c r="CU60" s="41"/>
    </row>
    <row r="61" spans="2:102" ht="19.149999999999999" customHeight="1">
      <c r="B61" s="2" t="s">
        <v>86</v>
      </c>
      <c r="C61" s="7">
        <v>82</v>
      </c>
      <c r="D61" s="38">
        <v>7</v>
      </c>
      <c r="E61" s="93">
        <v>72563.325603432488</v>
      </c>
      <c r="F61" s="37">
        <f>E61/$C$10</f>
        <v>0.7769092677027033</v>
      </c>
      <c r="G61" s="38">
        <v>34367.46</v>
      </c>
      <c r="H61" s="37">
        <f t="shared" ref="H61:H66" si="74">G61/$C$10</f>
        <v>0.36795995717344754</v>
      </c>
      <c r="I61" s="37">
        <f t="shared" ref="I61:I66" si="75">1-G61/(E61*$C$8)</f>
        <v>0.48519538662321682</v>
      </c>
      <c r="J61" s="38">
        <v>31399.86</v>
      </c>
      <c r="K61" s="37">
        <f t="shared" ref="K61:K66" si="76">J61/G61</f>
        <v>0.91365087789438038</v>
      </c>
      <c r="L61" s="7">
        <f t="shared" ref="L61:L66" si="77">J61/(PI()*$C$18^2)</f>
        <v>730.08662255565821</v>
      </c>
      <c r="M61" s="38">
        <v>28742.41158</v>
      </c>
      <c r="N61" s="37">
        <f t="shared" ref="N61:N66" si="78">M61/J61</f>
        <v>0.91536750737105199</v>
      </c>
      <c r="O61" s="50">
        <f t="shared" ref="O61:O66" si="79">M61/(PI()*$C$19^2)</f>
        <v>1984.7656837439943</v>
      </c>
      <c r="P61" s="98">
        <f t="shared" ref="P61:P66" si="80">M61/$C$10</f>
        <v>0.30773459935760172</v>
      </c>
      <c r="Q61" s="110">
        <f>INDEX(Daggett!$B$7:$M$21, MATCH(D61,Daggett!$A$7:$A$21,0), MATCH(B$62,Daggett!$B$6:$M$6,0))</f>
        <v>272.51612903225805</v>
      </c>
      <c r="R61" s="4">
        <f>IF(1-$H$7*(($H$5+273)^4-298^4)*(PI()*$C$19^2)*1000/(M61*Q61*1000)&lt;0,#N/A,1-$H$7*(($H$5+273)^4-298^4)*(PI()*$C$19^2)*1000/(M61*Q61*1000))</f>
        <v>0.27339212675040991</v>
      </c>
      <c r="S61" s="98">
        <f>R61*P61</f>
        <v>8.4132216593060069E-2</v>
      </c>
      <c r="T61" s="111">
        <f>IF(1-$H$7*(($H$5+273)^4-298^4)/(O61*1000)&lt;0,#N/A,1-$H$7*(($H$5+273)^4-298^4)/(O61*1000))</f>
        <v>0.80198763505766002</v>
      </c>
      <c r="U61" s="98">
        <f>T61*P61</f>
        <v>0.24679934356421951</v>
      </c>
      <c r="AC61" s="2" t="s">
        <v>86</v>
      </c>
      <c r="AD61" s="7">
        <v>82</v>
      </c>
      <c r="AE61" s="38">
        <v>7</v>
      </c>
      <c r="AF61" s="93">
        <v>45487.114658363287</v>
      </c>
      <c r="AG61" s="37">
        <f>AF61/$C$10</f>
        <v>0.48701407557134141</v>
      </c>
      <c r="AH61" s="38">
        <v>25025.050200000001</v>
      </c>
      <c r="AI61" s="37">
        <f t="shared" ref="AI61:AI70" si="81">AH61/$C$10</f>
        <v>0.26793415631691653</v>
      </c>
      <c r="AJ61" s="37">
        <f>1-AH61/(AF61*$C$8)</f>
        <v>0.4020033645563863</v>
      </c>
      <c r="AK61" s="38">
        <v>19879.028620000001</v>
      </c>
      <c r="AL61" s="37">
        <f>AK61/AH61</f>
        <v>0.79436518453017924</v>
      </c>
      <c r="AM61" s="7">
        <f t="shared" ref="AM61:AM71" si="82">AK61/(PI()*$C$18^2)</f>
        <v>462.21266161260166</v>
      </c>
      <c r="AN61" s="38">
        <v>18446.386999999999</v>
      </c>
      <c r="AO61" s="37">
        <f>AN61/AK61</f>
        <v>0.92793201079459975</v>
      </c>
      <c r="AP61" s="50">
        <f t="shared" ref="AP61:AP71" si="83">AN61/(PI()*$C$19^2)</f>
        <v>1273.7885895467832</v>
      </c>
      <c r="AQ61" s="98">
        <f>AN61/$C$10</f>
        <v>0.19749879014989291</v>
      </c>
      <c r="AR61" s="110">
        <f>INDEX(Daggett!$B$7:$M$21, MATCH(AE61,Daggett!$A$7:$A$21,0), MATCH(AC$62,Daggett!$B$6:$M$6,0))</f>
        <v>272.51612903225805</v>
      </c>
      <c r="AS61" s="4" t="e">
        <f t="shared" ref="AS61:AS71" si="84">IF(1-$H$7*(($H$5+273)^4-298^4)*(PI()*$C$19^2)*1000/(AN61*AR61*1000)&lt;0,#N/A,1-$H$7*(($H$5+273)^4-298^4)*(PI()*$C$19^2)*1000/(AN61*AR61*1000))</f>
        <v>#N/A</v>
      </c>
      <c r="AT61" s="98" t="e">
        <f>AS61*AQ61</f>
        <v>#N/A</v>
      </c>
      <c r="AU61" s="111">
        <f>IF(1-$H$7*(($H$5+273)^4-298^4)/(AP61*1000)&lt;0,#N/A,1-$H$7*(($H$5+273)^4-298^4)/(AP61*1000))</f>
        <v>0.6914651692441508</v>
      </c>
      <c r="AV61" s="98">
        <f>AU61*AQ61</f>
        <v>0.13656353435651072</v>
      </c>
      <c r="BD61" s="2" t="s">
        <v>86</v>
      </c>
      <c r="BE61" s="7">
        <v>82</v>
      </c>
      <c r="BF61" s="38">
        <v>7</v>
      </c>
      <c r="BG61" s="93">
        <f>AF71</f>
        <v>85297.646761304408</v>
      </c>
      <c r="BH61" s="37">
        <f>BG61/$C$10</f>
        <v>0.91325103598826984</v>
      </c>
      <c r="BI61" s="38">
        <f t="shared" ref="BI61:BP61" si="85">AH71</f>
        <v>34360.947</v>
      </c>
      <c r="BJ61" s="37">
        <f t="shared" si="85"/>
        <v>0.36789022483940043</v>
      </c>
      <c r="BK61" s="37">
        <f t="shared" si="85"/>
        <v>0.56213498434137277</v>
      </c>
      <c r="BL61" s="38">
        <f t="shared" si="85"/>
        <v>32402.848000000002</v>
      </c>
      <c r="BM61" s="37">
        <f t="shared" si="85"/>
        <v>0.94301382322204341</v>
      </c>
      <c r="BN61" s="7">
        <f t="shared" si="85"/>
        <v>753.40736734190421</v>
      </c>
      <c r="BO61" s="38">
        <f t="shared" si="85"/>
        <v>29173.83</v>
      </c>
      <c r="BP61" s="37">
        <f t="shared" si="85"/>
        <v>0.90034771017658699</v>
      </c>
      <c r="BQ61" s="50">
        <f>AP71</f>
        <v>2014.5566591104064</v>
      </c>
      <c r="BR61" s="98">
        <f>BO61/$C$10</f>
        <v>0.31235364025695933</v>
      </c>
      <c r="BS61" s="110">
        <f>INDEX(Daggett!$B$7:$M$21, MATCH(BF61,Daggett!$A$7:$A$21,0), MATCH(BD$62,Daggett!$B$6:$M$6,0))</f>
        <v>272.51612903225805</v>
      </c>
      <c r="BT61" s="4">
        <f t="shared" ref="BT61:BT71" si="86">IF(1-$H$7*(($H$5+273)^4-298^4)*(PI()*$C$19^2)*1000/(BO61*BS61*1000)&lt;0,#N/A,1-$H$7*(($H$5+273)^4-298^4)*(PI()*$C$19^2)*1000/(BO61*BS61*1000))</f>
        <v>0.28413709992112146</v>
      </c>
      <c r="BU61" s="98">
        <f>BT61*BR61</f>
        <v>8.8751257492417676E-2</v>
      </c>
      <c r="BV61" s="111">
        <f>IF(1-$H$7*(($H$5+273)^4-298^4)/(BQ61*1000)&lt;0,#N/A,1-$H$7*(($H$5+273)^4-298^4)/(BQ61*1000))</f>
        <v>0.80491581355269792</v>
      </c>
      <c r="BW61" s="98">
        <f>BV61*BR61</f>
        <v>0.25141838446357717</v>
      </c>
      <c r="CQ61" s="2">
        <v>1700</v>
      </c>
      <c r="CR61" s="7">
        <v>1294.9569839916981</v>
      </c>
      <c r="CS61" s="4">
        <v>0.46461870364312563</v>
      </c>
      <c r="CT61" s="4"/>
      <c r="CU61" s="2" t="s">
        <v>165</v>
      </c>
      <c r="CV61" s="35" t="s">
        <v>166</v>
      </c>
      <c r="CW61" s="69" t="s">
        <v>128</v>
      </c>
      <c r="CX61" s="69" t="s">
        <v>129</v>
      </c>
    </row>
    <row r="62" spans="2:102">
      <c r="B62" s="2">
        <v>3</v>
      </c>
      <c r="C62" s="7"/>
      <c r="D62" s="38">
        <v>8</v>
      </c>
      <c r="E62" s="93">
        <v>78720.882669289465</v>
      </c>
      <c r="F62" s="37">
        <f t="shared" ref="F62:F71" si="87">E62/$C$10</f>
        <v>0.84283600288318483</v>
      </c>
      <c r="G62" s="38">
        <v>55403.5</v>
      </c>
      <c r="H62" s="37">
        <f t="shared" si="74"/>
        <v>0.59318522483940039</v>
      </c>
      <c r="I62" s="37">
        <f t="shared" si="75"/>
        <v>0.2350035516602843</v>
      </c>
      <c r="J62" s="38">
        <v>51748.79</v>
      </c>
      <c r="K62" s="37">
        <f t="shared" si="76"/>
        <v>0.93403467289972653</v>
      </c>
      <c r="L62" s="7">
        <f t="shared" si="77"/>
        <v>1203.2250880240235</v>
      </c>
      <c r="M62" s="38">
        <v>47665.146000000001</v>
      </c>
      <c r="N62" s="37">
        <f t="shared" si="78"/>
        <v>0.92108715971909683</v>
      </c>
      <c r="O62" s="50">
        <f t="shared" si="79"/>
        <v>3291.4477558061367</v>
      </c>
      <c r="P62" s="98">
        <f t="shared" si="80"/>
        <v>0.51033346895074949</v>
      </c>
      <c r="Q62" s="110">
        <f>INDEX(Daggett!$B$7:$M$21, MATCH(D62,Daggett!$A$7:$A$21,0), MATCH(B$62,Daggett!$B$6:$M$6,0))</f>
        <v>557.16129032258061</v>
      </c>
      <c r="R62" s="4">
        <f t="shared" ref="R62:R71" si="88">IF(1-$H$7*(($H$5+273)^4-298^4)*(PI()*$C$19^2)*1000/(M62*Q62*1000)&lt;0,#N/A,1-$H$7*(($H$5+273)^4-298^4)*(PI()*$C$19^2)*1000/(M62*Q62*1000))</f>
        <v>0.78569433487960061</v>
      </c>
      <c r="S62" s="98">
        <f t="shared" ref="S62:S71" si="89">R62*P62</f>
        <v>0.40096611545405841</v>
      </c>
      <c r="T62" s="111">
        <f t="shared" ref="T62:T71" si="90">IF(1-$H$7*(($H$5+273)^4-298^4)/(O62*1000)&lt;0,#N/A,1-$H$7*(($H$5+273)^4-298^4)/(O62*1000))</f>
        <v>0.88059717909807944</v>
      </c>
      <c r="U62" s="98">
        <f t="shared" ref="U62:U71" si="91">T62*P62</f>
        <v>0.44939821315736733</v>
      </c>
      <c r="AC62" s="2">
        <v>3</v>
      </c>
      <c r="AD62" s="7"/>
      <c r="AE62" s="38">
        <v>8</v>
      </c>
      <c r="AF62" s="93">
        <v>52034.765759578651</v>
      </c>
      <c r="AG62" s="37">
        <f t="shared" ref="AG62:AG71" si="92">AF62/$C$10</f>
        <v>0.55711740641947161</v>
      </c>
      <c r="AH62" s="38">
        <v>43321.8</v>
      </c>
      <c r="AI62" s="37">
        <f t="shared" si="81"/>
        <v>0.46383083511777307</v>
      </c>
      <c r="AJ62" s="37">
        <f t="shared" ref="AJ62:AJ70" si="93">1-AH62/(AF62*$C$8)</f>
        <v>9.5049005100785844E-2</v>
      </c>
      <c r="AK62" s="38">
        <v>36332.620000000003</v>
      </c>
      <c r="AL62" s="37">
        <f t="shared" ref="AL62:AL70" si="94">AK62/AH62</f>
        <v>0.83866829171456403</v>
      </c>
      <c r="AM62" s="7">
        <f t="shared" si="82"/>
        <v>844.77955711898585</v>
      </c>
      <c r="AN62" s="38">
        <v>33372.247000000003</v>
      </c>
      <c r="AO62" s="37">
        <f t="shared" ref="AO62:AO71" si="95">AN62/AK62</f>
        <v>0.91852024434241186</v>
      </c>
      <c r="AP62" s="50">
        <f t="shared" si="83"/>
        <v>2304.4722761230623</v>
      </c>
      <c r="AQ62" s="98">
        <f t="shared" ref="AQ62:AQ71" si="96">AN62/$C$10</f>
        <v>0.35730457173447538</v>
      </c>
      <c r="AR62" s="110">
        <f>INDEX(Daggett!$B$7:$M$21, MATCH(AE62,Daggett!$A$7:$A$21,0), MATCH(AC$62,Daggett!$B$6:$M$6,0))</f>
        <v>557.16129032258061</v>
      </c>
      <c r="AS62" s="4">
        <f t="shared" si="84"/>
        <v>0.69391000801980929</v>
      </c>
      <c r="AT62" s="98">
        <f t="shared" ref="AT62:AT71" si="97">AS62*AQ62</f>
        <v>0.24793721823778433</v>
      </c>
      <c r="AU62" s="111">
        <f t="shared" ref="AU62:AU70" si="98">IF(1-$H$7*(($H$5+273)^4-298^4)/(AP62*1000)&lt;0,#N/A,1-$H$7*(($H$5+273)^4-298^4)/(AP62*1000))</f>
        <v>0.82945850511348862</v>
      </c>
      <c r="AV62" s="98">
        <f t="shared" ref="AV62:AV71" si="99">AU62*AQ62</f>
        <v>0.29636931594109323</v>
      </c>
      <c r="BD62" s="2">
        <v>3</v>
      </c>
      <c r="BE62" s="7"/>
      <c r="BF62" s="38">
        <v>8</v>
      </c>
      <c r="BG62" s="93">
        <f>AF70</f>
        <v>85870.14748385211</v>
      </c>
      <c r="BH62" s="37">
        <f t="shared" ref="BH62:BH71" si="100">BG62/$C$10</f>
        <v>0.91938059404552586</v>
      </c>
      <c r="BI62" s="38">
        <f t="shared" ref="BI62:BP62" si="101">AH70</f>
        <v>56572.124689999997</v>
      </c>
      <c r="BJ62" s="37">
        <f t="shared" si="101"/>
        <v>0.60569726648822264</v>
      </c>
      <c r="BK62" s="37">
        <f t="shared" si="101"/>
        <v>0.28390201155764583</v>
      </c>
      <c r="BL62" s="38">
        <f t="shared" si="101"/>
        <v>53581.399429999998</v>
      </c>
      <c r="BM62" s="37">
        <f t="shared" si="101"/>
        <v>0.94713429491311552</v>
      </c>
      <c r="BN62" s="7">
        <f t="shared" si="101"/>
        <v>1245.8355846699433</v>
      </c>
      <c r="BO62" s="38">
        <f t="shared" si="101"/>
        <v>48558.887999999999</v>
      </c>
      <c r="BP62" s="37">
        <f t="shared" si="101"/>
        <v>0.90626389972211296</v>
      </c>
      <c r="BQ62" s="50">
        <f>AP70</f>
        <v>3353.1638176885381</v>
      </c>
      <c r="BR62" s="98">
        <f t="shared" ref="BR62:BR71" si="102">BO62/$C$10</f>
        <v>0.51990244111349038</v>
      </c>
      <c r="BS62" s="110">
        <f>INDEX(Daggett!$B$7:$M$21, MATCH(BF62,Daggett!$A$7:$A$21,0), MATCH(BD$62,Daggett!$B$6:$M$6,0))</f>
        <v>557.16129032258061</v>
      </c>
      <c r="BT62" s="4">
        <f t="shared" si="86"/>
        <v>0.78963869978672196</v>
      </c>
      <c r="BU62" s="98">
        <f t="shared" ref="BU62:BU71" si="103">BT62*BR62</f>
        <v>0.4105350876167993</v>
      </c>
      <c r="BV62" s="111">
        <f t="shared" ref="BV62:BV71" si="104">IF(1-$H$7*(($H$5+273)^4-298^4)/(BQ62*1000)&lt;0,#N/A,1-$H$7*(($H$5+273)^4-298^4)/(BQ62*1000))</f>
        <v>0.88279482653923425</v>
      </c>
      <c r="BW62" s="98">
        <f t="shared" ref="BW62:BW71" si="105">BV62*BR62</f>
        <v>0.45896718532010816</v>
      </c>
      <c r="CQ62" s="2">
        <v>1800</v>
      </c>
      <c r="CR62" s="7">
        <v>1251.6311334161746</v>
      </c>
      <c r="CS62" s="4">
        <v>0.44907378533504033</v>
      </c>
      <c r="CT62" s="4"/>
      <c r="CU62" s="2">
        <v>1800</v>
      </c>
      <c r="CV62" s="4" t="e">
        <f>AVERAGE(#REF!,BH208,P201)</f>
        <v>#REF!</v>
      </c>
      <c r="CW62" s="4" t="e">
        <f>AVERAGE(#REF!,BI208,R201)</f>
        <v>#REF!</v>
      </c>
      <c r="CX62" s="4" t="e">
        <f>AVERAGE(#REF!,BJ208,S201)</f>
        <v>#REF!</v>
      </c>
    </row>
    <row r="63" spans="2:102">
      <c r="C63" s="7"/>
      <c r="D63" s="38">
        <v>9</v>
      </c>
      <c r="E63" s="93">
        <v>83648.561859884285</v>
      </c>
      <c r="F63" s="37">
        <f t="shared" si="87"/>
        <v>0.89559488072681248</v>
      </c>
      <c r="G63" s="38">
        <v>65672.399999999994</v>
      </c>
      <c r="H63" s="37">
        <f t="shared" si="74"/>
        <v>0.70313062098501067</v>
      </c>
      <c r="I63" s="37">
        <f t="shared" si="75"/>
        <v>0.14663155120549243</v>
      </c>
      <c r="J63" s="38">
        <v>62170.387999999999</v>
      </c>
      <c r="K63" s="37">
        <f t="shared" si="76"/>
        <v>0.94667452384867923</v>
      </c>
      <c r="L63" s="7">
        <f t="shared" si="77"/>
        <v>1445.5404768650185</v>
      </c>
      <c r="M63" s="38">
        <v>57505.29</v>
      </c>
      <c r="N63" s="37">
        <f t="shared" si="78"/>
        <v>0.92496270089226407</v>
      </c>
      <c r="O63" s="50">
        <f t="shared" si="79"/>
        <v>3970.9446755388326</v>
      </c>
      <c r="P63" s="98">
        <f t="shared" si="80"/>
        <v>0.61568832976445398</v>
      </c>
      <c r="Q63" s="110">
        <f>INDEX(Daggett!$B$7:$M$21, MATCH(D63,Daggett!$A$7:$A$21,0), MATCH(B$62,Daggett!$B$6:$M$6,0))</f>
        <v>691.70967741935488</v>
      </c>
      <c r="R63" s="4">
        <f t="shared" si="88"/>
        <v>0.85691837459562492</v>
      </c>
      <c r="S63" s="98">
        <f t="shared" si="89"/>
        <v>0.52759464279925106</v>
      </c>
      <c r="T63" s="111">
        <f t="shared" si="90"/>
        <v>0.90102905504690267</v>
      </c>
      <c r="U63" s="98">
        <f t="shared" si="91"/>
        <v>0.55475307397107176</v>
      </c>
      <c r="AD63" s="7"/>
      <c r="AE63" s="38">
        <v>9</v>
      </c>
      <c r="AF63" s="93">
        <v>58758.787215544551</v>
      </c>
      <c r="AG63" s="37">
        <f t="shared" si="92"/>
        <v>0.62910907083024148</v>
      </c>
      <c r="AH63" s="38">
        <v>53492.760999999999</v>
      </c>
      <c r="AI63" s="37">
        <f t="shared" si="81"/>
        <v>0.57272763383297642</v>
      </c>
      <c r="AJ63" s="37">
        <f t="shared" si="93"/>
        <v>1.0457700199084208E-2</v>
      </c>
      <c r="AK63" s="38">
        <v>46637.245699999999</v>
      </c>
      <c r="AL63" s="37">
        <f t="shared" si="94"/>
        <v>0.87184218627264354</v>
      </c>
      <c r="AM63" s="7">
        <f t="shared" si="82"/>
        <v>1084.3751914311526</v>
      </c>
      <c r="AN63" s="38">
        <v>42757.07</v>
      </c>
      <c r="AO63" s="37">
        <f t="shared" si="95"/>
        <v>0.91680092505977473</v>
      </c>
      <c r="AP63" s="50">
        <f t="shared" si="83"/>
        <v>2952.5276623792547</v>
      </c>
      <c r="AQ63" s="98">
        <f t="shared" si="96"/>
        <v>0.45778447537473232</v>
      </c>
      <c r="AR63" s="110">
        <f>INDEX(Daggett!$B$7:$M$21, MATCH(AE63,Daggett!$A$7:$A$21,0), MATCH(AC$62,Daggett!$B$6:$M$6,0))</f>
        <v>691.70967741935488</v>
      </c>
      <c r="AS63" s="4">
        <f t="shared" si="84"/>
        <v>0.80756514975067373</v>
      </c>
      <c r="AT63" s="98">
        <f t="shared" si="97"/>
        <v>0.36969078840952929</v>
      </c>
      <c r="AU63" s="111">
        <f t="shared" si="98"/>
        <v>0.86689095180979669</v>
      </c>
      <c r="AV63" s="98">
        <f t="shared" si="99"/>
        <v>0.39684921958135017</v>
      </c>
      <c r="BE63" s="7"/>
      <c r="BF63" s="38">
        <v>9</v>
      </c>
      <c r="BG63" s="93">
        <f>AF69</f>
        <v>85212.629097835685</v>
      </c>
      <c r="BH63" s="37">
        <f t="shared" si="100"/>
        <v>0.91234078263207374</v>
      </c>
      <c r="BI63" s="38">
        <f t="shared" ref="BI63:BP63" si="106">AH69</f>
        <v>67220.964000000007</v>
      </c>
      <c r="BJ63" s="37">
        <f t="shared" si="106"/>
        <v>0.71971053533190588</v>
      </c>
      <c r="BK63" s="37">
        <f t="shared" si="106"/>
        <v>0.14254182753238021</v>
      </c>
      <c r="BL63" s="38">
        <f t="shared" si="106"/>
        <v>63692.947999999997</v>
      </c>
      <c r="BM63" s="37">
        <f t="shared" si="106"/>
        <v>0.94751613499621923</v>
      </c>
      <c r="BN63" s="7">
        <f t="shared" si="106"/>
        <v>1480.9419305032939</v>
      </c>
      <c r="BO63" s="38">
        <f t="shared" si="106"/>
        <v>58410.851000000002</v>
      </c>
      <c r="BP63" s="37">
        <f t="shared" si="106"/>
        <v>0.91706935907567044</v>
      </c>
      <c r="BQ63" s="50">
        <f>AP69</f>
        <v>4033.4768813815581</v>
      </c>
      <c r="BR63" s="98">
        <f t="shared" si="102"/>
        <v>0.62538384368308353</v>
      </c>
      <c r="BS63" s="110">
        <f>INDEX(Daggett!$B$7:$M$21, MATCH(BF63,Daggett!$A$7:$A$21,0), MATCH(BD$62,Daggett!$B$6:$M$6,0))</f>
        <v>691.70967741935488</v>
      </c>
      <c r="BT63" s="4">
        <f t="shared" si="86"/>
        <v>0.85913661209027825</v>
      </c>
      <c r="BU63" s="98">
        <f t="shared" si="103"/>
        <v>0.5372901567178805</v>
      </c>
      <c r="BV63" s="111">
        <f t="shared" si="104"/>
        <v>0.90256343138876893</v>
      </c>
      <c r="BW63" s="98">
        <f t="shared" si="105"/>
        <v>0.56444858788970131</v>
      </c>
      <c r="CQ63" s="2">
        <v>1900</v>
      </c>
      <c r="CR63" s="7">
        <v>1201.5602744355713</v>
      </c>
      <c r="CS63" s="4">
        <v>0.4311088197976099</v>
      </c>
      <c r="CT63" s="4"/>
      <c r="CX63" s="4" t="e">
        <f>CV62*CW62</f>
        <v>#REF!</v>
      </c>
    </row>
    <row r="64" spans="2:102">
      <c r="C64" s="71" t="s">
        <v>167</v>
      </c>
      <c r="D64" s="52">
        <v>10</v>
      </c>
      <c r="E64" s="97">
        <v>87241.598906092273</v>
      </c>
      <c r="F64" s="51">
        <f t="shared" si="87"/>
        <v>0.9340642281166196</v>
      </c>
      <c r="G64" s="52">
        <v>70144.77</v>
      </c>
      <c r="H64" s="51">
        <f t="shared" si="74"/>
        <v>0.75101466809421846</v>
      </c>
      <c r="I64" s="51">
        <f t="shared" si="75"/>
        <v>0.12605550364268947</v>
      </c>
      <c r="J64" s="52">
        <v>66439.100000000006</v>
      </c>
      <c r="K64" s="51">
        <f t="shared" si="76"/>
        <v>0.94717111482438399</v>
      </c>
      <c r="L64" s="47">
        <f t="shared" si="77"/>
        <v>1544.793452093023</v>
      </c>
      <c r="M64" s="52">
        <v>60598.6</v>
      </c>
      <c r="N64" s="51">
        <f t="shared" si="78"/>
        <v>0.9120924275012755</v>
      </c>
      <c r="O64" s="56">
        <f t="shared" si="79"/>
        <v>4184.5487261277613</v>
      </c>
      <c r="P64" s="108">
        <f>M64/$C$10</f>
        <v>0.64880728051391856</v>
      </c>
      <c r="Q64" s="110">
        <f>INDEX(Daggett!$B$7:$M$21, MATCH(D64,Daggett!$A$7:$A$21,0), MATCH(B$62,Daggett!$B$6:$M$6,0))</f>
        <v>737</v>
      </c>
      <c r="R64" s="4">
        <f t="shared" si="88"/>
        <v>0.8725659645619861</v>
      </c>
      <c r="S64" s="98">
        <f t="shared" si="89"/>
        <v>0.56612715053646645</v>
      </c>
      <c r="T64" s="111">
        <f t="shared" si="90"/>
        <v>0.90608111588218376</v>
      </c>
      <c r="U64" s="98">
        <f t="shared" si="91"/>
        <v>0.58787202472053635</v>
      </c>
      <c r="AD64" s="71"/>
      <c r="AE64" s="38">
        <v>10</v>
      </c>
      <c r="AF64" s="97">
        <v>65217.092076203415</v>
      </c>
      <c r="AG64" s="51">
        <f t="shared" si="92"/>
        <v>0.69825580381374108</v>
      </c>
      <c r="AH64" s="52">
        <v>58746.75</v>
      </c>
      <c r="AI64" s="51">
        <f t="shared" si="81"/>
        <v>0.62898019271948613</v>
      </c>
      <c r="AJ64" s="51">
        <f t="shared" si="93"/>
        <v>2.0883007649801333E-2</v>
      </c>
      <c r="AK64" s="52">
        <v>52878.343308000003</v>
      </c>
      <c r="AL64" s="51">
        <f t="shared" si="94"/>
        <v>0.90010670050683661</v>
      </c>
      <c r="AM64" s="47">
        <f t="shared" si="82"/>
        <v>1229.4886369581363</v>
      </c>
      <c r="AN64" s="52">
        <v>48540.370799999997</v>
      </c>
      <c r="AO64" s="51">
        <f t="shared" si="95"/>
        <v>0.91796315397529271</v>
      </c>
      <c r="AP64" s="56">
        <f t="shared" si="83"/>
        <v>3351.8851392096381</v>
      </c>
      <c r="AQ64" s="108">
        <f t="shared" si="96"/>
        <v>0.51970418415417552</v>
      </c>
      <c r="AR64" s="110">
        <f>INDEX(Daggett!$B$7:$M$21, MATCH(AE64,Daggett!$A$7:$A$21,0), MATCH(AC$62,Daggett!$B$6:$M$6,0))</f>
        <v>737</v>
      </c>
      <c r="AS64" s="4">
        <f t="shared" si="84"/>
        <v>0.84090924703249226</v>
      </c>
      <c r="AT64" s="98">
        <f t="shared" si="97"/>
        <v>0.43702405417672341</v>
      </c>
      <c r="AU64" s="111">
        <f t="shared" si="98"/>
        <v>0.88275011506294676</v>
      </c>
      <c r="AV64" s="98">
        <f t="shared" si="99"/>
        <v>0.4587689283607933</v>
      </c>
      <c r="BE64" s="71"/>
      <c r="BF64" s="38">
        <v>10</v>
      </c>
      <c r="BG64" s="97">
        <f>AF68</f>
        <v>83341.336493212701</v>
      </c>
      <c r="BH64" s="51">
        <f t="shared" si="100"/>
        <v>0.8923055299059176</v>
      </c>
      <c r="BI64" s="52">
        <f t="shared" ref="BI64:BP64" si="107">AH68</f>
        <v>68212.515100000004</v>
      </c>
      <c r="BJ64" s="51">
        <f t="shared" si="107"/>
        <v>0.7303267141327624</v>
      </c>
      <c r="BK64" s="51">
        <f t="shared" si="107"/>
        <v>0.11035698163765129</v>
      </c>
      <c r="BL64" s="52">
        <f t="shared" si="107"/>
        <v>64341.974000000002</v>
      </c>
      <c r="BM64" s="51">
        <f t="shared" si="107"/>
        <v>0.94325761050848567</v>
      </c>
      <c r="BN64" s="47">
        <f t="shared" si="107"/>
        <v>1496.0326092608047</v>
      </c>
      <c r="BO64" s="52">
        <f t="shared" si="107"/>
        <v>58918.601159999998</v>
      </c>
      <c r="BP64" s="51">
        <f t="shared" si="107"/>
        <v>0.91571018881080646</v>
      </c>
      <c r="BQ64" s="56">
        <f>AP68</f>
        <v>4068.5388347141293</v>
      </c>
      <c r="BR64" s="108">
        <f t="shared" si="102"/>
        <v>0.63082014089935756</v>
      </c>
      <c r="BS64" s="110">
        <f>INDEX(Daggett!$B$7:$M$21, MATCH(BF64,Daggett!$A$7:$A$21,0), MATCH(BD$62,Daggett!$B$6:$M$6,0))</f>
        <v>737</v>
      </c>
      <c r="BT64" s="4">
        <f t="shared" si="86"/>
        <v>0.86893232378475527</v>
      </c>
      <c r="BU64" s="98">
        <f t="shared" si="103"/>
        <v>0.54814001092190545</v>
      </c>
      <c r="BV64" s="111">
        <f t="shared" si="104"/>
        <v>0.90340312262936462</v>
      </c>
      <c r="BW64" s="98">
        <f t="shared" si="105"/>
        <v>0.56988488510597535</v>
      </c>
      <c r="CQ64" s="2">
        <v>2000</v>
      </c>
      <c r="CR64" s="7">
        <v>1144.078221086733</v>
      </c>
      <c r="CS64" s="4">
        <v>0.41048478560972723</v>
      </c>
      <c r="CT64" s="4"/>
      <c r="CU64" s="4"/>
      <c r="CV64" s="4"/>
    </row>
    <row r="65" spans="2:100" ht="16.899999999999999" customHeight="1">
      <c r="C65" s="7"/>
      <c r="D65" s="38">
        <v>11</v>
      </c>
      <c r="E65" s="93">
        <v>89426.545820937346</v>
      </c>
      <c r="F65" s="37">
        <f t="shared" si="87"/>
        <v>0.95745766403573174</v>
      </c>
      <c r="G65" s="38">
        <v>72321.87</v>
      </c>
      <c r="H65" s="37">
        <f t="shared" si="74"/>
        <v>0.77432408993576007</v>
      </c>
      <c r="I65" s="37">
        <f t="shared" si="75"/>
        <v>0.12094638634175547</v>
      </c>
      <c r="J65" s="38">
        <v>68922.679999999993</v>
      </c>
      <c r="K65" s="37">
        <f t="shared" si="76"/>
        <v>0.9529991412003036</v>
      </c>
      <c r="L65" s="7">
        <f t="shared" si="77"/>
        <v>1602.5398412185407</v>
      </c>
      <c r="M65" s="38">
        <v>62948.01</v>
      </c>
      <c r="N65" s="37">
        <f t="shared" si="78"/>
        <v>0.91331344051043872</v>
      </c>
      <c r="O65" s="50">
        <f t="shared" si="79"/>
        <v>4346.7838375437323</v>
      </c>
      <c r="P65" s="98">
        <f t="shared" si="80"/>
        <v>0.67396156316916489</v>
      </c>
      <c r="Q65" s="110">
        <f>INDEX(Daggett!$B$7:$M$21, MATCH(D65,Daggett!$A$7:$A$21,0), MATCH(B$62,Daggett!$B$6:$M$6,0))</f>
        <v>780.35483870967744</v>
      </c>
      <c r="R65" s="4">
        <f t="shared" si="88"/>
        <v>0.884137903684171</v>
      </c>
      <c r="S65" s="98">
        <f t="shared" si="89"/>
        <v>0.59587496362409242</v>
      </c>
      <c r="T65" s="111">
        <f t="shared" si="90"/>
        <v>0.90958645251689618</v>
      </c>
      <c r="U65" s="98">
        <f t="shared" si="91"/>
        <v>0.61302630737578268</v>
      </c>
      <c r="AD65" s="7"/>
      <c r="AE65" s="38">
        <v>11</v>
      </c>
      <c r="AF65" s="93">
        <v>71100.212412623514</v>
      </c>
      <c r="AG65" s="37">
        <f t="shared" si="92"/>
        <v>0.76124424424650439</v>
      </c>
      <c r="AH65" s="38">
        <v>62554.131000000001</v>
      </c>
      <c r="AI65" s="37">
        <f t="shared" si="81"/>
        <v>0.66974444325481797</v>
      </c>
      <c r="AJ65" s="37">
        <f t="shared" si="93"/>
        <v>4.3693143171229742E-2</v>
      </c>
      <c r="AK65" s="38">
        <v>57601.381999999998</v>
      </c>
      <c r="AL65" s="37">
        <f t="shared" si="94"/>
        <v>0.92082458950632684</v>
      </c>
      <c r="AM65" s="7">
        <f t="shared" si="82"/>
        <v>1339.3052847661829</v>
      </c>
      <c r="AN65" s="38">
        <v>52825.517599999999</v>
      </c>
      <c r="AO65" s="37">
        <f t="shared" si="95"/>
        <v>0.91708767681997627</v>
      </c>
      <c r="AP65" s="50">
        <f t="shared" si="83"/>
        <v>3647.7897571910839</v>
      </c>
      <c r="AQ65" s="98">
        <f t="shared" si="96"/>
        <v>0.56558370021413273</v>
      </c>
      <c r="AR65" s="110">
        <f>INDEX(Daggett!$B$7:$M$21, MATCH(AE65,Daggett!$A$7:$A$21,0), MATCH(AC$62,Daggett!$B$6:$M$6,0))</f>
        <v>780.35483870967744</v>
      </c>
      <c r="AS65" s="4">
        <f t="shared" si="84"/>
        <v>0.8619362624568061</v>
      </c>
      <c r="AT65" s="98">
        <f t="shared" si="97"/>
        <v>0.48749710066906027</v>
      </c>
      <c r="AU65" s="111">
        <f t="shared" si="98"/>
        <v>0.89226129435782575</v>
      </c>
      <c r="AV65" s="98">
        <f t="shared" si="99"/>
        <v>0.50464844442075052</v>
      </c>
      <c r="BE65" s="7"/>
      <c r="BF65" s="38">
        <v>11</v>
      </c>
      <c r="BG65" s="93">
        <f>AF67</f>
        <v>80304.527970151918</v>
      </c>
      <c r="BH65" s="37">
        <f t="shared" si="100"/>
        <v>0.85979152002303982</v>
      </c>
      <c r="BI65" s="38">
        <f t="shared" ref="BI65:BP65" si="108">AH67</f>
        <v>67582.053799999994</v>
      </c>
      <c r="BJ65" s="37">
        <f t="shared" si="108"/>
        <v>0.72357659314775158</v>
      </c>
      <c r="BK65" s="37">
        <f t="shared" si="108"/>
        <v>8.5247669250501312E-2</v>
      </c>
      <c r="BL65" s="38">
        <f t="shared" si="108"/>
        <v>63405.797299999998</v>
      </c>
      <c r="BM65" s="37">
        <f t="shared" si="108"/>
        <v>0.93820465249015561</v>
      </c>
      <c r="BN65" s="7">
        <f t="shared" si="108"/>
        <v>1474.2653120493426</v>
      </c>
      <c r="BO65" s="38">
        <f t="shared" si="108"/>
        <v>58023.924059999998</v>
      </c>
      <c r="BP65" s="37">
        <f t="shared" si="108"/>
        <v>0.91512017088065223</v>
      </c>
      <c r="BQ65" s="50">
        <f>AP67</f>
        <v>4006.7582008529398</v>
      </c>
      <c r="BR65" s="98">
        <f t="shared" si="102"/>
        <v>0.6212411569593147</v>
      </c>
      <c r="BS65" s="110">
        <f>INDEX(Daggett!$B$7:$M$21, MATCH(BF65,Daggett!$A$7:$A$21,0), MATCH(BD$62,Daggett!$B$6:$M$6,0))</f>
        <v>780.35483870967744</v>
      </c>
      <c r="BT65" s="4">
        <f t="shared" si="86"/>
        <v>0.87430549526488255</v>
      </c>
      <c r="BU65" s="98">
        <f t="shared" si="103"/>
        <v>0.54315455741424223</v>
      </c>
      <c r="BV65" s="111">
        <f t="shared" si="104"/>
        <v>0.90191368503073455</v>
      </c>
      <c r="BW65" s="98">
        <f t="shared" si="105"/>
        <v>0.56030590116593249</v>
      </c>
      <c r="CG65" s="35"/>
      <c r="CQ65" s="2">
        <v>2100</v>
      </c>
      <c r="CR65" s="7">
        <v>1078.4874079452163</v>
      </c>
      <c r="CS65" s="4">
        <v>0.38695140268702055</v>
      </c>
      <c r="CT65" s="4"/>
      <c r="CU65" s="4"/>
      <c r="CV65" s="4"/>
    </row>
    <row r="66" spans="2:100">
      <c r="C66" s="7"/>
      <c r="D66" s="38">
        <v>12</v>
      </c>
      <c r="E66" s="93">
        <v>90159.701809071747</v>
      </c>
      <c r="F66" s="37">
        <f t="shared" si="87"/>
        <v>0.96530729988299513</v>
      </c>
      <c r="G66" s="38">
        <v>72071.899999999994</v>
      </c>
      <c r="H66" s="37">
        <f t="shared" si="74"/>
        <v>0.77164775160599564</v>
      </c>
      <c r="I66" s="37">
        <f t="shared" si="75"/>
        <v>0.13110824273768773</v>
      </c>
      <c r="J66" s="38">
        <v>68460.56</v>
      </c>
      <c r="K66" s="37">
        <f t="shared" si="76"/>
        <v>0.94989253786843419</v>
      </c>
      <c r="L66" s="7">
        <f t="shared" si="77"/>
        <v>1591.7949643300635</v>
      </c>
      <c r="M66" s="38">
        <v>62642.1</v>
      </c>
      <c r="N66" s="37">
        <f t="shared" si="78"/>
        <v>0.91501004373905215</v>
      </c>
      <c r="O66" s="50">
        <f t="shared" si="79"/>
        <v>4325.6596646946928</v>
      </c>
      <c r="P66" s="98">
        <f t="shared" si="80"/>
        <v>0.67068629550321202</v>
      </c>
      <c r="Q66" s="110">
        <f>INDEX(Daggett!$B$7:$M$21, MATCH(D66,Daggett!$A$7:$A$21,0), MATCH(B$62,Daggett!$B$6:$M$6,0))</f>
        <v>768.19354838709683</v>
      </c>
      <c r="R66" s="4">
        <f t="shared" si="88"/>
        <v>0.88172892320860563</v>
      </c>
      <c r="S66" s="98">
        <f t="shared" si="89"/>
        <v>0.59136350514481584</v>
      </c>
      <c r="T66" s="111">
        <f t="shared" si="90"/>
        <v>0.90914492184805595</v>
      </c>
      <c r="U66" s="98">
        <f t="shared" si="91"/>
        <v>0.6097510397098298</v>
      </c>
      <c r="AD66" s="7"/>
      <c r="AE66" s="38">
        <v>12</v>
      </c>
      <c r="AF66" s="93">
        <v>76184.387055716463</v>
      </c>
      <c r="AG66" s="37">
        <f t="shared" si="92"/>
        <v>0.81567866226677155</v>
      </c>
      <c r="AH66" s="38">
        <v>65041.553999999996</v>
      </c>
      <c r="AI66" s="37">
        <f t="shared" si="81"/>
        <v>0.69637638115631684</v>
      </c>
      <c r="AJ66" s="37">
        <f t="shared" si="93"/>
        <v>7.2023231575726432E-2</v>
      </c>
      <c r="AK66" s="38">
        <v>60578.12</v>
      </c>
      <c r="AL66" s="37">
        <f t="shared" si="94"/>
        <v>0.93137565563086033</v>
      </c>
      <c r="AM66" s="7">
        <f t="shared" si="82"/>
        <v>1408.5182236981748</v>
      </c>
      <c r="AN66" s="38">
        <v>55389.012000000002</v>
      </c>
      <c r="AO66" s="37">
        <f t="shared" si="95"/>
        <v>0.9143402271315122</v>
      </c>
      <c r="AP66" s="50">
        <f t="shared" si="83"/>
        <v>3824.8081573844165</v>
      </c>
      <c r="AQ66" s="98">
        <f t="shared" si="96"/>
        <v>0.59303010706638115</v>
      </c>
      <c r="AR66" s="110">
        <f>INDEX(Daggett!$B$7:$M$21, MATCH(AE66,Daggett!$A$7:$A$21,0), MATCH(AC$62,Daggett!$B$6:$M$6,0))</f>
        <v>768.19354838709683</v>
      </c>
      <c r="AS66" s="4">
        <f t="shared" si="84"/>
        <v>0.8662415458958862</v>
      </c>
      <c r="AT66" s="98">
        <f t="shared" si="97"/>
        <v>0.51370731670798486</v>
      </c>
      <c r="AU66" s="111">
        <f t="shared" si="98"/>
        <v>0.89724761851498824</v>
      </c>
      <c r="AV66" s="98">
        <f t="shared" si="99"/>
        <v>0.53209485127299894</v>
      </c>
      <c r="BE66" s="7"/>
      <c r="BF66" s="38">
        <v>12</v>
      </c>
      <c r="BG66" s="93">
        <f>AF66</f>
        <v>76184.387055716463</v>
      </c>
      <c r="BH66" s="37">
        <f t="shared" si="100"/>
        <v>0.81567866226677155</v>
      </c>
      <c r="BI66" s="38">
        <f t="shared" ref="BI66:BP66" si="109">AH66</f>
        <v>65041.553999999996</v>
      </c>
      <c r="BJ66" s="37">
        <f t="shared" si="109"/>
        <v>0.69637638115631684</v>
      </c>
      <c r="BK66" s="37">
        <f t="shared" si="109"/>
        <v>7.2023231575726432E-2</v>
      </c>
      <c r="BL66" s="38">
        <f t="shared" si="109"/>
        <v>60578.12</v>
      </c>
      <c r="BM66" s="37">
        <f t="shared" si="109"/>
        <v>0.93137565563086033</v>
      </c>
      <c r="BN66" s="7">
        <f t="shared" si="109"/>
        <v>1408.5182236981748</v>
      </c>
      <c r="BO66" s="38">
        <f t="shared" si="109"/>
        <v>55389.012000000002</v>
      </c>
      <c r="BP66" s="37">
        <f t="shared" si="109"/>
        <v>0.9143402271315122</v>
      </c>
      <c r="BQ66" s="50">
        <f>AP66</f>
        <v>3824.8081573844165</v>
      </c>
      <c r="BR66" s="98">
        <f t="shared" si="102"/>
        <v>0.59303010706638115</v>
      </c>
      <c r="BS66" s="110">
        <f>INDEX(Daggett!$B$7:$M$21, MATCH(BF66,Daggett!$A$7:$A$21,0), MATCH(BD$62,Daggett!$B$6:$M$6,0))</f>
        <v>768.19354838709683</v>
      </c>
      <c r="BT66" s="4">
        <f t="shared" si="86"/>
        <v>0.8662415458958862</v>
      </c>
      <c r="BU66" s="98">
        <f t="shared" si="103"/>
        <v>0.51370731670798486</v>
      </c>
      <c r="BV66" s="111">
        <f t="shared" si="104"/>
        <v>0.89724761851498824</v>
      </c>
      <c r="BW66" s="98">
        <f t="shared" si="105"/>
        <v>0.53209485127299894</v>
      </c>
      <c r="CQ66" s="2">
        <v>2200</v>
      </c>
      <c r="CR66" s="7">
        <v>1004.0588901252892</v>
      </c>
      <c r="CS66" s="4">
        <v>0.36024713228185357</v>
      </c>
      <c r="CT66" s="4"/>
      <c r="CU66" s="4"/>
      <c r="CV66" s="4"/>
    </row>
    <row r="67" spans="2:100">
      <c r="D67" s="38">
        <v>13</v>
      </c>
      <c r="E67" s="93">
        <f>E65</f>
        <v>89426.545820937346</v>
      </c>
      <c r="F67" s="37">
        <f t="shared" si="87"/>
        <v>0.95745766403573174</v>
      </c>
      <c r="G67" s="38">
        <f t="shared" ref="G67:P67" si="110">G65</f>
        <v>72321.87</v>
      </c>
      <c r="H67" s="37">
        <f t="shared" si="110"/>
        <v>0.77432408993576007</v>
      </c>
      <c r="I67" s="37">
        <f t="shared" si="110"/>
        <v>0.12094638634175547</v>
      </c>
      <c r="J67" s="38">
        <f t="shared" si="110"/>
        <v>68922.679999999993</v>
      </c>
      <c r="K67" s="37">
        <f t="shared" si="110"/>
        <v>0.9529991412003036</v>
      </c>
      <c r="L67" s="7">
        <f t="shared" si="110"/>
        <v>1602.5398412185407</v>
      </c>
      <c r="M67" s="38">
        <f t="shared" si="110"/>
        <v>62948.01</v>
      </c>
      <c r="N67" s="37">
        <f t="shared" si="110"/>
        <v>0.91331344051043872</v>
      </c>
      <c r="O67" s="50">
        <f t="shared" si="110"/>
        <v>4346.7838375437323</v>
      </c>
      <c r="P67" s="98">
        <f t="shared" si="110"/>
        <v>0.67396156316916489</v>
      </c>
      <c r="Q67" s="110">
        <f>INDEX(Daggett!$B$7:$M$21, MATCH(D67,Daggett!$A$7:$A$21,0), MATCH(B$62,Daggett!$B$6:$M$6,0))</f>
        <v>769.16129032258061</v>
      </c>
      <c r="R67" s="4">
        <f t="shared" si="88"/>
        <v>0.88245177101257255</v>
      </c>
      <c r="S67" s="98">
        <f t="shared" si="89"/>
        <v>0.59473857501303129</v>
      </c>
      <c r="T67" s="111">
        <f t="shared" si="90"/>
        <v>0.90958645251689618</v>
      </c>
      <c r="U67" s="98">
        <f t="shared" si="91"/>
        <v>0.61302630737578268</v>
      </c>
      <c r="AE67" s="38">
        <v>13</v>
      </c>
      <c r="AF67" s="93">
        <v>80304.527970151918</v>
      </c>
      <c r="AG67" s="37">
        <f t="shared" si="92"/>
        <v>0.85979152002303982</v>
      </c>
      <c r="AH67" s="38">
        <v>67582.053799999994</v>
      </c>
      <c r="AI67" s="37">
        <f t="shared" si="81"/>
        <v>0.72357659314775158</v>
      </c>
      <c r="AJ67" s="37">
        <f t="shared" si="93"/>
        <v>8.5247669250501312E-2</v>
      </c>
      <c r="AK67" s="38">
        <v>63405.797299999998</v>
      </c>
      <c r="AL67" s="37">
        <f t="shared" si="94"/>
        <v>0.93820465249015561</v>
      </c>
      <c r="AM67" s="7">
        <f t="shared" si="82"/>
        <v>1474.2653120493426</v>
      </c>
      <c r="AN67" s="38">
        <v>58023.924059999998</v>
      </c>
      <c r="AO67" s="37">
        <f t="shared" si="95"/>
        <v>0.91512017088065223</v>
      </c>
      <c r="AP67" s="50">
        <f t="shared" si="83"/>
        <v>4006.7582008529398</v>
      </c>
      <c r="AQ67" s="98">
        <f t="shared" si="96"/>
        <v>0.6212411569593147</v>
      </c>
      <c r="AR67" s="110">
        <f>INDEX(Daggett!$B$7:$M$21, MATCH(AE67,Daggett!$A$7:$A$21,0), MATCH(AC$62,Daggett!$B$6:$M$6,0))</f>
        <v>769.16129032258061</v>
      </c>
      <c r="AS67" s="4">
        <f t="shared" si="84"/>
        <v>0.87247627226777269</v>
      </c>
      <c r="AT67" s="98">
        <f t="shared" si="97"/>
        <v>0.54201816880318121</v>
      </c>
      <c r="AU67" s="111">
        <f t="shared" si="98"/>
        <v>0.90191368503073455</v>
      </c>
      <c r="AV67" s="98">
        <f t="shared" si="99"/>
        <v>0.56030590116593249</v>
      </c>
      <c r="BF67" s="38">
        <v>13</v>
      </c>
      <c r="BG67" s="93">
        <f>AF65</f>
        <v>71100.212412623514</v>
      </c>
      <c r="BH67" s="37">
        <f t="shared" si="100"/>
        <v>0.76124424424650439</v>
      </c>
      <c r="BI67" s="38">
        <f t="shared" ref="BI67:BP67" si="111">AH65</f>
        <v>62554.131000000001</v>
      </c>
      <c r="BJ67" s="37">
        <f t="shared" si="111"/>
        <v>0.66974444325481797</v>
      </c>
      <c r="BK67" s="37">
        <f t="shared" si="111"/>
        <v>4.3693143171229742E-2</v>
      </c>
      <c r="BL67" s="38">
        <f t="shared" si="111"/>
        <v>57601.381999999998</v>
      </c>
      <c r="BM67" s="37">
        <f t="shared" si="111"/>
        <v>0.92082458950632684</v>
      </c>
      <c r="BN67" s="7">
        <f t="shared" si="111"/>
        <v>1339.3052847661829</v>
      </c>
      <c r="BO67" s="38">
        <f t="shared" si="111"/>
        <v>52825.517599999999</v>
      </c>
      <c r="BP67" s="37">
        <f t="shared" si="111"/>
        <v>0.91708767681997627</v>
      </c>
      <c r="BQ67" s="50">
        <f>AP65</f>
        <v>3647.7897571910839</v>
      </c>
      <c r="BR67" s="98">
        <f t="shared" si="102"/>
        <v>0.56558370021413273</v>
      </c>
      <c r="BS67" s="110">
        <f>INDEX(Daggett!$B$7:$M$21, MATCH(BF67,Daggett!$A$7:$A$21,0), MATCH(BD$62,Daggett!$B$6:$M$6,0))</f>
        <v>769.16129032258061</v>
      </c>
      <c r="BT67" s="4">
        <f t="shared" si="86"/>
        <v>0.85992703091312683</v>
      </c>
      <c r="BU67" s="98">
        <f t="shared" si="103"/>
        <v>0.48636071205799919</v>
      </c>
      <c r="BV67" s="111">
        <f t="shared" si="104"/>
        <v>0.89226129435782575</v>
      </c>
      <c r="BW67" s="98">
        <f t="shared" si="105"/>
        <v>0.50464844442075052</v>
      </c>
      <c r="CQ67" s="2">
        <v>2300</v>
      </c>
      <c r="CR67" s="7">
        <v>920.03234327993164</v>
      </c>
      <c r="CS67" s="4">
        <v>0.33009917698332553</v>
      </c>
      <c r="CT67" s="4"/>
      <c r="CU67" s="4"/>
      <c r="CV67" s="4"/>
    </row>
    <row r="68" spans="2:100">
      <c r="D68" s="38">
        <v>14</v>
      </c>
      <c r="E68" s="93">
        <f>E64</f>
        <v>87241.598906092273</v>
      </c>
      <c r="F68" s="37">
        <f t="shared" si="87"/>
        <v>0.9340642281166196</v>
      </c>
      <c r="G68" s="38">
        <f t="shared" ref="G68:P68" si="112">G64</f>
        <v>70144.77</v>
      </c>
      <c r="H68" s="37">
        <f t="shared" si="112"/>
        <v>0.75101466809421846</v>
      </c>
      <c r="I68" s="37">
        <f t="shared" si="112"/>
        <v>0.12605550364268947</v>
      </c>
      <c r="J68" s="38">
        <f t="shared" si="112"/>
        <v>66439.100000000006</v>
      </c>
      <c r="K68" s="37">
        <f t="shared" si="112"/>
        <v>0.94717111482438399</v>
      </c>
      <c r="L68" s="7">
        <f t="shared" si="112"/>
        <v>1544.793452093023</v>
      </c>
      <c r="M68" s="38">
        <f t="shared" si="112"/>
        <v>60598.6</v>
      </c>
      <c r="N68" s="37">
        <f t="shared" si="112"/>
        <v>0.9120924275012755</v>
      </c>
      <c r="O68" s="50">
        <f t="shared" si="112"/>
        <v>4184.5487261277613</v>
      </c>
      <c r="P68" s="98">
        <f t="shared" si="112"/>
        <v>0.64880728051391856</v>
      </c>
      <c r="Q68" s="110">
        <f>INDEX(Daggett!$B$7:$M$21, MATCH(D68,Daggett!$A$7:$A$21,0), MATCH(B$62,Daggett!$B$6:$M$6,0))</f>
        <v>744.12903225806451</v>
      </c>
      <c r="R68" s="4">
        <f t="shared" si="88"/>
        <v>0.87378682990929846</v>
      </c>
      <c r="S68" s="98">
        <f t="shared" si="89"/>
        <v>0.5669192568623298</v>
      </c>
      <c r="T68" s="111">
        <f t="shared" si="90"/>
        <v>0.90608111588218376</v>
      </c>
      <c r="U68" s="98">
        <f t="shared" si="91"/>
        <v>0.58787202472053635</v>
      </c>
      <c r="AE68" s="38">
        <v>14</v>
      </c>
      <c r="AF68" s="93">
        <v>83341.336493212701</v>
      </c>
      <c r="AG68" s="37">
        <f t="shared" si="92"/>
        <v>0.8923055299059176</v>
      </c>
      <c r="AH68" s="38">
        <v>68212.515100000004</v>
      </c>
      <c r="AI68" s="37">
        <f t="shared" si="81"/>
        <v>0.7303267141327624</v>
      </c>
      <c r="AJ68" s="37">
        <f t="shared" si="93"/>
        <v>0.11035698163765129</v>
      </c>
      <c r="AK68" s="38">
        <v>64341.974000000002</v>
      </c>
      <c r="AL68" s="37">
        <f t="shared" si="94"/>
        <v>0.94325761050848567</v>
      </c>
      <c r="AM68" s="7">
        <f t="shared" si="82"/>
        <v>1496.0326092608047</v>
      </c>
      <c r="AN68" s="38">
        <v>58918.601159999998</v>
      </c>
      <c r="AO68" s="37">
        <f t="shared" si="95"/>
        <v>0.91571018881080646</v>
      </c>
      <c r="AP68" s="50">
        <f t="shared" si="83"/>
        <v>4068.5388347141293</v>
      </c>
      <c r="AQ68" s="98">
        <f t="shared" si="96"/>
        <v>0.63082014089935756</v>
      </c>
      <c r="AR68" s="110">
        <f>INDEX(Daggett!$B$7:$M$21, MATCH(AE68,Daggett!$A$7:$A$21,0), MATCH(AC$62,Daggett!$B$6:$M$6,0))</f>
        <v>744.12903225806451</v>
      </c>
      <c r="AS68" s="4">
        <f t="shared" si="84"/>
        <v>0.87018800075907332</v>
      </c>
      <c r="AT68" s="98">
        <f t="shared" si="97"/>
        <v>0.54893211724776891</v>
      </c>
      <c r="AU68" s="111">
        <f t="shared" si="98"/>
        <v>0.90340312262936462</v>
      </c>
      <c r="AV68" s="98">
        <f t="shared" si="99"/>
        <v>0.56988488510597535</v>
      </c>
      <c r="BF68" s="38">
        <v>14</v>
      </c>
      <c r="BG68" s="93">
        <f>AF64</f>
        <v>65217.092076203415</v>
      </c>
      <c r="BH68" s="37">
        <f t="shared" si="100"/>
        <v>0.69825580381374108</v>
      </c>
      <c r="BI68" s="38">
        <f t="shared" ref="BI68:BP68" si="113">AH64</f>
        <v>58746.75</v>
      </c>
      <c r="BJ68" s="37">
        <f t="shared" si="113"/>
        <v>0.62898019271948613</v>
      </c>
      <c r="BK68" s="37">
        <f t="shared" si="113"/>
        <v>2.0883007649801333E-2</v>
      </c>
      <c r="BL68" s="38">
        <f t="shared" si="113"/>
        <v>52878.343308000003</v>
      </c>
      <c r="BM68" s="37">
        <f t="shared" si="113"/>
        <v>0.90010670050683661</v>
      </c>
      <c r="BN68" s="7">
        <f t="shared" si="113"/>
        <v>1229.4886369581363</v>
      </c>
      <c r="BO68" s="38">
        <f t="shared" si="113"/>
        <v>48540.370799999997</v>
      </c>
      <c r="BP68" s="37">
        <f t="shared" si="113"/>
        <v>0.91796315397529271</v>
      </c>
      <c r="BQ68" s="50">
        <f>AP64</f>
        <v>3351.8851392096381</v>
      </c>
      <c r="BR68" s="98">
        <f t="shared" si="102"/>
        <v>0.51970418415417552</v>
      </c>
      <c r="BS68" s="110">
        <f>INDEX(Daggett!$B$7:$M$21, MATCH(BF68,Daggett!$A$7:$A$21,0), MATCH(BD$62,Daggett!$B$6:$M$6,0))</f>
        <v>744.12903225806451</v>
      </c>
      <c r="BT68" s="4">
        <f t="shared" si="86"/>
        <v>0.84243339548081109</v>
      </c>
      <c r="BU68" s="98">
        <f t="shared" si="103"/>
        <v>0.43781616050258682</v>
      </c>
      <c r="BV68" s="111">
        <f t="shared" si="104"/>
        <v>0.88275011506294676</v>
      </c>
      <c r="BW68" s="98">
        <f t="shared" si="105"/>
        <v>0.4587689283607933</v>
      </c>
    </row>
    <row r="69" spans="2:100" ht="16.5">
      <c r="C69" s="7"/>
      <c r="D69" s="38">
        <v>15</v>
      </c>
      <c r="E69" s="93">
        <f>E63</f>
        <v>83648.561859884285</v>
      </c>
      <c r="F69" s="37">
        <f t="shared" si="87"/>
        <v>0.89559488072681248</v>
      </c>
      <c r="G69" s="38">
        <f t="shared" ref="G69:P69" si="114">G63</f>
        <v>65672.399999999994</v>
      </c>
      <c r="H69" s="37">
        <f t="shared" si="114"/>
        <v>0.70313062098501067</v>
      </c>
      <c r="I69" s="37">
        <f t="shared" si="114"/>
        <v>0.14663155120549243</v>
      </c>
      <c r="J69" s="38">
        <f t="shared" si="114"/>
        <v>62170.387999999999</v>
      </c>
      <c r="K69" s="37">
        <f t="shared" si="114"/>
        <v>0.94667452384867923</v>
      </c>
      <c r="L69" s="7">
        <f t="shared" si="114"/>
        <v>1445.5404768650185</v>
      </c>
      <c r="M69" s="38">
        <f t="shared" si="114"/>
        <v>57505.29</v>
      </c>
      <c r="N69" s="37">
        <f t="shared" si="114"/>
        <v>0.92496270089226407</v>
      </c>
      <c r="O69" s="50">
        <f t="shared" si="114"/>
        <v>3970.9446755388326</v>
      </c>
      <c r="P69" s="98">
        <f t="shared" si="114"/>
        <v>0.61568832976445398</v>
      </c>
      <c r="Q69" s="110">
        <f>INDEX(Daggett!$B$7:$M$21, MATCH(D69,Daggett!$A$7:$A$21,0), MATCH(B$62,Daggett!$B$6:$M$6,0))</f>
        <v>701.32258064516134</v>
      </c>
      <c r="R69" s="4">
        <f t="shared" si="88"/>
        <v>0.85887956885396188</v>
      </c>
      <c r="S69" s="98">
        <f t="shared" si="89"/>
        <v>0.5288021272165101</v>
      </c>
      <c r="T69" s="111">
        <f t="shared" si="90"/>
        <v>0.90102905504690267</v>
      </c>
      <c r="U69" s="98">
        <f t="shared" si="91"/>
        <v>0.55475307397107176</v>
      </c>
      <c r="AD69" s="7"/>
      <c r="AE69" s="38">
        <v>15</v>
      </c>
      <c r="AF69" s="93">
        <v>85212.629097835685</v>
      </c>
      <c r="AG69" s="37">
        <f t="shared" si="92"/>
        <v>0.91234078263207374</v>
      </c>
      <c r="AH69" s="38">
        <v>67220.964000000007</v>
      </c>
      <c r="AI69" s="37">
        <f t="shared" si="81"/>
        <v>0.71971053533190588</v>
      </c>
      <c r="AJ69" s="37">
        <f t="shared" si="93"/>
        <v>0.14254182753238021</v>
      </c>
      <c r="AK69" s="38">
        <v>63692.947999999997</v>
      </c>
      <c r="AL69" s="37">
        <f t="shared" si="94"/>
        <v>0.94751613499621923</v>
      </c>
      <c r="AM69" s="7">
        <f t="shared" si="82"/>
        <v>1480.9419305032939</v>
      </c>
      <c r="AN69" s="38">
        <v>58410.851000000002</v>
      </c>
      <c r="AO69" s="37">
        <f t="shared" si="95"/>
        <v>0.91706935907567044</v>
      </c>
      <c r="AP69" s="50">
        <f t="shared" si="83"/>
        <v>4033.4768813815581</v>
      </c>
      <c r="AQ69" s="98">
        <f t="shared" si="96"/>
        <v>0.62538384368308353</v>
      </c>
      <c r="AR69" s="110">
        <f>INDEX(Daggett!$B$7:$M$21, MATCH(AE69,Daggett!$A$7:$A$21,0), MATCH(AC$62,Daggett!$B$6:$M$6,0))</f>
        <v>701.32258064516134</v>
      </c>
      <c r="AS69" s="4">
        <f t="shared" si="84"/>
        <v>0.86106740136386717</v>
      </c>
      <c r="AT69" s="98">
        <f t="shared" si="97"/>
        <v>0.53849764113513965</v>
      </c>
      <c r="AU69" s="111">
        <f t="shared" si="98"/>
        <v>0.90256343138876893</v>
      </c>
      <c r="AV69" s="98">
        <f t="shared" si="99"/>
        <v>0.56444858788970131</v>
      </c>
      <c r="BE69" s="7"/>
      <c r="BF69" s="38">
        <v>15</v>
      </c>
      <c r="BG69" s="93">
        <f>AF63</f>
        <v>58758.787215544551</v>
      </c>
      <c r="BH69" s="37">
        <f t="shared" si="100"/>
        <v>0.62910907083024148</v>
      </c>
      <c r="BI69" s="38">
        <f t="shared" ref="BI69:BP69" si="115">AH63</f>
        <v>53492.760999999999</v>
      </c>
      <c r="BJ69" s="37">
        <f t="shared" si="115"/>
        <v>0.57272763383297642</v>
      </c>
      <c r="BK69" s="37">
        <f t="shared" si="115"/>
        <v>1.0457700199084208E-2</v>
      </c>
      <c r="BL69" s="38">
        <f t="shared" si="115"/>
        <v>46637.245699999999</v>
      </c>
      <c r="BM69" s="37">
        <f t="shared" si="115"/>
        <v>0.87184218627264354</v>
      </c>
      <c r="BN69" s="7">
        <f t="shared" si="115"/>
        <v>1084.3751914311526</v>
      </c>
      <c r="BO69" s="38">
        <f t="shared" si="115"/>
        <v>42757.07</v>
      </c>
      <c r="BP69" s="37">
        <f t="shared" si="115"/>
        <v>0.91680092505977473</v>
      </c>
      <c r="BQ69" s="50">
        <f>AP63</f>
        <v>2952.5276623792547</v>
      </c>
      <c r="BR69" s="98">
        <f t="shared" si="102"/>
        <v>0.45778447537473232</v>
      </c>
      <c r="BS69" s="110">
        <f>INDEX(Daggett!$B$7:$M$21, MATCH(BF69,Daggett!$A$7:$A$21,0), MATCH(BD$62,Daggett!$B$6:$M$6,0))</f>
        <v>701.32258064516134</v>
      </c>
      <c r="BT69" s="4">
        <f t="shared" si="86"/>
        <v>0.81020281983826403</v>
      </c>
      <c r="BU69" s="98">
        <f t="shared" si="103"/>
        <v>0.37089827282678844</v>
      </c>
      <c r="BV69" s="111">
        <f t="shared" si="104"/>
        <v>0.86689095180979669</v>
      </c>
      <c r="BW69" s="98">
        <f t="shared" si="105"/>
        <v>0.39684921958135017</v>
      </c>
      <c r="CR69" s="1" t="s">
        <v>133</v>
      </c>
      <c r="CS69" s="2">
        <v>35</v>
      </c>
      <c r="CT69" s="72" t="s">
        <v>134</v>
      </c>
      <c r="CU69">
        <v>35</v>
      </c>
    </row>
    <row r="70" spans="2:100">
      <c r="C70" s="7" t="s">
        <v>160</v>
      </c>
      <c r="D70" s="38">
        <v>16</v>
      </c>
      <c r="E70" s="93">
        <f>E62</f>
        <v>78720.882669289465</v>
      </c>
      <c r="F70" s="37">
        <f t="shared" si="87"/>
        <v>0.84283600288318483</v>
      </c>
      <c r="G70" s="38">
        <f t="shared" ref="G70:P70" si="116">G62</f>
        <v>55403.5</v>
      </c>
      <c r="H70" s="37">
        <f t="shared" si="116"/>
        <v>0.59318522483940039</v>
      </c>
      <c r="I70" s="37">
        <f t="shared" si="116"/>
        <v>0.2350035516602843</v>
      </c>
      <c r="J70" s="38">
        <f t="shared" si="116"/>
        <v>51748.79</v>
      </c>
      <c r="K70" s="37">
        <f t="shared" si="116"/>
        <v>0.93403467289972653</v>
      </c>
      <c r="L70" s="7">
        <f t="shared" si="116"/>
        <v>1203.2250880240235</v>
      </c>
      <c r="M70" s="38">
        <f t="shared" si="116"/>
        <v>47665.146000000001</v>
      </c>
      <c r="N70" s="37">
        <f t="shared" si="116"/>
        <v>0.92108715971909683</v>
      </c>
      <c r="O70" s="50">
        <f t="shared" si="116"/>
        <v>3291.4477558061367</v>
      </c>
      <c r="P70" s="98">
        <f t="shared" si="116"/>
        <v>0.51033346895074949</v>
      </c>
      <c r="Q70" s="110">
        <f>INDEX(Daggett!$B$7:$M$21, MATCH(D70,Daggett!$A$7:$A$21,0), MATCH(B$62,Daggett!$B$6:$M$6,0))</f>
        <v>624.19354838709683</v>
      </c>
      <c r="R70" s="4">
        <f t="shared" si="88"/>
        <v>0.80870865902017885</v>
      </c>
      <c r="S70" s="98">
        <f t="shared" si="89"/>
        <v>0.41271109532827671</v>
      </c>
      <c r="T70" s="111">
        <f t="shared" si="90"/>
        <v>0.88059717909807944</v>
      </c>
      <c r="U70" s="98">
        <f t="shared" si="91"/>
        <v>0.44939821315736733</v>
      </c>
      <c r="AD70" s="7" t="s">
        <v>160</v>
      </c>
      <c r="AE70" s="38">
        <v>16</v>
      </c>
      <c r="AF70" s="93">
        <v>85870.14748385211</v>
      </c>
      <c r="AG70" s="37">
        <f t="shared" si="92"/>
        <v>0.91938059404552586</v>
      </c>
      <c r="AH70" s="38">
        <v>56572.124689999997</v>
      </c>
      <c r="AI70" s="37">
        <f t="shared" si="81"/>
        <v>0.60569726648822264</v>
      </c>
      <c r="AJ70" s="37">
        <f t="shared" si="93"/>
        <v>0.28390201155764583</v>
      </c>
      <c r="AK70" s="38">
        <v>53581.399429999998</v>
      </c>
      <c r="AL70" s="37">
        <f t="shared" si="94"/>
        <v>0.94713429491311552</v>
      </c>
      <c r="AM70" s="7">
        <f t="shared" si="82"/>
        <v>1245.8355846699433</v>
      </c>
      <c r="AN70" s="38">
        <v>48558.887999999999</v>
      </c>
      <c r="AO70" s="37">
        <f t="shared" si="95"/>
        <v>0.90626389972211296</v>
      </c>
      <c r="AP70" s="50">
        <f t="shared" si="83"/>
        <v>3353.1638176885381</v>
      </c>
      <c r="AQ70" s="98">
        <f t="shared" si="96"/>
        <v>0.51990244111349038</v>
      </c>
      <c r="AR70" s="110">
        <f>INDEX(Daggett!$B$7:$M$21, MATCH(AE70,Daggett!$A$7:$A$21,0), MATCH(AC$62,Daggett!$B$6:$M$6,0))</f>
        <v>624.19354838709683</v>
      </c>
      <c r="AS70" s="4">
        <f t="shared" si="84"/>
        <v>0.8122294378664735</v>
      </c>
      <c r="AT70" s="98">
        <f t="shared" si="97"/>
        <v>0.42228006749101765</v>
      </c>
      <c r="AU70" s="111">
        <f t="shared" si="98"/>
        <v>0.88279482653923425</v>
      </c>
      <c r="AV70" s="98">
        <f t="shared" si="99"/>
        <v>0.45896718532010816</v>
      </c>
      <c r="BE70" s="7" t="s">
        <v>160</v>
      </c>
      <c r="BF70" s="38">
        <v>16</v>
      </c>
      <c r="BG70" s="93">
        <f>AF62</f>
        <v>52034.765759578651</v>
      </c>
      <c r="BH70" s="37">
        <f t="shared" si="100"/>
        <v>0.55711740641947161</v>
      </c>
      <c r="BI70" s="38">
        <f t="shared" ref="BI70:BP70" si="117">AH62</f>
        <v>43321.8</v>
      </c>
      <c r="BJ70" s="37">
        <f t="shared" si="117"/>
        <v>0.46383083511777307</v>
      </c>
      <c r="BK70" s="37">
        <f t="shared" si="117"/>
        <v>9.5049005100785844E-2</v>
      </c>
      <c r="BL70" s="38">
        <f t="shared" si="117"/>
        <v>36332.620000000003</v>
      </c>
      <c r="BM70" s="37">
        <f t="shared" si="117"/>
        <v>0.83866829171456403</v>
      </c>
      <c r="BN70" s="7">
        <f t="shared" si="117"/>
        <v>844.77955711898585</v>
      </c>
      <c r="BO70" s="38">
        <f t="shared" si="117"/>
        <v>33372.247000000003</v>
      </c>
      <c r="BP70" s="37">
        <f t="shared" si="117"/>
        <v>0.91852024434241186</v>
      </c>
      <c r="BQ70" s="50">
        <f>AP62</f>
        <v>2304.4722761230623</v>
      </c>
      <c r="BR70" s="98">
        <f t="shared" si="102"/>
        <v>0.35730457173447538</v>
      </c>
      <c r="BS70" s="110">
        <f>INDEX(Daggett!$B$7:$M$21, MATCH(BF70,Daggett!$A$7:$A$21,0), MATCH(BD$62,Daggett!$B$6:$M$6,0))</f>
        <v>624.19354838709683</v>
      </c>
      <c r="BT70" s="4">
        <f t="shared" si="86"/>
        <v>0.72678106762367678</v>
      </c>
      <c r="BU70" s="98">
        <f t="shared" si="103"/>
        <v>0.2596821981120026</v>
      </c>
      <c r="BV70" s="111">
        <f t="shared" si="104"/>
        <v>0.82945850511348862</v>
      </c>
      <c r="BW70" s="98">
        <f t="shared" si="105"/>
        <v>0.29636931594109323</v>
      </c>
      <c r="CQ70" s="2"/>
      <c r="CR70" s="2" t="s">
        <v>162</v>
      </c>
      <c r="CS70" s="2" t="s">
        <v>163</v>
      </c>
    </row>
    <row r="71" spans="2:100">
      <c r="C71" s="7">
        <f>ROW(D71)-ROW(D61)+1</f>
        <v>11</v>
      </c>
      <c r="D71" s="38">
        <v>17</v>
      </c>
      <c r="E71" s="93">
        <f>E61</f>
        <v>72563.325603432488</v>
      </c>
      <c r="F71" s="37">
        <f t="shared" si="87"/>
        <v>0.7769092677027033</v>
      </c>
      <c r="G71" s="38">
        <f t="shared" ref="G71:P71" si="118">G61</f>
        <v>34367.46</v>
      </c>
      <c r="H71" s="37">
        <f t="shared" si="118"/>
        <v>0.36795995717344754</v>
      </c>
      <c r="I71" s="37">
        <f t="shared" si="118"/>
        <v>0.48519538662321682</v>
      </c>
      <c r="J71" s="38">
        <f t="shared" si="118"/>
        <v>31399.86</v>
      </c>
      <c r="K71" s="37">
        <f t="shared" si="118"/>
        <v>0.91365087789438038</v>
      </c>
      <c r="L71" s="7">
        <f t="shared" si="118"/>
        <v>730.08662255565821</v>
      </c>
      <c r="M71" s="38">
        <f t="shared" si="118"/>
        <v>28742.41158</v>
      </c>
      <c r="N71" s="37">
        <f t="shared" si="118"/>
        <v>0.91536750737105199</v>
      </c>
      <c r="O71" s="50">
        <f t="shared" si="118"/>
        <v>1984.7656837439943</v>
      </c>
      <c r="P71" s="98">
        <f t="shared" si="118"/>
        <v>0.30773459935760172</v>
      </c>
      <c r="Q71" s="110">
        <f>INDEX(Daggett!$B$7:$M$21, MATCH(D71,Daggett!$A$7:$A$21,0), MATCH(B$62,Daggett!$B$6:$M$6,0))</f>
        <v>510.51612903225805</v>
      </c>
      <c r="R71" s="4">
        <f t="shared" si="88"/>
        <v>0.612132989181566</v>
      </c>
      <c r="S71" s="98">
        <f t="shared" si="89"/>
        <v>0.18837450017936036</v>
      </c>
      <c r="T71" s="111">
        <f t="shared" si="90"/>
        <v>0.80198763505766002</v>
      </c>
      <c r="U71" s="98">
        <f t="shared" si="91"/>
        <v>0.24679934356421951</v>
      </c>
      <c r="AD71" s="7">
        <f>ROW(AE71)-ROW(AE61)+1</f>
        <v>11</v>
      </c>
      <c r="AE71" s="38">
        <v>17</v>
      </c>
      <c r="AF71" s="93">
        <v>85297.646761304408</v>
      </c>
      <c r="AG71" s="37">
        <f t="shared" si="92"/>
        <v>0.91325103598826984</v>
      </c>
      <c r="AH71" s="38">
        <v>34360.947</v>
      </c>
      <c r="AI71" s="37">
        <f>AH71/$C$10</f>
        <v>0.36789022483940043</v>
      </c>
      <c r="AJ71" s="37">
        <f>1-AH71/(AF71*$C$8)</f>
        <v>0.56213498434137277</v>
      </c>
      <c r="AK71" s="38">
        <v>32402.848000000002</v>
      </c>
      <c r="AL71" s="37">
        <f>AK71/AH71</f>
        <v>0.94301382322204341</v>
      </c>
      <c r="AM71" s="7">
        <f t="shared" si="82"/>
        <v>753.40736734190421</v>
      </c>
      <c r="AN71" s="38">
        <v>29173.83</v>
      </c>
      <c r="AO71" s="37">
        <f t="shared" si="95"/>
        <v>0.90034771017658699</v>
      </c>
      <c r="AP71" s="50">
        <f t="shared" si="83"/>
        <v>2014.5566591104064</v>
      </c>
      <c r="AQ71" s="98">
        <f t="shared" si="96"/>
        <v>0.31235364025695933</v>
      </c>
      <c r="AR71" s="110">
        <f>INDEX(Daggett!$B$7:$M$21, MATCH(AE71,Daggett!$A$7:$A$21,0), MATCH(AC$62,Daggett!$B$6:$M$6,0))</f>
        <v>510.51612903225805</v>
      </c>
      <c r="AS71" s="4">
        <f t="shared" si="84"/>
        <v>0.61786871099037244</v>
      </c>
      <c r="AT71" s="98">
        <f t="shared" si="97"/>
        <v>0.19299354107871797</v>
      </c>
      <c r="AU71" s="111">
        <f>IF(1-$H$7*(($H$5+273)^4-298^4)/(AP71*1000)&lt;0,#N/A,1-$H$7*(($H$5+273)^4-298^4)/(AP71*1000))</f>
        <v>0.80491581355269792</v>
      </c>
      <c r="AV71" s="98">
        <f t="shared" si="99"/>
        <v>0.25141838446357717</v>
      </c>
      <c r="BE71" s="7">
        <f>ROW(BF71)-ROW(BF61)+1</f>
        <v>11</v>
      </c>
      <c r="BF71" s="38">
        <v>17</v>
      </c>
      <c r="BG71" s="93">
        <f>AF61</f>
        <v>45487.114658363287</v>
      </c>
      <c r="BH71" s="37">
        <f t="shared" si="100"/>
        <v>0.48701407557134141</v>
      </c>
      <c r="BI71" s="38">
        <f t="shared" ref="BI71:BP71" si="119">AH61</f>
        <v>25025.050200000001</v>
      </c>
      <c r="BJ71" s="37">
        <f t="shared" si="119"/>
        <v>0.26793415631691653</v>
      </c>
      <c r="BK71" s="37">
        <f t="shared" si="119"/>
        <v>0.4020033645563863</v>
      </c>
      <c r="BL71" s="38">
        <f t="shared" si="119"/>
        <v>19879.028620000001</v>
      </c>
      <c r="BM71" s="37">
        <f t="shared" si="119"/>
        <v>0.79436518453017924</v>
      </c>
      <c r="BN71" s="7">
        <f t="shared" si="119"/>
        <v>462.21266161260166</v>
      </c>
      <c r="BO71" s="38">
        <f t="shared" si="119"/>
        <v>18446.386999999999</v>
      </c>
      <c r="BP71" s="37">
        <f t="shared" si="119"/>
        <v>0.92793201079459975</v>
      </c>
      <c r="BQ71" s="50">
        <f>AP61</f>
        <v>1273.7885895467832</v>
      </c>
      <c r="BR71" s="98">
        <f t="shared" si="102"/>
        <v>0.19749879014989291</v>
      </c>
      <c r="BS71" s="110">
        <f>INDEX(Daggett!$B$7:$M$21, MATCH(BF71,Daggett!$A$7:$A$21,0), MATCH(BD$62,Daggett!$B$6:$M$6,0))</f>
        <v>510.51612903225805</v>
      </c>
      <c r="BT71" s="4">
        <f t="shared" si="86"/>
        <v>0.39564136525771987</v>
      </c>
      <c r="BU71" s="98">
        <f t="shared" si="103"/>
        <v>7.8138690971651548E-2</v>
      </c>
      <c r="BV71" s="111">
        <f t="shared" si="104"/>
        <v>0.6914651692441508</v>
      </c>
      <c r="BW71" s="98">
        <f t="shared" si="105"/>
        <v>0.13656353435651072</v>
      </c>
      <c r="CQ71" s="2">
        <v>1000</v>
      </c>
      <c r="CR71" s="7">
        <v>1333.7560623518289</v>
      </c>
      <c r="CS71" s="4">
        <v>0.47853945754698468</v>
      </c>
    </row>
    <row r="72" spans="2:100">
      <c r="E72" s="94"/>
      <c r="P72" s="95"/>
      <c r="Q72" s="94"/>
      <c r="S72" s="95"/>
      <c r="T72" s="94"/>
      <c r="U72" s="95"/>
      <c r="AF72" s="94"/>
      <c r="AQ72" s="95"/>
      <c r="AR72" s="94"/>
      <c r="AT72" s="95"/>
      <c r="AU72" s="94"/>
      <c r="AV72" s="95"/>
      <c r="BG72" s="94"/>
      <c r="BR72" s="95"/>
      <c r="BS72" s="94"/>
      <c r="BU72" s="95"/>
      <c r="BV72" s="94"/>
      <c r="BW72" s="95"/>
      <c r="CQ72" s="2">
        <v>1100</v>
      </c>
      <c r="CR72" s="7">
        <v>1312.7912222073494</v>
      </c>
      <c r="CS72" s="4">
        <v>0.47101746494767233</v>
      </c>
    </row>
    <row r="73" spans="2:100">
      <c r="E73" s="94"/>
      <c r="P73" s="95"/>
      <c r="Q73" s="94"/>
      <c r="S73" s="95"/>
      <c r="T73" s="94"/>
      <c r="U73" s="95"/>
      <c r="AF73" s="94"/>
      <c r="AQ73" s="95"/>
      <c r="AR73" s="94"/>
      <c r="AT73" s="95"/>
      <c r="AU73" s="94"/>
      <c r="AV73" s="95"/>
      <c r="BG73" s="94"/>
      <c r="BR73" s="95"/>
      <c r="BS73" s="94"/>
      <c r="BU73" s="95"/>
      <c r="BV73" s="94"/>
      <c r="BW73" s="95"/>
      <c r="CQ73" s="2">
        <v>1200</v>
      </c>
      <c r="CR73" s="7">
        <v>1286.7091126043535</v>
      </c>
      <c r="CS73" s="4">
        <v>0.46165944294244138</v>
      </c>
    </row>
    <row r="74" spans="2:100">
      <c r="E74" s="94"/>
      <c r="P74" s="95"/>
      <c r="Q74" s="94"/>
      <c r="S74" s="95"/>
      <c r="T74" s="94"/>
      <c r="U74" s="95"/>
      <c r="AF74" s="94"/>
      <c r="AQ74" s="95"/>
      <c r="AR74" s="94"/>
      <c r="AT74" s="95"/>
      <c r="AU74" s="94"/>
      <c r="AV74" s="95"/>
      <c r="BG74" s="94"/>
      <c r="BR74" s="95"/>
      <c r="BS74" s="94"/>
      <c r="BU74" s="95"/>
      <c r="BV74" s="94"/>
      <c r="BW74" s="95"/>
      <c r="CQ74" s="2">
        <v>1300</v>
      </c>
      <c r="CR74" s="7">
        <v>1254.7378561670228</v>
      </c>
      <c r="CS74" s="4">
        <v>0.45018844899948751</v>
      </c>
    </row>
    <row r="75" spans="2:100" ht="49.5">
      <c r="B75" s="34"/>
      <c r="C75" s="64" t="s">
        <v>149</v>
      </c>
      <c r="D75" s="64" t="s">
        <v>87</v>
      </c>
      <c r="E75" s="96" t="s">
        <v>150</v>
      </c>
      <c r="F75" s="64" t="s">
        <v>123</v>
      </c>
      <c r="G75" s="64" t="s">
        <v>151</v>
      </c>
      <c r="H75" s="33" t="s">
        <v>152</v>
      </c>
      <c r="I75" s="34" t="s">
        <v>153</v>
      </c>
      <c r="J75" s="92" t="s">
        <v>154</v>
      </c>
      <c r="K75" s="35" t="s">
        <v>155</v>
      </c>
      <c r="L75" s="35" t="s">
        <v>156</v>
      </c>
      <c r="M75" s="92" t="s">
        <v>157</v>
      </c>
      <c r="N75" s="35" t="s">
        <v>70</v>
      </c>
      <c r="O75" s="35" t="s">
        <v>158</v>
      </c>
      <c r="P75" s="107" t="s">
        <v>127</v>
      </c>
      <c r="Q75" s="150" t="s">
        <v>159</v>
      </c>
      <c r="R75" s="69" t="s">
        <v>128</v>
      </c>
      <c r="S75" s="107" t="s">
        <v>129</v>
      </c>
      <c r="T75" s="114" t="s">
        <v>128</v>
      </c>
      <c r="U75" s="107" t="s">
        <v>129</v>
      </c>
      <c r="AC75" s="34"/>
      <c r="AD75" s="64" t="s">
        <v>149</v>
      </c>
      <c r="AE75" s="64" t="s">
        <v>87</v>
      </c>
      <c r="AF75" s="96" t="s">
        <v>150</v>
      </c>
      <c r="AG75" s="64" t="s">
        <v>123</v>
      </c>
      <c r="AH75" s="64" t="s">
        <v>151</v>
      </c>
      <c r="AI75" s="33" t="s">
        <v>152</v>
      </c>
      <c r="AJ75" s="34" t="s">
        <v>153</v>
      </c>
      <c r="AK75" s="92" t="s">
        <v>154</v>
      </c>
      <c r="AL75" s="35" t="s">
        <v>155</v>
      </c>
      <c r="AM75" s="35" t="s">
        <v>156</v>
      </c>
      <c r="AN75" s="92" t="s">
        <v>157</v>
      </c>
      <c r="AO75" s="35" t="s">
        <v>70</v>
      </c>
      <c r="AP75" s="35" t="s">
        <v>158</v>
      </c>
      <c r="AQ75" s="107" t="s">
        <v>127</v>
      </c>
      <c r="AR75" s="150" t="s">
        <v>159</v>
      </c>
      <c r="AS75" s="69" t="s">
        <v>128</v>
      </c>
      <c r="AT75" s="107" t="s">
        <v>129</v>
      </c>
      <c r="AU75" s="114" t="s">
        <v>128</v>
      </c>
      <c r="AV75" s="107" t="s">
        <v>129</v>
      </c>
      <c r="BD75" s="34"/>
      <c r="BE75" s="64" t="s">
        <v>149</v>
      </c>
      <c r="BF75" s="64" t="s">
        <v>87</v>
      </c>
      <c r="BG75" s="96" t="s">
        <v>150</v>
      </c>
      <c r="BH75" s="64" t="s">
        <v>123</v>
      </c>
      <c r="BI75" s="64" t="s">
        <v>151</v>
      </c>
      <c r="BJ75" s="33" t="s">
        <v>152</v>
      </c>
      <c r="BK75" s="34" t="s">
        <v>153</v>
      </c>
      <c r="BL75" s="92" t="s">
        <v>154</v>
      </c>
      <c r="BM75" s="35" t="s">
        <v>155</v>
      </c>
      <c r="BN75" s="35" t="s">
        <v>156</v>
      </c>
      <c r="BO75" s="92" t="s">
        <v>157</v>
      </c>
      <c r="BP75" s="35" t="s">
        <v>70</v>
      </c>
      <c r="BQ75" s="35" t="s">
        <v>158</v>
      </c>
      <c r="BR75" s="107" t="s">
        <v>127</v>
      </c>
      <c r="BS75" s="150" t="s">
        <v>159</v>
      </c>
      <c r="BT75" s="69" t="s">
        <v>128</v>
      </c>
      <c r="BU75" s="107" t="s">
        <v>129</v>
      </c>
      <c r="BV75" s="114" t="s">
        <v>128</v>
      </c>
      <c r="BW75" s="107" t="s">
        <v>129</v>
      </c>
      <c r="CQ75" s="2">
        <v>1400</v>
      </c>
      <c r="CR75" s="7">
        <v>1216.0513325556706</v>
      </c>
      <c r="CS75" s="4">
        <v>0.43630807870845328</v>
      </c>
    </row>
    <row r="76" spans="2:100">
      <c r="B76" s="2" t="s">
        <v>86</v>
      </c>
      <c r="C76" s="7">
        <v>112</v>
      </c>
      <c r="D76" s="38">
        <v>7</v>
      </c>
      <c r="E76" s="93">
        <v>70553.508144956606</v>
      </c>
      <c r="F76" s="37">
        <f t="shared" ref="F76:F86" si="120">E76/$C$10</f>
        <v>0.75539087949632344</v>
      </c>
      <c r="G76" s="38">
        <v>36975</v>
      </c>
      <c r="H76" s="37">
        <f t="shared" ref="H76:H81" si="121">G76/$C$10</f>
        <v>0.39587794432548179</v>
      </c>
      <c r="I76" s="37">
        <f t="shared" ref="I76:I81" si="122">1-G76/(E76*$C$8)</f>
        <v>0.43035834151958785</v>
      </c>
      <c r="J76" s="38">
        <v>33574.82</v>
      </c>
      <c r="K76" s="37">
        <f t="shared" ref="K76:K81" si="123">J76/G76</f>
        <v>0.90804110885733602</v>
      </c>
      <c r="L76" s="7">
        <f t="shared" ref="L76:L81" si="124">J76/(PI()*$C$18^2)</f>
        <v>780.65720473639567</v>
      </c>
      <c r="M76" s="38">
        <v>30551.144</v>
      </c>
      <c r="N76" s="37">
        <f t="shared" ref="N76:N81" si="125">M76/J76</f>
        <v>0.90994215307781245</v>
      </c>
      <c r="O76" s="50">
        <f t="shared" ref="O76:O81" si="126">M76/(PI()*$C$19^2)</f>
        <v>2109.6650864367462</v>
      </c>
      <c r="P76" s="98">
        <f t="shared" ref="P76:P81" si="127">M76/$C$10</f>
        <v>0.32710004282655247</v>
      </c>
      <c r="Q76" s="110">
        <f>INDEX(Daggett!$B$7:$M$21, MATCH(D76,Daggett!$A$7:$A$21,0), MATCH(B$77,Daggett!$B$6:$M$6,0))</f>
        <v>510.9</v>
      </c>
      <c r="R76" s="4">
        <f t="shared" ref="R76:R86" si="128">IF(1-$H$7*(($H$5+273)^4-298^4)*(PI()*$C$19^2)*1000/(M76*Q76*1000)&lt;0,#N/A,1-$H$7*(($H$5+273)^4-298^4)*(PI()*$C$19^2)*1000/(M76*Q76*1000))</f>
        <v>0.63537022044916758</v>
      </c>
      <c r="S76" s="98">
        <f>R76*P76</f>
        <v>0.2078296263196388</v>
      </c>
      <c r="T76" s="111">
        <f>IF(1-$H$7*(($H$5+273)^4-298^4)/(O76*1000)&lt;0,#N/A,1-$H$7*(($H$5+273)^4-298^4)/(O76*1000))</f>
        <v>0.81371064562747975</v>
      </c>
      <c r="U76" s="98">
        <f>T76*P76</f>
        <v>0.26616478703317031</v>
      </c>
      <c r="AC76" s="2" t="s">
        <v>86</v>
      </c>
      <c r="AD76" s="7">
        <v>112</v>
      </c>
      <c r="AE76" s="38">
        <v>7</v>
      </c>
      <c r="AF76" s="93">
        <v>51357.305623100983</v>
      </c>
      <c r="AG76" s="37">
        <f>AF76/$C$10</f>
        <v>0.54986408590043878</v>
      </c>
      <c r="AH76" s="38">
        <v>36112.660000000003</v>
      </c>
      <c r="AI76" s="37">
        <f t="shared" ref="AI76:AI86" si="129">AH76/$C$10</f>
        <v>0.38664518201284798</v>
      </c>
      <c r="AJ76" s="37">
        <f>1-AH76/(AF76*$C$8)</f>
        <v>0.23569021333760309</v>
      </c>
      <c r="AK76" s="38">
        <v>30059.07</v>
      </c>
      <c r="AL76" s="37">
        <f>AK76/AH76</f>
        <v>0.83236931314392226</v>
      </c>
      <c r="AM76" s="7">
        <f t="shared" ref="AM76:AM86" si="130">AK76/(PI()*$C$18^2)</f>
        <v>698.91155226373962</v>
      </c>
      <c r="AN76" s="38">
        <v>27936.46</v>
      </c>
      <c r="AO76" s="37">
        <f>AN76/AK76</f>
        <v>0.92938537353284711</v>
      </c>
      <c r="AP76" s="50">
        <f t="shared" ref="AP76:AP86" si="131">AN76/(PI()*$C$19^2)</f>
        <v>1929.111862411329</v>
      </c>
      <c r="AQ76" s="98">
        <f>AN76/$C$10</f>
        <v>0.2991055674518201</v>
      </c>
      <c r="AR76" s="110">
        <f>INDEX(Daggett!$B$7:$M$21, MATCH(AE76,Daggett!$A$7:$A$21,0), MATCH(AC$77,Daggett!$B$6:$M$6,0))</f>
        <v>510.9</v>
      </c>
      <c r="AS76" s="4">
        <f t="shared" ref="AS76:AS86" si="132">IF(1-$H$7*(($H$5+273)^4-298^4)*(PI()*$C$19^2)*1000/(AN76*AR76*1000)&lt;0,#N/A,1-$H$7*(($H$5+273)^4-298^4)*(PI()*$C$19^2)*1000/(AN76*AR76*1000))</f>
        <v>0.60124307440005864</v>
      </c>
      <c r="AT76" s="98">
        <f>AS76*AQ76</f>
        <v>0.17983515094490643</v>
      </c>
      <c r="AU76" s="111">
        <f>IF(1-$H$7*(($H$5+273)^4-298^4)/(AP76*1000)&lt;0,#N/A,1-$H$7*(($H$5+273)^4-298^4)/(AP76*1000))</f>
        <v>0.79627508671099001</v>
      </c>
      <c r="AV76" s="98">
        <f>AU76*AQ76</f>
        <v>0.23817031165843791</v>
      </c>
      <c r="BD76" s="2" t="s">
        <v>86</v>
      </c>
      <c r="BE76" s="7">
        <v>112</v>
      </c>
      <c r="BF76" s="38">
        <v>7</v>
      </c>
      <c r="BG76" s="93">
        <f>AF86</f>
        <v>87985.346709364938</v>
      </c>
      <c r="BH76" s="37">
        <f>BG76/$C$10</f>
        <v>0.94202726669555603</v>
      </c>
      <c r="BI76" s="38">
        <f t="shared" ref="BI76:BQ76" si="133">AH86</f>
        <v>42101.48</v>
      </c>
      <c r="BJ76" s="37">
        <f t="shared" si="133"/>
        <v>0.4507653104925054</v>
      </c>
      <c r="BK76" s="37">
        <f t="shared" si="133"/>
        <v>0.47988523120749693</v>
      </c>
      <c r="BL76" s="38">
        <f t="shared" si="133"/>
        <v>39875.580499999996</v>
      </c>
      <c r="BM76" s="37">
        <f t="shared" si="133"/>
        <v>0.94713013651776601</v>
      </c>
      <c r="BN76" s="7">
        <f t="shared" si="133"/>
        <v>927.15788827374581</v>
      </c>
      <c r="BO76" s="38">
        <f t="shared" si="133"/>
        <v>36463.56</v>
      </c>
      <c r="BP76" s="37">
        <f t="shared" si="133"/>
        <v>0.91443333345328981</v>
      </c>
      <c r="BQ76" s="50">
        <f t="shared" si="133"/>
        <v>2517.938426763707</v>
      </c>
      <c r="BR76" s="98">
        <f t="shared" ref="BR76:BR86" si="134">BO76/$C$10</f>
        <v>0.39040214132762308</v>
      </c>
      <c r="BS76" s="110">
        <f>INDEX(Daggett!$B$7:$M$21, MATCH(BF76,Daggett!$A$7:$A$21,0), MATCH(BD$77,Daggett!$B$6:$M$6,0))</f>
        <v>510.9</v>
      </c>
      <c r="BT76" s="4">
        <f t="shared" ref="BT76:BT86" si="135">IF(1-$H$7*(($H$5+273)^4-298^4)*(PI()*$C$19^2)*1000/(BO76*BS76*1000)&lt;0,#N/A,1-$H$7*(($H$5+273)^4-298^4)*(PI()*$C$19^2)*1000/(BO76*BS76*1000))</f>
        <v>0.69449343668731911</v>
      </c>
      <c r="BU76" s="98">
        <f t="shared" ref="BU76:BU86" si="136">BT76*BR76</f>
        <v>0.27113172482070941</v>
      </c>
      <c r="BV76" s="111">
        <f>IF(1-$H$7*(($H$5+273)^4-298^4)/(BQ76*1000)&lt;0,#N/A,1-$H$7*(($H$5+273)^4-298^4)/(BQ76*1000))</f>
        <v>0.8439166968035513</v>
      </c>
      <c r="BW76" s="98">
        <f>BV76*BR76</f>
        <v>0.32946688553424086</v>
      </c>
      <c r="CQ76" s="2">
        <v>1500</v>
      </c>
      <c r="CR76" s="7">
        <v>1169.7691784667454</v>
      </c>
      <c r="CS76" s="4">
        <v>0.41970246578042908</v>
      </c>
    </row>
    <row r="77" spans="2:100">
      <c r="B77" s="2">
        <v>4</v>
      </c>
      <c r="D77" s="38">
        <v>8</v>
      </c>
      <c r="E77" s="93">
        <v>76753.263206747331</v>
      </c>
      <c r="F77" s="37">
        <f t="shared" si="120"/>
        <v>0.82176941334847253</v>
      </c>
      <c r="G77" s="38">
        <v>57191.5</v>
      </c>
      <c r="H77" s="37">
        <f t="shared" si="121"/>
        <v>0.61232869379014987</v>
      </c>
      <c r="I77" s="37">
        <f t="shared" si="122"/>
        <v>0.19007125800511093</v>
      </c>
      <c r="J77" s="38">
        <v>53176.472000000002</v>
      </c>
      <c r="K77" s="37">
        <f t="shared" si="123"/>
        <v>0.92979677049911269</v>
      </c>
      <c r="L77" s="7">
        <f t="shared" si="124"/>
        <v>1236.4205076680446</v>
      </c>
      <c r="M77" s="38">
        <v>48674.91</v>
      </c>
      <c r="N77" s="37">
        <f t="shared" si="125"/>
        <v>0.91534673454831683</v>
      </c>
      <c r="O77" s="50">
        <f t="shared" si="126"/>
        <v>3361.1755491856816</v>
      </c>
      <c r="P77" s="98">
        <f t="shared" si="127"/>
        <v>0.52114464668094218</v>
      </c>
      <c r="Q77" s="110">
        <f>INDEX(Daggett!$B$7:$M$21, MATCH(D77,Daggett!$A$7:$A$21,0), MATCH(B$77,Daggett!$B$6:$M$6,0))</f>
        <v>681.33333333333337</v>
      </c>
      <c r="R77" s="4">
        <f t="shared" si="128"/>
        <v>0.82838678760869255</v>
      </c>
      <c r="S77" s="98">
        <f t="shared" ref="S77:S86" si="137">R77*P77</f>
        <v>0.43170933974349279</v>
      </c>
      <c r="T77" s="111">
        <f t="shared" ref="T77:T86" si="138">IF(1-$H$7*(($H$5+273)^4-298^4)/(O77*1000)&lt;0,#N/A,1-$H$7*(($H$5+273)^4-298^4)/(O77*1000))</f>
        <v>0.88307419795738917</v>
      </c>
      <c r="U77" s="98">
        <f t="shared" ref="U77:U86" si="139">T77*P77</f>
        <v>0.46020939088755997</v>
      </c>
      <c r="AC77" s="2">
        <v>4</v>
      </c>
      <c r="AE77" s="38">
        <v>8</v>
      </c>
      <c r="AF77" s="93">
        <v>57127.779229957436</v>
      </c>
      <c r="AG77" s="37">
        <f t="shared" ref="AG77:AG86" si="140">AF77/$C$10</f>
        <v>0.61164645856485478</v>
      </c>
      <c r="AH77" s="38">
        <v>48823.566189999998</v>
      </c>
      <c r="AI77" s="37">
        <f t="shared" si="129"/>
        <v>0.52273625471092078</v>
      </c>
      <c r="AJ77" s="37">
        <f t="shared" ref="AJ77:AJ86" si="141">1-AH77/(AF77*$C$8)</f>
        <v>7.104574341735459E-2</v>
      </c>
      <c r="AK77" s="38">
        <v>42340.887000000002</v>
      </c>
      <c r="AL77" s="37">
        <f t="shared" ref="AL77:AL86" si="142">AK77/AH77</f>
        <v>0.86722233347780786</v>
      </c>
      <c r="AM77" s="7">
        <f t="shared" si="130"/>
        <v>984.47939531707391</v>
      </c>
      <c r="AN77" s="38">
        <v>38764.085700000003</v>
      </c>
      <c r="AO77" s="37">
        <f t="shared" ref="AO77:AO86" si="143">AN77/AK77</f>
        <v>0.91552370407355899</v>
      </c>
      <c r="AP77" s="50">
        <f t="shared" si="131"/>
        <v>2676.797903506721</v>
      </c>
      <c r="AQ77" s="98">
        <f t="shared" ref="AQ77:AQ86" si="144">AN77/$C$10</f>
        <v>0.41503303747323345</v>
      </c>
      <c r="AR77" s="110">
        <f>INDEX(Daggett!$B$7:$M$21, MATCH(AE77,Daggett!$A$7:$A$21,0), MATCH(AC$77,Daggett!$B$6:$M$6,0))</f>
        <v>681.33333333333337</v>
      </c>
      <c r="AS77" s="4">
        <f t="shared" si="132"/>
        <v>0.78451039107165699</v>
      </c>
      <c r="AT77" s="98">
        <f t="shared" ref="AT77:AT86" si="145">AS77*AQ77</f>
        <v>0.32559773053578406</v>
      </c>
      <c r="AU77" s="111">
        <f t="shared" ref="AU77:AU86" si="146">IF(1-$H$7*(($H$5+273)^4-298^4)/(AP77*1000)&lt;0,#N/A,1-$H$7*(($H$5+273)^4-298^4)/(AP77*1000))</f>
        <v>0.8531797464501556</v>
      </c>
      <c r="AV77" s="98">
        <f t="shared" ref="AV77:AV86" si="147">AU77*AQ77</f>
        <v>0.35409778167985123</v>
      </c>
      <c r="BD77" s="2">
        <v>4</v>
      </c>
      <c r="BF77" s="38">
        <v>8</v>
      </c>
      <c r="BG77" s="93">
        <f>AF85</f>
        <v>88530.375909501512</v>
      </c>
      <c r="BH77" s="37">
        <f t="shared" ref="BH77:BH86" si="148">BG77/$C$10</f>
        <v>0.94786269710387061</v>
      </c>
      <c r="BI77" s="38">
        <f t="shared" ref="BI77:BQ77" si="149">AH85</f>
        <v>59869.544999999998</v>
      </c>
      <c r="BJ77" s="37">
        <f t="shared" si="149"/>
        <v>0.64100155246252677</v>
      </c>
      <c r="BK77" s="37">
        <f t="shared" si="149"/>
        <v>0.26493486870736171</v>
      </c>
      <c r="BL77" s="38">
        <f t="shared" si="149"/>
        <v>56819.754999999997</v>
      </c>
      <c r="BM77" s="37">
        <f t="shared" si="149"/>
        <v>0.94905940908687381</v>
      </c>
      <c r="BN77" s="7">
        <f t="shared" si="149"/>
        <v>1321.1314643565279</v>
      </c>
      <c r="BO77" s="38">
        <f t="shared" si="149"/>
        <v>51776.73</v>
      </c>
      <c r="BP77" s="37">
        <f t="shared" si="149"/>
        <v>0.9112452174424196</v>
      </c>
      <c r="BQ77" s="50">
        <f t="shared" si="149"/>
        <v>3575.3672455231813</v>
      </c>
      <c r="BR77" s="98">
        <f t="shared" si="134"/>
        <v>0.55435471092077093</v>
      </c>
      <c r="BS77" s="110">
        <f>INDEX(Daggett!$B$7:$M$21, MATCH(BF77,Daggett!$A$7:$A$21,0), MATCH(BD$77,Daggett!$B$6:$M$6,0))</f>
        <v>681.33333333333337</v>
      </c>
      <c r="BT77" s="4">
        <f t="shared" si="135"/>
        <v>0.83866772451721516</v>
      </c>
      <c r="BU77" s="98">
        <f t="shared" si="136"/>
        <v>0.46491940398332154</v>
      </c>
      <c r="BV77" s="111">
        <f t="shared" ref="BV77:BV85" si="150">IF(1-$H$7*(($H$5+273)^4-298^4)/(BQ77*1000)&lt;0,#N/A,1-$H$7*(($H$5+273)^4-298^4)/(BQ77*1000))</f>
        <v>0.89007894297106249</v>
      </c>
      <c r="BW77" s="98">
        <f t="shared" ref="BW77:BW86" si="151">BV77*BR77</f>
        <v>0.49341945512738872</v>
      </c>
      <c r="CQ77" s="2">
        <v>1600</v>
      </c>
      <c r="CR77" s="7">
        <v>1114.9567876328285</v>
      </c>
      <c r="CS77" s="4">
        <v>0.40003628204795222</v>
      </c>
    </row>
    <row r="78" spans="2:100" ht="16.899999999999999" customHeight="1">
      <c r="D78" s="38">
        <v>9</v>
      </c>
      <c r="E78" s="93">
        <v>81703.284635417207</v>
      </c>
      <c r="F78" s="37">
        <f t="shared" si="120"/>
        <v>0.87476750144986304</v>
      </c>
      <c r="G78" s="38">
        <v>66390.298999999999</v>
      </c>
      <c r="H78" s="37">
        <f t="shared" si="121"/>
        <v>0.71081690578158452</v>
      </c>
      <c r="I78" s="37">
        <f t="shared" si="122"/>
        <v>0.11676294532987386</v>
      </c>
      <c r="J78" s="38">
        <v>62625.15</v>
      </c>
      <c r="K78" s="37">
        <f t="shared" si="123"/>
        <v>0.94328766315693202</v>
      </c>
      <c r="L78" s="7">
        <f t="shared" si="124"/>
        <v>1456.1142709088981</v>
      </c>
      <c r="M78" s="38">
        <v>57461.8</v>
      </c>
      <c r="N78" s="37">
        <f t="shared" si="125"/>
        <v>0.91755149488663901</v>
      </c>
      <c r="O78" s="50">
        <f t="shared" si="126"/>
        <v>3967.9415364547731</v>
      </c>
      <c r="P78" s="98">
        <f t="shared" si="127"/>
        <v>0.61522269807280516</v>
      </c>
      <c r="Q78" s="110">
        <f>INDEX(Daggett!$B$7:$M$21, MATCH(D78,Daggett!$A$7:$A$21,0), MATCH(B$77,Daggett!$B$6:$M$6,0))</f>
        <v>797.86666666666667</v>
      </c>
      <c r="R78" s="4">
        <f t="shared" si="128"/>
        <v>0.87586165043121911</v>
      </c>
      <c r="S78" s="98">
        <f t="shared" si="137"/>
        <v>0.53884996771679472</v>
      </c>
      <c r="T78" s="111">
        <f t="shared" si="138"/>
        <v>0.90095414882405533</v>
      </c>
      <c r="U78" s="98">
        <f t="shared" si="139"/>
        <v>0.55428744227942295</v>
      </c>
      <c r="AE78" s="38">
        <v>9</v>
      </c>
      <c r="AF78" s="93">
        <v>63197.675198209414</v>
      </c>
      <c r="AG78" s="37">
        <f t="shared" si="140"/>
        <v>0.67663463809646052</v>
      </c>
      <c r="AH78" s="38">
        <v>56674.603999999999</v>
      </c>
      <c r="AI78" s="37">
        <f t="shared" si="129"/>
        <v>0.6067944753747323</v>
      </c>
      <c r="AJ78" s="37">
        <f t="shared" si="141"/>
        <v>2.5235813792593431E-2</v>
      </c>
      <c r="AK78" s="38">
        <v>50520.569000000003</v>
      </c>
      <c r="AL78" s="37">
        <f t="shared" si="142"/>
        <v>0.89141459197491713</v>
      </c>
      <c r="AM78" s="7">
        <f t="shared" si="130"/>
        <v>1174.6673899437797</v>
      </c>
      <c r="AN78" s="38">
        <v>46431.324000000001</v>
      </c>
      <c r="AO78" s="37">
        <f t="shared" si="143"/>
        <v>0.91905781979613088</v>
      </c>
      <c r="AP78" s="50">
        <f t="shared" si="131"/>
        <v>3206.2479611183321</v>
      </c>
      <c r="AQ78" s="98">
        <f t="shared" si="144"/>
        <v>0.49712338329764455</v>
      </c>
      <c r="AR78" s="110">
        <f>INDEX(Daggett!$B$7:$M$21, MATCH(AE78,Daggett!$A$7:$A$21,0), MATCH(AC$77,Daggett!$B$6:$M$6,0))</f>
        <v>797.86666666666667</v>
      </c>
      <c r="AS78" s="4">
        <f t="shared" si="132"/>
        <v>0.84637067391721643</v>
      </c>
      <c r="AT78" s="98">
        <f t="shared" si="145"/>
        <v>0.42075065294163411</v>
      </c>
      <c r="AU78" s="111">
        <f t="shared" si="146"/>
        <v>0.87742428169608311</v>
      </c>
      <c r="AV78" s="98">
        <f t="shared" si="147"/>
        <v>0.43618812750426239</v>
      </c>
      <c r="BF78" s="38">
        <v>9</v>
      </c>
      <c r="BG78" s="93">
        <f>AF84</f>
        <v>87905.958803609727</v>
      </c>
      <c r="BH78" s="37">
        <f t="shared" si="148"/>
        <v>0.94117728911787712</v>
      </c>
      <c r="BI78" s="38">
        <f t="shared" ref="BI78:BQ78" si="152">AH84</f>
        <v>70350.945999999996</v>
      </c>
      <c r="BJ78" s="37">
        <f t="shared" si="152"/>
        <v>0.75322211991434684</v>
      </c>
      <c r="BK78" s="37">
        <f t="shared" si="152"/>
        <v>0.1301110800002182</v>
      </c>
      <c r="BL78" s="38">
        <f t="shared" si="152"/>
        <v>66931.693994885994</v>
      </c>
      <c r="BM78" s="37">
        <f t="shared" si="152"/>
        <v>0.95139721354828688</v>
      </c>
      <c r="BN78" s="7">
        <f t="shared" si="152"/>
        <v>1556.2468880643144</v>
      </c>
      <c r="BO78" s="38">
        <f t="shared" si="152"/>
        <v>61167.409800000001</v>
      </c>
      <c r="BP78" s="37">
        <f t="shared" si="152"/>
        <v>0.91387810690513194</v>
      </c>
      <c r="BQ78" s="50">
        <f t="shared" si="152"/>
        <v>4223.8270646372148</v>
      </c>
      <c r="BR78" s="98">
        <f t="shared" si="134"/>
        <v>0.65489732119914346</v>
      </c>
      <c r="BS78" s="110">
        <f>INDEX(Daggett!$B$7:$M$21, MATCH(BF78,Daggett!$A$7:$A$21,0), MATCH(BD$77,Daggett!$B$6:$M$6,0))</f>
        <v>797.86666666666667</v>
      </c>
      <c r="BT78" s="4">
        <f t="shared" si="135"/>
        <v>0.88338213047479131</v>
      </c>
      <c r="BU78" s="98">
        <f t="shared" si="136"/>
        <v>0.57852459084313301</v>
      </c>
      <c r="BV78" s="111">
        <f t="shared" si="150"/>
        <v>0.90695448916815347</v>
      </c>
      <c r="BW78" s="98">
        <f t="shared" si="151"/>
        <v>0.59396206540576124</v>
      </c>
      <c r="CG78" s="35"/>
      <c r="CQ78" s="2">
        <v>1700</v>
      </c>
      <c r="CR78" s="7">
        <v>1050.6253108226356</v>
      </c>
      <c r="CS78" s="4">
        <v>0.37695473746500779</v>
      </c>
    </row>
    <row r="79" spans="2:100">
      <c r="D79" s="38">
        <v>10</v>
      </c>
      <c r="E79" s="93">
        <v>85307.338440262509</v>
      </c>
      <c r="F79" s="37">
        <f t="shared" si="120"/>
        <v>0.91335480128760715</v>
      </c>
      <c r="G79" s="38">
        <v>69764.88</v>
      </c>
      <c r="H79" s="37">
        <f t="shared" si="121"/>
        <v>0.74694732334047109</v>
      </c>
      <c r="I79" s="37">
        <f t="shared" si="122"/>
        <v>0.11108009356721782</v>
      </c>
      <c r="J79" s="38">
        <v>66027.17</v>
      </c>
      <c r="K79" s="37">
        <f t="shared" si="123"/>
        <v>0.94642418936289996</v>
      </c>
      <c r="L79" s="7">
        <f t="shared" si="124"/>
        <v>1535.2155564454197</v>
      </c>
      <c r="M79" s="38">
        <v>60347.49</v>
      </c>
      <c r="N79" s="37">
        <f t="shared" si="125"/>
        <v>0.91397965413329085</v>
      </c>
      <c r="O79" s="50">
        <f t="shared" si="126"/>
        <v>4167.2086880638799</v>
      </c>
      <c r="P79" s="98">
        <f t="shared" si="127"/>
        <v>0.64611873661670238</v>
      </c>
      <c r="Q79" s="110">
        <f>INDEX(Daggett!$B$7:$M$21, MATCH(D79,Daggett!$A$7:$A$21,0), MATCH(B$77,Daggett!$B$6:$M$6,0))</f>
        <v>846.7</v>
      </c>
      <c r="R79" s="4">
        <f t="shared" si="128"/>
        <v>0.88861499118188303</v>
      </c>
      <c r="S79" s="98">
        <f t="shared" si="137"/>
        <v>0.57415079544110037</v>
      </c>
      <c r="T79" s="111">
        <f t="shared" si="138"/>
        <v>0.9056903130337004</v>
      </c>
      <c r="U79" s="98">
        <f t="shared" si="139"/>
        <v>0.58518348082332017</v>
      </c>
      <c r="AE79" s="38">
        <v>10</v>
      </c>
      <c r="AF79" s="93">
        <v>69129.607154758196</v>
      </c>
      <c r="AG79" s="37">
        <f t="shared" si="140"/>
        <v>0.7401456868817794</v>
      </c>
      <c r="AH79" s="38">
        <v>62109.235999999997</v>
      </c>
      <c r="AI79" s="37">
        <f t="shared" si="129"/>
        <v>0.66498111349036404</v>
      </c>
      <c r="AJ79" s="37">
        <f t="shared" si="141"/>
        <v>2.3427994038758837E-2</v>
      </c>
      <c r="AK79" s="38">
        <v>56703.834649999997</v>
      </c>
      <c r="AL79" s="37">
        <f t="shared" si="142"/>
        <v>0.91296944386821954</v>
      </c>
      <c r="AM79" s="7">
        <f t="shared" si="130"/>
        <v>1318.4361690011674</v>
      </c>
      <c r="AN79" s="38">
        <v>52102.841099999998</v>
      </c>
      <c r="AO79" s="37">
        <f t="shared" si="143"/>
        <v>0.91885921686955963</v>
      </c>
      <c r="AP79" s="50">
        <f t="shared" si="131"/>
        <v>3597.8863761314974</v>
      </c>
      <c r="AQ79" s="98">
        <f t="shared" si="144"/>
        <v>0.55784626445396146</v>
      </c>
      <c r="AR79" s="110">
        <f>INDEX(Daggett!$B$7:$M$21, MATCH(AE79,Daggett!$A$7:$A$21,0), MATCH(AC$77,Daggett!$B$6:$M$6,0))</f>
        <v>846.7</v>
      </c>
      <c r="AS79" s="4">
        <f t="shared" si="132"/>
        <v>0.87098965116124494</v>
      </c>
      <c r="AT79" s="98">
        <f t="shared" si="145"/>
        <v>0.4858783232783595</v>
      </c>
      <c r="AU79" s="111">
        <f t="shared" si="146"/>
        <v>0.89076693763822612</v>
      </c>
      <c r="AV79" s="98">
        <f t="shared" si="147"/>
        <v>0.4969110086605793</v>
      </c>
      <c r="BF79" s="38">
        <v>10</v>
      </c>
      <c r="BG79" s="93">
        <f>AF83</f>
        <v>86129.74247479203</v>
      </c>
      <c r="BH79" s="37">
        <f t="shared" si="148"/>
        <v>0.92215998367015017</v>
      </c>
      <c r="BI79" s="38">
        <f t="shared" ref="BI79:BQ79" si="153">AH83</f>
        <v>70303.033899999995</v>
      </c>
      <c r="BJ79" s="37">
        <f t="shared" si="153"/>
        <v>0.7527091423982869</v>
      </c>
      <c r="BK79" s="37">
        <f t="shared" si="153"/>
        <v>0.11277638827241043</v>
      </c>
      <c r="BL79" s="38">
        <f t="shared" si="153"/>
        <v>66765.991240000003</v>
      </c>
      <c r="BM79" s="37">
        <f t="shared" si="153"/>
        <v>0.94968861991032805</v>
      </c>
      <c r="BN79" s="7">
        <f t="shared" si="153"/>
        <v>1552.3940885721229</v>
      </c>
      <c r="BO79" s="38">
        <f t="shared" si="153"/>
        <v>61070.869700000003</v>
      </c>
      <c r="BP79" s="37">
        <f t="shared" si="153"/>
        <v>0.91470026230078627</v>
      </c>
      <c r="BQ79" s="50">
        <f t="shared" si="153"/>
        <v>4217.1606275829727</v>
      </c>
      <c r="BR79" s="98">
        <f t="shared" si="134"/>
        <v>0.65386370128479665</v>
      </c>
      <c r="BS79" s="110">
        <f>INDEX(Daggett!$B$7:$M$21, MATCH(BF79,Daggett!$A$7:$A$21,0), MATCH(BD$77,Daggett!$B$6:$M$6,0))</f>
        <v>846.7</v>
      </c>
      <c r="BT79" s="4">
        <f t="shared" si="135"/>
        <v>0.88993433794506416</v>
      </c>
      <c r="BU79" s="98">
        <f t="shared" si="136"/>
        <v>0.58189576010919475</v>
      </c>
      <c r="BV79" s="111">
        <f t="shared" si="150"/>
        <v>0.90680740393808579</v>
      </c>
      <c r="BW79" s="98">
        <f t="shared" si="151"/>
        <v>0.59292844549141444</v>
      </c>
      <c r="CQ79" s="2">
        <v>1800</v>
      </c>
      <c r="CR79" s="7">
        <v>975.73165584101491</v>
      </c>
      <c r="CS79" s="4">
        <v>0.35008358010702778</v>
      </c>
    </row>
    <row r="80" spans="2:100">
      <c r="D80" s="38">
        <v>11</v>
      </c>
      <c r="E80" s="93">
        <v>87497.082058333588</v>
      </c>
      <c r="F80" s="37">
        <f t="shared" si="120"/>
        <v>0.93679959377230826</v>
      </c>
      <c r="G80" s="38">
        <v>71564.547000000006</v>
      </c>
      <c r="H80" s="37">
        <f t="shared" si="121"/>
        <v>0.76621570663811567</v>
      </c>
      <c r="I80" s="37">
        <f t="shared" si="122"/>
        <v>0.11096976885359211</v>
      </c>
      <c r="J80" s="38">
        <v>68119.457999999999</v>
      </c>
      <c r="K80" s="37">
        <f t="shared" si="123"/>
        <v>0.95186039534352107</v>
      </c>
      <c r="L80" s="7">
        <f t="shared" si="124"/>
        <v>1583.8639096334189</v>
      </c>
      <c r="M80" s="38">
        <v>62330.86</v>
      </c>
      <c r="N80" s="37">
        <f t="shared" si="125"/>
        <v>0.91502284119759147</v>
      </c>
      <c r="O80" s="50">
        <f t="shared" si="126"/>
        <v>4304.1674364003102</v>
      </c>
      <c r="P80" s="98">
        <f t="shared" si="127"/>
        <v>0.66735396145610282</v>
      </c>
      <c r="Q80" s="110">
        <f>INDEX(Daggett!$B$7:$M$21, MATCH(D80,Daggett!$A$7:$A$21,0), MATCH(B$77,Daggett!$B$6:$M$6,0))</f>
        <v>871.16666666666663</v>
      </c>
      <c r="R80" s="4">
        <f t="shared" si="128"/>
        <v>0.89518796673241419</v>
      </c>
      <c r="S80" s="98">
        <f t="shared" si="137"/>
        <v>0.59740723584671063</v>
      </c>
      <c r="T80" s="111">
        <f t="shared" si="138"/>
        <v>0.90869125035172149</v>
      </c>
      <c r="U80" s="98">
        <f t="shared" si="139"/>
        <v>0.6064187056627206</v>
      </c>
      <c r="AE80" s="38">
        <v>11</v>
      </c>
      <c r="AF80" s="93">
        <v>74599.649460887114</v>
      </c>
      <c r="AG80" s="37">
        <f t="shared" si="140"/>
        <v>0.79871145033069713</v>
      </c>
      <c r="AH80" s="38">
        <v>64433.625</v>
      </c>
      <c r="AI80" s="37">
        <f t="shared" si="129"/>
        <v>0.68986750535331909</v>
      </c>
      <c r="AJ80" s="37">
        <f t="shared" si="141"/>
        <v>6.1167855088060219E-2</v>
      </c>
      <c r="AK80" s="38">
        <v>59803.434000000001</v>
      </c>
      <c r="AL80" s="37">
        <f t="shared" si="142"/>
        <v>0.92814014421817803</v>
      </c>
      <c r="AM80" s="7">
        <f t="shared" si="130"/>
        <v>1390.5057903535308</v>
      </c>
      <c r="AN80" s="38">
        <v>54784.2019</v>
      </c>
      <c r="AO80" s="37">
        <f t="shared" si="143"/>
        <v>0.91607117243467995</v>
      </c>
      <c r="AP80" s="50">
        <f t="shared" si="131"/>
        <v>3783.0438701978442</v>
      </c>
      <c r="AQ80" s="98">
        <f t="shared" si="144"/>
        <v>0.58655462419700211</v>
      </c>
      <c r="AR80" s="110">
        <f>INDEX(Daggett!$B$7:$M$21, MATCH(AE80,Daggett!$A$7:$A$21,0), MATCH(AC$77,Daggett!$B$6:$M$6,0))</f>
        <v>871.16666666666663</v>
      </c>
      <c r="AS80" s="4">
        <f t="shared" si="132"/>
        <v>0.88074985223217728</v>
      </c>
      <c r="AT80" s="98">
        <f t="shared" si="145"/>
        <v>0.51660789858760991</v>
      </c>
      <c r="AU80" s="111">
        <f t="shared" si="146"/>
        <v>0.89611324626959843</v>
      </c>
      <c r="AV80" s="98">
        <f t="shared" si="147"/>
        <v>0.52561936840361989</v>
      </c>
      <c r="BF80" s="38">
        <v>11</v>
      </c>
      <c r="BG80" s="93">
        <f>AF82</f>
        <v>83253.896441625926</v>
      </c>
      <c r="BH80" s="37">
        <f t="shared" si="148"/>
        <v>0.89136934091676578</v>
      </c>
      <c r="BI80" s="38">
        <f t="shared" ref="BI80:BQ80" si="154">AH82</f>
        <v>68570.705199999997</v>
      </c>
      <c r="BJ80" s="37">
        <f t="shared" si="154"/>
        <v>0.73416172591006423</v>
      </c>
      <c r="BK80" s="37">
        <f t="shared" si="154"/>
        <v>0.10474610314904709</v>
      </c>
      <c r="BL80" s="38">
        <f t="shared" si="154"/>
        <v>64831.025999999998</v>
      </c>
      <c r="BM80" s="37">
        <f t="shared" si="154"/>
        <v>0.94546243634081806</v>
      </c>
      <c r="BN80" s="7">
        <f t="shared" si="154"/>
        <v>1507.4036893526932</v>
      </c>
      <c r="BO80" s="38">
        <f t="shared" si="154"/>
        <v>59226.466990000001</v>
      </c>
      <c r="BP80" s="37">
        <f t="shared" si="154"/>
        <v>0.91355128314643674</v>
      </c>
      <c r="BQ80" s="50">
        <f t="shared" si="154"/>
        <v>4089.7980645766143</v>
      </c>
      <c r="BR80" s="98">
        <f t="shared" si="134"/>
        <v>0.63411634892933622</v>
      </c>
      <c r="BS80" s="110">
        <f>INDEX(Daggett!$B$7:$M$21, MATCH(BF80,Daggett!$A$7:$A$21,0), MATCH(BD$77,Daggett!$B$6:$M$6,0))</f>
        <v>871.16666666666663</v>
      </c>
      <c r="BT80" s="4">
        <f t="shared" si="135"/>
        <v>0.8896941772160698</v>
      </c>
      <c r="BU80" s="98">
        <f t="shared" si="136"/>
        <v>0.56416962331994402</v>
      </c>
      <c r="BV80" s="111">
        <f t="shared" si="150"/>
        <v>0.90390524405139949</v>
      </c>
      <c r="BW80" s="98">
        <f t="shared" si="151"/>
        <v>0.573181093135954</v>
      </c>
      <c r="CQ80" s="2">
        <v>1900</v>
      </c>
      <c r="CR80" s="7">
        <v>889.17848752894872</v>
      </c>
      <c r="CS80" s="4">
        <v>0.3190290961708917</v>
      </c>
    </row>
    <row r="81" spans="2:97">
      <c r="D81" s="38">
        <v>12</v>
      </c>
      <c r="E81" s="93">
        <v>88231.549444127217</v>
      </c>
      <c r="F81" s="37">
        <f t="shared" si="120"/>
        <v>0.94466327027973462</v>
      </c>
      <c r="G81" s="38">
        <v>72242.73</v>
      </c>
      <c r="H81" s="37">
        <f t="shared" si="121"/>
        <v>0.77347676659528908</v>
      </c>
      <c r="I81" s="37">
        <f t="shared" si="122"/>
        <v>0.11001555547355513</v>
      </c>
      <c r="J81" s="38">
        <v>68799.23</v>
      </c>
      <c r="K81" s="37">
        <f t="shared" si="123"/>
        <v>0.95233430408845288</v>
      </c>
      <c r="L81" s="7">
        <f t="shared" si="124"/>
        <v>1599.6694719380885</v>
      </c>
      <c r="M81" s="38">
        <v>63255.69</v>
      </c>
      <c r="N81" s="37">
        <f t="shared" si="125"/>
        <v>0.91942438890667821</v>
      </c>
      <c r="O81" s="50">
        <f t="shared" si="126"/>
        <v>4368.0302351841883</v>
      </c>
      <c r="P81" s="98">
        <f t="shared" si="127"/>
        <v>0.67725578158458244</v>
      </c>
      <c r="Q81" s="110">
        <f>INDEX(Daggett!$B$7:$M$21, MATCH(D81,Daggett!$A$7:$A$21,0), MATCH(B$77,Daggett!$B$6:$M$6,0))</f>
        <v>890.3</v>
      </c>
      <c r="R81" s="4">
        <f t="shared" si="128"/>
        <v>0.89893994180845571</v>
      </c>
      <c r="S81" s="98">
        <f t="shared" si="137"/>
        <v>0.60881227288708473</v>
      </c>
      <c r="T81" s="111">
        <f t="shared" si="138"/>
        <v>0.91002623019206808</v>
      </c>
      <c r="U81" s="98">
        <f t="shared" si="139"/>
        <v>0.61632052579120022</v>
      </c>
      <c r="AE81" s="38">
        <v>12</v>
      </c>
      <c r="AF81" s="93">
        <v>79367.336661805937</v>
      </c>
      <c r="AG81" s="37">
        <f t="shared" si="140"/>
        <v>0.84975735183946399</v>
      </c>
      <c r="AH81" s="38">
        <v>67779.58</v>
      </c>
      <c r="AI81" s="37">
        <f t="shared" si="129"/>
        <v>0.72569143468950748</v>
      </c>
      <c r="AJ81" s="37">
        <f t="shared" si="141"/>
        <v>7.1740849315999333E-2</v>
      </c>
      <c r="AK81" s="38">
        <v>63522.847999999998</v>
      </c>
      <c r="AL81" s="37">
        <f t="shared" si="142"/>
        <v>0.93719742730775257</v>
      </c>
      <c r="AM81" s="7">
        <f t="shared" si="130"/>
        <v>1476.9868894777378</v>
      </c>
      <c r="AN81" s="38">
        <v>58109.530200000001</v>
      </c>
      <c r="AO81" s="37">
        <f t="shared" si="143"/>
        <v>0.91478156332033478</v>
      </c>
      <c r="AP81" s="50">
        <f t="shared" si="131"/>
        <v>4012.6696091047102</v>
      </c>
      <c r="AQ81" s="98">
        <f t="shared" si="144"/>
        <v>0.62215771092077088</v>
      </c>
      <c r="AR81" s="110">
        <f>INDEX(Daggett!$B$7:$M$21, MATCH(AE81,Daggett!$A$7:$A$21,0), MATCH(AC$77,Daggett!$B$6:$M$6,0))</f>
        <v>890.3</v>
      </c>
      <c r="AS81" s="4">
        <f t="shared" si="132"/>
        <v>0.88999009817590502</v>
      </c>
      <c r="AT81" s="98">
        <f t="shared" si="145"/>
        <v>0.55371420222327317</v>
      </c>
      <c r="AU81" s="111">
        <f t="shared" si="146"/>
        <v>0.90205818440600827</v>
      </c>
      <c r="AV81" s="98">
        <f t="shared" si="147"/>
        <v>0.56122245512738878</v>
      </c>
      <c r="BF81" s="38">
        <v>12</v>
      </c>
      <c r="BG81" s="93">
        <f>AF81</f>
        <v>79367.336661805937</v>
      </c>
      <c r="BH81" s="37">
        <f t="shared" si="148"/>
        <v>0.84975735183946399</v>
      </c>
      <c r="BI81" s="38">
        <f t="shared" ref="BI81:BQ81" si="155">AH81</f>
        <v>67779.58</v>
      </c>
      <c r="BJ81" s="37">
        <f t="shared" si="155"/>
        <v>0.72569143468950748</v>
      </c>
      <c r="BK81" s="37">
        <f t="shared" si="155"/>
        <v>7.1740849315999333E-2</v>
      </c>
      <c r="BL81" s="38">
        <f t="shared" si="155"/>
        <v>63522.847999999998</v>
      </c>
      <c r="BM81" s="37">
        <f t="shared" si="155"/>
        <v>0.93719742730775257</v>
      </c>
      <c r="BN81" s="7">
        <f t="shared" si="155"/>
        <v>1476.9868894777378</v>
      </c>
      <c r="BO81" s="38">
        <f t="shared" si="155"/>
        <v>58109.530200000001</v>
      </c>
      <c r="BP81" s="37">
        <f t="shared" si="155"/>
        <v>0.91478156332033478</v>
      </c>
      <c r="BQ81" s="50">
        <f t="shared" si="155"/>
        <v>4012.6696091047102</v>
      </c>
      <c r="BR81" s="98">
        <f t="shared" si="134"/>
        <v>0.62215771092077088</v>
      </c>
      <c r="BS81" s="110">
        <f>INDEX(Daggett!$B$7:$M$21, MATCH(BF81,Daggett!$A$7:$A$21,0), MATCH(BD$77,Daggett!$B$6:$M$6,0))</f>
        <v>890.3</v>
      </c>
      <c r="BT81" s="4">
        <f t="shared" si="135"/>
        <v>0.88999009817590502</v>
      </c>
      <c r="BU81" s="98">
        <f t="shared" si="136"/>
        <v>0.55371420222327317</v>
      </c>
      <c r="BV81" s="111">
        <f t="shared" si="150"/>
        <v>0.90205818440600827</v>
      </c>
      <c r="BW81" s="98">
        <f t="shared" si="151"/>
        <v>0.56122245512738878</v>
      </c>
      <c r="CQ81" s="2">
        <v>2000</v>
      </c>
      <c r="CR81" s="7">
        <v>789.81422776355271</v>
      </c>
      <c r="CS81" s="4">
        <v>0.28337810997492624</v>
      </c>
    </row>
    <row r="82" spans="2:97">
      <c r="D82" s="38">
        <v>13</v>
      </c>
      <c r="E82" s="93">
        <f>E80</f>
        <v>87497.082058333588</v>
      </c>
      <c r="F82" s="37">
        <f t="shared" si="120"/>
        <v>0.93679959377230826</v>
      </c>
      <c r="G82" s="38">
        <f t="shared" ref="G82:P82" si="156">G80</f>
        <v>71564.547000000006</v>
      </c>
      <c r="H82" s="37">
        <f t="shared" si="156"/>
        <v>0.76621570663811567</v>
      </c>
      <c r="I82" s="37">
        <f t="shared" si="156"/>
        <v>0.11096976885359211</v>
      </c>
      <c r="J82" s="38">
        <f t="shared" si="156"/>
        <v>68119.457999999999</v>
      </c>
      <c r="K82" s="37">
        <f t="shared" si="156"/>
        <v>0.95186039534352107</v>
      </c>
      <c r="L82" s="7">
        <f t="shared" si="156"/>
        <v>1583.8639096334189</v>
      </c>
      <c r="M82" s="38">
        <f t="shared" si="156"/>
        <v>62330.86</v>
      </c>
      <c r="N82" s="37">
        <f t="shared" si="156"/>
        <v>0.91502284119759147</v>
      </c>
      <c r="O82" s="50">
        <f t="shared" si="156"/>
        <v>4304.1674364003102</v>
      </c>
      <c r="P82" s="98">
        <f t="shared" si="156"/>
        <v>0.66735396145610282</v>
      </c>
      <c r="Q82" s="110">
        <f>INDEX(Daggett!$B$7:$M$21, MATCH(D82,Daggett!$A$7:$A$21,0), MATCH(B$77,Daggett!$B$6:$M$6,0))</f>
        <v>846.13333333333333</v>
      </c>
      <c r="R82" s="4">
        <f t="shared" si="128"/>
        <v>0.89208704343490564</v>
      </c>
      <c r="S82" s="98">
        <f t="shared" si="137"/>
        <v>0.5953378223999467</v>
      </c>
      <c r="T82" s="111">
        <f t="shared" si="138"/>
        <v>0.90869125035172149</v>
      </c>
      <c r="U82" s="98">
        <f t="shared" si="139"/>
        <v>0.6064187056627206</v>
      </c>
      <c r="AE82" s="38">
        <v>13</v>
      </c>
      <c r="AF82" s="93">
        <v>83253.896441625926</v>
      </c>
      <c r="AG82" s="37">
        <f t="shared" si="140"/>
        <v>0.89136934091676578</v>
      </c>
      <c r="AH82" s="38">
        <v>68570.705199999997</v>
      </c>
      <c r="AI82" s="37">
        <f t="shared" si="129"/>
        <v>0.73416172591006423</v>
      </c>
      <c r="AJ82" s="37">
        <f t="shared" si="141"/>
        <v>0.10474610314904709</v>
      </c>
      <c r="AK82" s="38">
        <v>64831.025999999998</v>
      </c>
      <c r="AL82" s="37">
        <f t="shared" si="142"/>
        <v>0.94546243634081806</v>
      </c>
      <c r="AM82" s="7">
        <f t="shared" si="130"/>
        <v>1507.4036893526932</v>
      </c>
      <c r="AN82" s="38">
        <v>59226.466990000001</v>
      </c>
      <c r="AO82" s="37">
        <f t="shared" si="143"/>
        <v>0.91355128314643674</v>
      </c>
      <c r="AP82" s="50">
        <f t="shared" si="131"/>
        <v>4089.7980645766143</v>
      </c>
      <c r="AQ82" s="98">
        <f t="shared" si="144"/>
        <v>0.63411634892933622</v>
      </c>
      <c r="AR82" s="110">
        <f>INDEX(Daggett!$B$7:$M$21, MATCH(AE82,Daggett!$A$7:$A$21,0), MATCH(AC$77,Daggett!$B$6:$M$6,0))</f>
        <v>846.13333333333333</v>
      </c>
      <c r="AS82" s="4">
        <f t="shared" si="132"/>
        <v>0.88643071704782472</v>
      </c>
      <c r="AT82" s="98">
        <f t="shared" si="145"/>
        <v>0.5621002098731801</v>
      </c>
      <c r="AU82" s="111">
        <f t="shared" si="146"/>
        <v>0.90390524405139949</v>
      </c>
      <c r="AV82" s="98">
        <f t="shared" si="147"/>
        <v>0.573181093135954</v>
      </c>
      <c r="BF82" s="38">
        <v>13</v>
      </c>
      <c r="BG82" s="93">
        <f>AF80</f>
        <v>74599.649460887114</v>
      </c>
      <c r="BH82" s="37">
        <f t="shared" si="148"/>
        <v>0.79871145033069713</v>
      </c>
      <c r="BI82" s="38">
        <f t="shared" ref="BI82:BQ82" si="157">AH80</f>
        <v>64433.625</v>
      </c>
      <c r="BJ82" s="37">
        <f t="shared" si="157"/>
        <v>0.68986750535331909</v>
      </c>
      <c r="BK82" s="37">
        <f t="shared" si="157"/>
        <v>6.1167855088060219E-2</v>
      </c>
      <c r="BL82" s="38">
        <f t="shared" si="157"/>
        <v>59803.434000000001</v>
      </c>
      <c r="BM82" s="37">
        <f t="shared" si="157"/>
        <v>0.92814014421817803</v>
      </c>
      <c r="BN82" s="7">
        <f t="shared" si="157"/>
        <v>1390.5057903535308</v>
      </c>
      <c r="BO82" s="38">
        <f t="shared" si="157"/>
        <v>54784.2019</v>
      </c>
      <c r="BP82" s="37">
        <f t="shared" si="157"/>
        <v>0.91607117243467995</v>
      </c>
      <c r="BQ82" s="50">
        <f t="shared" si="157"/>
        <v>3783.0438701978442</v>
      </c>
      <c r="BR82" s="98">
        <f t="shared" si="134"/>
        <v>0.58655462419700211</v>
      </c>
      <c r="BS82" s="110">
        <f>INDEX(Daggett!$B$7:$M$21, MATCH(BF82,Daggett!$A$7:$A$21,0), MATCH(BD$77,Daggett!$B$6:$M$6,0))</f>
        <v>846.13333333333333</v>
      </c>
      <c r="BT82" s="4">
        <f t="shared" si="135"/>
        <v>0.87722176914938366</v>
      </c>
      <c r="BU82" s="98">
        <f t="shared" si="136"/>
        <v>0.5145384851408461</v>
      </c>
      <c r="BV82" s="111">
        <f t="shared" si="150"/>
        <v>0.89611324626959843</v>
      </c>
      <c r="BW82" s="98">
        <f t="shared" si="151"/>
        <v>0.52561936840361989</v>
      </c>
    </row>
    <row r="83" spans="2:97">
      <c r="D83" s="38">
        <v>14</v>
      </c>
      <c r="E83" s="93">
        <f>E79</f>
        <v>85307.338440262509</v>
      </c>
      <c r="F83" s="37">
        <f t="shared" si="120"/>
        <v>0.91335480128760715</v>
      </c>
      <c r="G83" s="38">
        <f t="shared" ref="G83:P83" si="158">G79</f>
        <v>69764.88</v>
      </c>
      <c r="H83" s="37">
        <f t="shared" si="158"/>
        <v>0.74694732334047109</v>
      </c>
      <c r="I83" s="37">
        <f t="shared" si="158"/>
        <v>0.11108009356721782</v>
      </c>
      <c r="J83" s="38">
        <f t="shared" si="158"/>
        <v>66027.17</v>
      </c>
      <c r="K83" s="37">
        <f t="shared" si="158"/>
        <v>0.94642418936289996</v>
      </c>
      <c r="L83" s="7">
        <f t="shared" si="158"/>
        <v>1535.2155564454197</v>
      </c>
      <c r="M83" s="38">
        <f t="shared" si="158"/>
        <v>60347.49</v>
      </c>
      <c r="N83" s="37">
        <f t="shared" si="158"/>
        <v>0.91397965413329085</v>
      </c>
      <c r="O83" s="50">
        <f t="shared" si="158"/>
        <v>4167.2086880638799</v>
      </c>
      <c r="P83" s="98">
        <f t="shared" si="158"/>
        <v>0.64611873661670238</v>
      </c>
      <c r="Q83" s="110">
        <f>INDEX(Daggett!$B$7:$M$21, MATCH(D83,Daggett!$A$7:$A$21,0), MATCH(B$77,Daggett!$B$6:$M$6,0))</f>
        <v>833.76666666666665</v>
      </c>
      <c r="R83" s="4">
        <f t="shared" si="128"/>
        <v>0.88688719429940477</v>
      </c>
      <c r="S83" s="98">
        <f t="shared" si="137"/>
        <v>0.57303443350226324</v>
      </c>
      <c r="T83" s="111">
        <f t="shared" si="138"/>
        <v>0.9056903130337004</v>
      </c>
      <c r="U83" s="98">
        <f t="shared" si="139"/>
        <v>0.58518348082332017</v>
      </c>
      <c r="AE83" s="38">
        <v>14</v>
      </c>
      <c r="AF83" s="93">
        <v>86129.74247479203</v>
      </c>
      <c r="AG83" s="37">
        <f t="shared" si="140"/>
        <v>0.92215998367015017</v>
      </c>
      <c r="AH83" s="38">
        <v>70303.033899999995</v>
      </c>
      <c r="AI83" s="37">
        <f t="shared" si="129"/>
        <v>0.7527091423982869</v>
      </c>
      <c r="AJ83" s="37">
        <f t="shared" si="141"/>
        <v>0.11277638827241043</v>
      </c>
      <c r="AK83" s="38">
        <v>66765.991240000003</v>
      </c>
      <c r="AL83" s="37">
        <f t="shared" si="142"/>
        <v>0.94968861991032805</v>
      </c>
      <c r="AM83" s="7">
        <f t="shared" si="130"/>
        <v>1552.3940885721229</v>
      </c>
      <c r="AN83" s="38">
        <v>61070.869700000003</v>
      </c>
      <c r="AO83" s="37">
        <f t="shared" si="143"/>
        <v>0.91470026230078627</v>
      </c>
      <c r="AP83" s="50">
        <f t="shared" si="131"/>
        <v>4217.1606275829727</v>
      </c>
      <c r="AQ83" s="98">
        <f t="shared" si="144"/>
        <v>0.65386370128479665</v>
      </c>
      <c r="AR83" s="110">
        <f>INDEX(Daggett!$B$7:$M$21, MATCH(AE83,Daggett!$A$7:$A$21,0), MATCH(AC$77,Daggett!$B$6:$M$6,0))</f>
        <v>833.76666666666665</v>
      </c>
      <c r="AS83" s="4">
        <f t="shared" si="132"/>
        <v>0.8882270066822282</v>
      </c>
      <c r="AT83" s="98">
        <f t="shared" si="145"/>
        <v>0.58077939817035751</v>
      </c>
      <c r="AU83" s="111">
        <f t="shared" si="146"/>
        <v>0.90680740393808579</v>
      </c>
      <c r="AV83" s="98">
        <f t="shared" si="147"/>
        <v>0.59292844549141444</v>
      </c>
      <c r="BF83" s="38">
        <v>14</v>
      </c>
      <c r="BG83" s="93">
        <f>AF79</f>
        <v>69129.607154758196</v>
      </c>
      <c r="BH83" s="37">
        <f t="shared" si="148"/>
        <v>0.7401456868817794</v>
      </c>
      <c r="BI83" s="38">
        <f t="shared" ref="BI83:BQ83" si="159">AH79</f>
        <v>62109.235999999997</v>
      </c>
      <c r="BJ83" s="37">
        <f t="shared" si="159"/>
        <v>0.66498111349036404</v>
      </c>
      <c r="BK83" s="37">
        <f t="shared" si="159"/>
        <v>2.3427994038758837E-2</v>
      </c>
      <c r="BL83" s="38">
        <f t="shared" si="159"/>
        <v>56703.834649999997</v>
      </c>
      <c r="BM83" s="37">
        <f t="shared" si="159"/>
        <v>0.91296944386821954</v>
      </c>
      <c r="BN83" s="7">
        <f t="shared" si="159"/>
        <v>1318.4361690011674</v>
      </c>
      <c r="BO83" s="38">
        <f t="shared" si="159"/>
        <v>52102.841099999998</v>
      </c>
      <c r="BP83" s="37">
        <f t="shared" si="159"/>
        <v>0.91885921686955963</v>
      </c>
      <c r="BQ83" s="50">
        <f t="shared" si="159"/>
        <v>3597.8863761314974</v>
      </c>
      <c r="BR83" s="98">
        <f t="shared" si="134"/>
        <v>0.55784626445396146</v>
      </c>
      <c r="BS83" s="110">
        <f>INDEX(Daggett!$B$7:$M$21, MATCH(BF83,Daggett!$A$7:$A$21,0), MATCH(BD$77,Daggett!$B$6:$M$6,0))</f>
        <v>833.76666666666665</v>
      </c>
      <c r="BT83" s="4">
        <f t="shared" si="135"/>
        <v>0.86898845117126222</v>
      </c>
      <c r="BU83" s="98">
        <f t="shared" si="136"/>
        <v>0.48476196133952232</v>
      </c>
      <c r="BV83" s="111">
        <f t="shared" si="150"/>
        <v>0.89076693763822612</v>
      </c>
      <c r="BW83" s="98">
        <f t="shared" si="151"/>
        <v>0.4969110086605793</v>
      </c>
      <c r="CQ83" s="2"/>
      <c r="CR83" s="7"/>
      <c r="CS83" s="4"/>
    </row>
    <row r="84" spans="2:97">
      <c r="D84" s="38">
        <v>15</v>
      </c>
      <c r="E84" s="93">
        <f>E78</f>
        <v>81703.284635417207</v>
      </c>
      <c r="F84" s="37">
        <f t="shared" si="120"/>
        <v>0.87476750144986304</v>
      </c>
      <c r="G84" s="38">
        <f t="shared" ref="G84:P84" si="160">G78</f>
        <v>66390.298999999999</v>
      </c>
      <c r="H84" s="37">
        <f t="shared" si="160"/>
        <v>0.71081690578158452</v>
      </c>
      <c r="I84" s="37">
        <f t="shared" si="160"/>
        <v>0.11676294532987386</v>
      </c>
      <c r="J84" s="38">
        <f t="shared" si="160"/>
        <v>62625.15</v>
      </c>
      <c r="K84" s="37">
        <f t="shared" si="160"/>
        <v>0.94328766315693202</v>
      </c>
      <c r="L84" s="7">
        <f t="shared" si="160"/>
        <v>1456.1142709088981</v>
      </c>
      <c r="M84" s="38">
        <f t="shared" si="160"/>
        <v>57461.8</v>
      </c>
      <c r="N84" s="37">
        <f t="shared" si="160"/>
        <v>0.91755149488663901</v>
      </c>
      <c r="O84" s="50">
        <f t="shared" si="160"/>
        <v>3967.9415364547731</v>
      </c>
      <c r="P84" s="98">
        <f t="shared" si="160"/>
        <v>0.61522269807280516</v>
      </c>
      <c r="Q84" s="110">
        <f>INDEX(Daggett!$B$7:$M$21, MATCH(D84,Daggett!$A$7:$A$21,0), MATCH(B$77,Daggett!$B$6:$M$6,0))</f>
        <v>814.16666666666663</v>
      </c>
      <c r="R84" s="4">
        <f t="shared" si="128"/>
        <v>0.87834695863752965</v>
      </c>
      <c r="S84" s="98">
        <f t="shared" si="137"/>
        <v>0.54037898573702359</v>
      </c>
      <c r="T84" s="111">
        <f t="shared" si="138"/>
        <v>0.90095414882405533</v>
      </c>
      <c r="U84" s="98">
        <f t="shared" si="139"/>
        <v>0.55428744227942295</v>
      </c>
      <c r="AE84" s="38">
        <v>15</v>
      </c>
      <c r="AF84" s="93">
        <v>87905.958803609727</v>
      </c>
      <c r="AG84" s="37">
        <f t="shared" si="140"/>
        <v>0.94117728911787712</v>
      </c>
      <c r="AH84" s="38">
        <v>70350.945999999996</v>
      </c>
      <c r="AI84" s="37">
        <f t="shared" si="129"/>
        <v>0.75322211991434684</v>
      </c>
      <c r="AJ84" s="37">
        <f t="shared" si="141"/>
        <v>0.1301110800002182</v>
      </c>
      <c r="AK84" s="38">
        <v>66931.693994885994</v>
      </c>
      <c r="AL84" s="37">
        <f t="shared" si="142"/>
        <v>0.95139721354828688</v>
      </c>
      <c r="AM84" s="7">
        <f t="shared" si="130"/>
        <v>1556.2468880643144</v>
      </c>
      <c r="AN84" s="38">
        <v>61167.409800000001</v>
      </c>
      <c r="AO84" s="37">
        <f t="shared" si="143"/>
        <v>0.91387810690513194</v>
      </c>
      <c r="AP84" s="50">
        <f t="shared" si="131"/>
        <v>4223.8270646372148</v>
      </c>
      <c r="AQ84" s="98">
        <f t="shared" si="144"/>
        <v>0.65489732119914346</v>
      </c>
      <c r="AR84" s="110">
        <f>INDEX(Daggett!$B$7:$M$21, MATCH(AE84,Daggett!$A$7:$A$21,0), MATCH(AC$77,Daggett!$B$6:$M$6,0))</f>
        <v>814.16666666666663</v>
      </c>
      <c r="AS84" s="4">
        <f t="shared" si="132"/>
        <v>0.88571687512976882</v>
      </c>
      <c r="AT84" s="98">
        <f t="shared" si="145"/>
        <v>0.58005360886336188</v>
      </c>
      <c r="AU84" s="111">
        <f t="shared" si="146"/>
        <v>0.90695448916815347</v>
      </c>
      <c r="AV84" s="98">
        <f t="shared" si="147"/>
        <v>0.59396206540576124</v>
      </c>
      <c r="BF84" s="38">
        <v>15</v>
      </c>
      <c r="BG84" s="93">
        <f>AF78</f>
        <v>63197.675198209414</v>
      </c>
      <c r="BH84" s="37">
        <f t="shared" si="148"/>
        <v>0.67663463809646052</v>
      </c>
      <c r="BI84" s="38">
        <f t="shared" ref="BI84:BQ84" si="161">AH78</f>
        <v>56674.603999999999</v>
      </c>
      <c r="BJ84" s="37">
        <f t="shared" si="161"/>
        <v>0.6067944753747323</v>
      </c>
      <c r="BK84" s="37">
        <f t="shared" si="161"/>
        <v>2.5235813792593431E-2</v>
      </c>
      <c r="BL84" s="38">
        <f t="shared" si="161"/>
        <v>50520.569000000003</v>
      </c>
      <c r="BM84" s="37">
        <f t="shared" si="161"/>
        <v>0.89141459197491713</v>
      </c>
      <c r="BN84" s="7">
        <f t="shared" si="161"/>
        <v>1174.6673899437797</v>
      </c>
      <c r="BO84" s="38">
        <f t="shared" si="161"/>
        <v>46431.324000000001</v>
      </c>
      <c r="BP84" s="37">
        <f t="shared" si="161"/>
        <v>0.91905781979613088</v>
      </c>
      <c r="BQ84" s="50">
        <f t="shared" si="161"/>
        <v>3206.2479611183321</v>
      </c>
      <c r="BR84" s="98">
        <f t="shared" si="134"/>
        <v>0.49712338329764455</v>
      </c>
      <c r="BS84" s="110">
        <f>INDEX(Daggett!$B$7:$M$21, MATCH(BF84,Daggett!$A$7:$A$21,0), MATCH(BD$77,Daggett!$B$6:$M$6,0))</f>
        <v>814.16666666666663</v>
      </c>
      <c r="BT84" s="4">
        <f t="shared" si="135"/>
        <v>0.84944640535854632</v>
      </c>
      <c r="BU84" s="98">
        <f t="shared" si="136"/>
        <v>0.42227967096186297</v>
      </c>
      <c r="BV84" s="111">
        <f t="shared" si="150"/>
        <v>0.87742428169608311</v>
      </c>
      <c r="BW84" s="98">
        <f t="shared" si="151"/>
        <v>0.43618812750426239</v>
      </c>
    </row>
    <row r="85" spans="2:97">
      <c r="C85" s="7" t="s">
        <v>160</v>
      </c>
      <c r="D85" s="38">
        <v>16</v>
      </c>
      <c r="E85" s="93">
        <f>E77</f>
        <v>76753.263206747331</v>
      </c>
      <c r="F85" s="37">
        <f t="shared" si="120"/>
        <v>0.82176941334847253</v>
      </c>
      <c r="G85" s="38">
        <f t="shared" ref="G85:P85" si="162">G77</f>
        <v>57191.5</v>
      </c>
      <c r="H85" s="37">
        <f t="shared" si="162"/>
        <v>0.61232869379014987</v>
      </c>
      <c r="I85" s="37">
        <f t="shared" si="162"/>
        <v>0.19007125800511093</v>
      </c>
      <c r="J85" s="38">
        <f t="shared" si="162"/>
        <v>53176.472000000002</v>
      </c>
      <c r="K85" s="37">
        <f t="shared" si="162"/>
        <v>0.92979677049911269</v>
      </c>
      <c r="L85" s="7">
        <f t="shared" si="162"/>
        <v>1236.4205076680446</v>
      </c>
      <c r="M85" s="38">
        <f t="shared" si="162"/>
        <v>48674.91</v>
      </c>
      <c r="N85" s="37">
        <f t="shared" si="162"/>
        <v>0.91534673454831683</v>
      </c>
      <c r="O85" s="50">
        <f t="shared" si="162"/>
        <v>3361.1755491856816</v>
      </c>
      <c r="P85" s="98">
        <f t="shared" si="162"/>
        <v>0.52114464668094218</v>
      </c>
      <c r="Q85" s="110">
        <f>INDEX(Daggett!$B$7:$M$21, MATCH(D85,Daggett!$A$7:$A$21,0), MATCH(B$77,Daggett!$B$6:$M$6,0))</f>
        <v>721.76666666666665</v>
      </c>
      <c r="R85" s="4">
        <f t="shared" si="128"/>
        <v>0.83800055136570806</v>
      </c>
      <c r="S85" s="98">
        <f t="shared" si="137"/>
        <v>0.43671950125991665</v>
      </c>
      <c r="T85" s="111">
        <f t="shared" si="138"/>
        <v>0.88307419795738917</v>
      </c>
      <c r="U85" s="98">
        <f t="shared" si="139"/>
        <v>0.46020939088755997</v>
      </c>
      <c r="AD85" s="7" t="s">
        <v>160</v>
      </c>
      <c r="AE85" s="38">
        <v>16</v>
      </c>
      <c r="AF85" s="93">
        <v>88530.375909501512</v>
      </c>
      <c r="AG85" s="37">
        <f t="shared" si="140"/>
        <v>0.94786269710387061</v>
      </c>
      <c r="AH85" s="38">
        <v>59869.544999999998</v>
      </c>
      <c r="AI85" s="37">
        <f t="shared" si="129"/>
        <v>0.64100155246252677</v>
      </c>
      <c r="AJ85" s="37">
        <f t="shared" si="141"/>
        <v>0.26493486870736171</v>
      </c>
      <c r="AK85" s="38">
        <v>56819.754999999997</v>
      </c>
      <c r="AL85" s="37">
        <f t="shared" si="142"/>
        <v>0.94905940908687381</v>
      </c>
      <c r="AM85" s="7">
        <f t="shared" si="130"/>
        <v>1321.1314643565279</v>
      </c>
      <c r="AN85" s="38">
        <v>51776.73</v>
      </c>
      <c r="AO85" s="37">
        <f t="shared" si="143"/>
        <v>0.9112452174424196</v>
      </c>
      <c r="AP85" s="50">
        <f t="shared" si="131"/>
        <v>3575.3672455231813</v>
      </c>
      <c r="AQ85" s="98">
        <f t="shared" si="144"/>
        <v>0.55435471092077093</v>
      </c>
      <c r="AR85" s="110">
        <f>INDEX(Daggett!$B$7:$M$21, MATCH(AE85,Daggett!$A$7:$A$21,0), MATCH(AC$77,Daggett!$B$6:$M$6,0))</f>
        <v>721.76666666666665</v>
      </c>
      <c r="AS85" s="4">
        <f t="shared" si="132"/>
        <v>0.84770555069190767</v>
      </c>
      <c r="AT85" s="98">
        <f t="shared" si="145"/>
        <v>0.46992956549974541</v>
      </c>
      <c r="AU85" s="111">
        <f t="shared" si="146"/>
        <v>0.89007894297106249</v>
      </c>
      <c r="AV85" s="98">
        <f t="shared" si="147"/>
        <v>0.49341945512738872</v>
      </c>
      <c r="BE85" s="7" t="s">
        <v>160</v>
      </c>
      <c r="BF85" s="38">
        <v>16</v>
      </c>
      <c r="BG85" s="93">
        <f>AF77</f>
        <v>57127.779229957436</v>
      </c>
      <c r="BH85" s="37">
        <f t="shared" si="148"/>
        <v>0.61164645856485478</v>
      </c>
      <c r="BI85" s="38">
        <f t="shared" ref="BI85:BQ85" si="163">AH77</f>
        <v>48823.566189999998</v>
      </c>
      <c r="BJ85" s="37">
        <f t="shared" si="163"/>
        <v>0.52273625471092078</v>
      </c>
      <c r="BK85" s="37">
        <f t="shared" si="163"/>
        <v>7.104574341735459E-2</v>
      </c>
      <c r="BL85" s="38">
        <f t="shared" si="163"/>
        <v>42340.887000000002</v>
      </c>
      <c r="BM85" s="37">
        <f t="shared" si="163"/>
        <v>0.86722233347780786</v>
      </c>
      <c r="BN85" s="7">
        <f t="shared" si="163"/>
        <v>984.47939531707391</v>
      </c>
      <c r="BO85" s="38">
        <f t="shared" si="163"/>
        <v>38764.085700000003</v>
      </c>
      <c r="BP85" s="37">
        <f t="shared" si="163"/>
        <v>0.91552370407355899</v>
      </c>
      <c r="BQ85" s="50">
        <f t="shared" si="163"/>
        <v>2676.797903506721</v>
      </c>
      <c r="BR85" s="98">
        <f t="shared" si="134"/>
        <v>0.41503303747323345</v>
      </c>
      <c r="BS85" s="110">
        <f>INDEX(Daggett!$B$7:$M$21, MATCH(BF85,Daggett!$A$7:$A$21,0), MATCH(BD$77,Daggett!$B$6:$M$6,0))</f>
        <v>721.76666666666665</v>
      </c>
      <c r="BT85" s="4">
        <f t="shared" si="135"/>
        <v>0.79658210841475396</v>
      </c>
      <c r="BU85" s="98">
        <f t="shared" si="136"/>
        <v>0.33060789205220786</v>
      </c>
      <c r="BV85" s="111">
        <f t="shared" si="150"/>
        <v>0.8531797464501556</v>
      </c>
      <c r="BW85" s="98">
        <f t="shared" si="151"/>
        <v>0.35409778167985123</v>
      </c>
    </row>
    <row r="86" spans="2:97">
      <c r="C86" s="7">
        <f>ROW(D86)-ROW(D76)+1</f>
        <v>11</v>
      </c>
      <c r="D86" s="38">
        <v>17</v>
      </c>
      <c r="E86" s="93">
        <f>E76</f>
        <v>70553.508144956606</v>
      </c>
      <c r="F86" s="37">
        <f t="shared" si="120"/>
        <v>0.75539087949632344</v>
      </c>
      <c r="G86" s="38">
        <f t="shared" ref="G86:P86" si="164">G76</f>
        <v>36975</v>
      </c>
      <c r="H86" s="37">
        <f t="shared" si="164"/>
        <v>0.39587794432548179</v>
      </c>
      <c r="I86" s="37">
        <f t="shared" si="164"/>
        <v>0.43035834151958785</v>
      </c>
      <c r="J86" s="38">
        <f t="shared" si="164"/>
        <v>33574.82</v>
      </c>
      <c r="K86" s="37">
        <f t="shared" si="164"/>
        <v>0.90804110885733602</v>
      </c>
      <c r="L86" s="7">
        <f t="shared" si="164"/>
        <v>780.65720473639567</v>
      </c>
      <c r="M86" s="38">
        <f t="shared" si="164"/>
        <v>30551.144</v>
      </c>
      <c r="N86" s="37">
        <f t="shared" si="164"/>
        <v>0.90994215307781245</v>
      </c>
      <c r="O86" s="50">
        <f t="shared" si="164"/>
        <v>2109.6650864367462</v>
      </c>
      <c r="P86" s="98">
        <f t="shared" si="164"/>
        <v>0.32710004282655247</v>
      </c>
      <c r="Q86" s="110">
        <f>INDEX(Daggett!$B$7:$M$21, MATCH(D86,Daggett!$A$7:$A$21,0), MATCH(B$77,Daggett!$B$6:$M$6,0))</f>
        <v>653.43333333333328</v>
      </c>
      <c r="R86" s="4">
        <f t="shared" si="128"/>
        <v>0.71490686980688634</v>
      </c>
      <c r="S86" s="98">
        <f t="shared" si="137"/>
        <v>0.23384606773082908</v>
      </c>
      <c r="T86" s="111">
        <f t="shared" si="138"/>
        <v>0.81371064562747975</v>
      </c>
      <c r="U86" s="98">
        <f t="shared" si="139"/>
        <v>0.26616478703317031</v>
      </c>
      <c r="AD86" s="7">
        <f>ROW(AE86)-ROW(AE76)+1</f>
        <v>11</v>
      </c>
      <c r="AE86" s="38">
        <v>17</v>
      </c>
      <c r="AF86" s="93">
        <v>87985.346709364938</v>
      </c>
      <c r="AG86" s="37">
        <f t="shared" si="140"/>
        <v>0.94202726669555603</v>
      </c>
      <c r="AH86" s="38">
        <v>42101.48</v>
      </c>
      <c r="AI86" s="37">
        <f t="shared" si="129"/>
        <v>0.4507653104925054</v>
      </c>
      <c r="AJ86" s="37">
        <f t="shared" si="141"/>
        <v>0.47988523120749693</v>
      </c>
      <c r="AK86" s="38">
        <v>39875.580499999996</v>
      </c>
      <c r="AL86" s="37">
        <f t="shared" si="142"/>
        <v>0.94713013651776601</v>
      </c>
      <c r="AM86" s="7">
        <f t="shared" si="130"/>
        <v>927.15788827374581</v>
      </c>
      <c r="AN86" s="38">
        <v>36463.56</v>
      </c>
      <c r="AO86" s="37">
        <f t="shared" si="143"/>
        <v>0.91443333345328981</v>
      </c>
      <c r="AP86" s="50">
        <f t="shared" si="131"/>
        <v>2517.938426763707</v>
      </c>
      <c r="AQ86" s="98">
        <f t="shared" si="144"/>
        <v>0.39040214132762308</v>
      </c>
      <c r="AR86" s="110">
        <f>INDEX(Daggett!$B$7:$M$21, MATCH(AE86,Daggett!$A$7:$A$21,0), MATCH(AC$77,Daggett!$B$6:$M$6,0))</f>
        <v>653.43333333333328</v>
      </c>
      <c r="AS86" s="4">
        <f t="shared" si="132"/>
        <v>0.76113354609531914</v>
      </c>
      <c r="AT86" s="98">
        <f t="shared" si="145"/>
        <v>0.29714816623189971</v>
      </c>
      <c r="AU86" s="111">
        <f t="shared" si="146"/>
        <v>0.8439166968035513</v>
      </c>
      <c r="AV86" s="98">
        <f t="shared" si="147"/>
        <v>0.32946688553424086</v>
      </c>
      <c r="BE86" s="7">
        <f>ROW(BF86)-ROW(BF76)+1</f>
        <v>11</v>
      </c>
      <c r="BF86" s="38">
        <v>17</v>
      </c>
      <c r="BG86" s="93">
        <f>AF76</f>
        <v>51357.305623100983</v>
      </c>
      <c r="BH86" s="37">
        <f t="shared" si="148"/>
        <v>0.54986408590043878</v>
      </c>
      <c r="BI86" s="38">
        <f t="shared" ref="BI86:BQ86" si="165">AH76</f>
        <v>36112.660000000003</v>
      </c>
      <c r="BJ86" s="37">
        <f t="shared" si="165"/>
        <v>0.38664518201284798</v>
      </c>
      <c r="BK86" s="37">
        <f t="shared" si="165"/>
        <v>0.23569021333760309</v>
      </c>
      <c r="BL86" s="38">
        <f t="shared" si="165"/>
        <v>30059.07</v>
      </c>
      <c r="BM86" s="37">
        <f t="shared" si="165"/>
        <v>0.83236931314392226</v>
      </c>
      <c r="BN86" s="7">
        <f t="shared" si="165"/>
        <v>698.91155226373962</v>
      </c>
      <c r="BO86" s="38">
        <f t="shared" si="165"/>
        <v>27936.46</v>
      </c>
      <c r="BP86" s="37">
        <f t="shared" si="165"/>
        <v>0.92938537353284711</v>
      </c>
      <c r="BQ86" s="50">
        <f t="shared" si="165"/>
        <v>1929.111862411329</v>
      </c>
      <c r="BR86" s="98">
        <f t="shared" si="134"/>
        <v>0.2991055674518201</v>
      </c>
      <c r="BS86" s="110">
        <f>INDEX(Daggett!$B$7:$M$21, MATCH(BF86,Daggett!$A$7:$A$21,0), MATCH(BD$77,Daggett!$B$6:$M$6,0))</f>
        <v>653.43333333333328</v>
      </c>
      <c r="BT86" s="4">
        <f t="shared" si="135"/>
        <v>0.68822387396468399</v>
      </c>
      <c r="BU86" s="98">
        <f t="shared" si="136"/>
        <v>0.20585159235609671</v>
      </c>
      <c r="BV86" s="111">
        <f>IF(1-$H$7*(($H$5+273)^4-298^4)/(BQ86*1000)&lt;0,#N/A,1-$H$7*(($H$5+273)^4-298^4)/(BQ86*1000))</f>
        <v>0.79627508671099001</v>
      </c>
      <c r="BW86" s="98">
        <f t="shared" si="151"/>
        <v>0.23817031165843791</v>
      </c>
    </row>
    <row r="87" spans="2:97">
      <c r="C87" s="7"/>
      <c r="D87" s="38"/>
      <c r="E87" s="93"/>
      <c r="F87" s="37"/>
      <c r="G87" s="38"/>
      <c r="H87" s="37"/>
      <c r="I87" s="37"/>
      <c r="J87" s="38"/>
      <c r="K87" s="37"/>
      <c r="L87" s="7"/>
      <c r="M87" s="38"/>
      <c r="N87" s="37"/>
      <c r="O87" s="50"/>
      <c r="P87" s="98"/>
      <c r="Q87" s="111"/>
      <c r="R87" s="4"/>
      <c r="S87" s="98"/>
      <c r="T87" s="111"/>
      <c r="U87" s="98"/>
      <c r="AD87" s="7"/>
      <c r="AE87" s="38"/>
      <c r="AF87" s="93"/>
      <c r="AG87" s="37"/>
      <c r="AH87" s="38"/>
      <c r="AI87" s="37"/>
      <c r="AJ87" s="37"/>
      <c r="AK87" s="38"/>
      <c r="AL87" s="37"/>
      <c r="AM87" s="7"/>
      <c r="AN87" s="38"/>
      <c r="AO87" s="37"/>
      <c r="AP87" s="50"/>
      <c r="AQ87" s="98"/>
      <c r="AR87" s="111"/>
      <c r="AS87" s="4"/>
      <c r="AT87" s="98"/>
      <c r="AU87" s="111"/>
      <c r="AV87" s="98"/>
      <c r="BE87" s="7"/>
      <c r="BF87" s="38"/>
      <c r="BG87" s="93"/>
      <c r="BH87" s="37"/>
      <c r="BI87" s="38"/>
      <c r="BJ87" s="37"/>
      <c r="BK87" s="37"/>
      <c r="BL87" s="38"/>
      <c r="BM87" s="37"/>
      <c r="BN87" s="7"/>
      <c r="BO87" s="38"/>
      <c r="BP87" s="37"/>
      <c r="BQ87" s="50"/>
      <c r="BR87" s="98"/>
      <c r="BS87" s="111"/>
      <c r="BT87" s="4"/>
      <c r="BU87" s="98"/>
      <c r="BV87" s="111"/>
      <c r="BW87" s="98"/>
    </row>
    <row r="88" spans="2:97" ht="49.5">
      <c r="B88" s="34"/>
      <c r="C88" s="64" t="s">
        <v>149</v>
      </c>
      <c r="D88" s="64" t="s">
        <v>87</v>
      </c>
      <c r="E88" s="96" t="s">
        <v>150</v>
      </c>
      <c r="F88" s="64" t="s">
        <v>123</v>
      </c>
      <c r="G88" s="64" t="s">
        <v>151</v>
      </c>
      <c r="H88" s="33" t="s">
        <v>152</v>
      </c>
      <c r="I88" s="34" t="s">
        <v>153</v>
      </c>
      <c r="J88" s="92" t="s">
        <v>154</v>
      </c>
      <c r="K88" s="35" t="s">
        <v>155</v>
      </c>
      <c r="L88" s="35" t="s">
        <v>156</v>
      </c>
      <c r="M88" s="92" t="s">
        <v>157</v>
      </c>
      <c r="N88" s="35" t="s">
        <v>70</v>
      </c>
      <c r="O88" s="35" t="s">
        <v>158</v>
      </c>
      <c r="P88" s="107" t="s">
        <v>127</v>
      </c>
      <c r="Q88" s="150" t="s">
        <v>159</v>
      </c>
      <c r="R88" s="69" t="s">
        <v>128</v>
      </c>
      <c r="S88" s="107" t="s">
        <v>129</v>
      </c>
      <c r="T88" s="114" t="s">
        <v>128</v>
      </c>
      <c r="U88" s="107" t="s">
        <v>129</v>
      </c>
      <c r="AC88" s="34"/>
      <c r="AD88" s="64" t="s">
        <v>149</v>
      </c>
      <c r="AE88" s="64" t="s">
        <v>87</v>
      </c>
      <c r="AF88" s="96" t="s">
        <v>150</v>
      </c>
      <c r="AG88" s="64" t="s">
        <v>123</v>
      </c>
      <c r="AH88" s="64" t="s">
        <v>151</v>
      </c>
      <c r="AI88" s="33" t="s">
        <v>152</v>
      </c>
      <c r="AJ88" s="34" t="s">
        <v>153</v>
      </c>
      <c r="AK88" s="92" t="s">
        <v>154</v>
      </c>
      <c r="AL88" s="35" t="s">
        <v>155</v>
      </c>
      <c r="AM88" s="35" t="s">
        <v>156</v>
      </c>
      <c r="AN88" s="92" t="s">
        <v>157</v>
      </c>
      <c r="AO88" s="35" t="s">
        <v>70</v>
      </c>
      <c r="AP88" s="35" t="s">
        <v>158</v>
      </c>
      <c r="AQ88" s="107" t="s">
        <v>127</v>
      </c>
      <c r="AR88" s="150" t="s">
        <v>159</v>
      </c>
      <c r="AS88" s="69" t="s">
        <v>128</v>
      </c>
      <c r="AT88" s="107" t="s">
        <v>129</v>
      </c>
      <c r="AU88" s="114" t="s">
        <v>128</v>
      </c>
      <c r="AV88" s="107" t="s">
        <v>129</v>
      </c>
      <c r="BD88" s="34"/>
      <c r="BE88" s="64" t="s">
        <v>149</v>
      </c>
      <c r="BF88" s="64" t="s">
        <v>87</v>
      </c>
      <c r="BG88" s="96" t="s">
        <v>150</v>
      </c>
      <c r="BH88" s="64" t="s">
        <v>123</v>
      </c>
      <c r="BI88" s="64" t="s">
        <v>151</v>
      </c>
      <c r="BJ88" s="33" t="s">
        <v>152</v>
      </c>
      <c r="BK88" s="34" t="s">
        <v>153</v>
      </c>
      <c r="BL88" s="92" t="s">
        <v>154</v>
      </c>
      <c r="BM88" s="35" t="s">
        <v>155</v>
      </c>
      <c r="BN88" s="35" t="s">
        <v>156</v>
      </c>
      <c r="BO88" s="92" t="s">
        <v>157</v>
      </c>
      <c r="BP88" s="35" t="s">
        <v>70</v>
      </c>
      <c r="BQ88" s="35" t="s">
        <v>158</v>
      </c>
      <c r="BR88" s="107" t="s">
        <v>127</v>
      </c>
      <c r="BS88" s="150" t="s">
        <v>159</v>
      </c>
      <c r="BT88" s="69" t="s">
        <v>128</v>
      </c>
      <c r="BU88" s="107" t="s">
        <v>129</v>
      </c>
      <c r="BV88" s="114" t="s">
        <v>128</v>
      </c>
      <c r="BW88" s="107" t="s">
        <v>129</v>
      </c>
    </row>
    <row r="89" spans="2:97">
      <c r="B89" s="2" t="s">
        <v>86</v>
      </c>
      <c r="C89" s="7">
        <v>142</v>
      </c>
      <c r="D89" s="38">
        <v>6</v>
      </c>
      <c r="E89" s="93">
        <v>61651.230458506849</v>
      </c>
      <c r="F89" s="37">
        <f t="shared" ref="F89:F101" si="166">E89/$C$10</f>
        <v>0.66007741390264296</v>
      </c>
      <c r="G89" s="38">
        <v>28328.52</v>
      </c>
      <c r="H89" s="37">
        <f t="shared" ref="H89:H95" si="167">G89/$C$10</f>
        <v>0.30330321199143467</v>
      </c>
      <c r="I89" s="37">
        <f t="shared" ref="I89:I95" si="168">1-G89/(E89*$C$8)</f>
        <v>0.5005473639988216</v>
      </c>
      <c r="J89" s="38">
        <v>24462.239000000001</v>
      </c>
      <c r="K89" s="37">
        <f t="shared" ref="K89:K95" si="169">J89/G89</f>
        <v>0.86351983795835441</v>
      </c>
      <c r="L89" s="7">
        <f t="shared" ref="L89:L95" si="170">J89/(PI()*$C$18^2)</f>
        <v>568.77812358587914</v>
      </c>
      <c r="M89" s="38">
        <v>22107.993900000001</v>
      </c>
      <c r="N89" s="37">
        <f t="shared" ref="N89:N95" si="171">M89/J89</f>
        <v>0.90376003194147514</v>
      </c>
      <c r="O89" s="50">
        <f t="shared" ref="O89:O95" si="172">M89/(PI()*$C$19^2)</f>
        <v>1526.6355610770763</v>
      </c>
      <c r="P89" s="98">
        <f t="shared" ref="P89:P95" si="173">M89/$C$10</f>
        <v>0.23670229014989294</v>
      </c>
      <c r="Q89" s="110">
        <f>INDEX(Daggett!$B$7:$M$21, MATCH(D89,Daggett!$A$7:$A$21,0), MATCH(B$90,Daggett!$B$6:$M$6,0))</f>
        <v>296.74193548387098</v>
      </c>
      <c r="R89" s="4">
        <f t="shared" ref="R89:R101" si="174">IF(1-$H$7*(($H$5+273)^4-298^4)*(PI()*$C$19^2)*1000/(M89*Q89*1000)&lt;0,#N/A,1-$H$7*(($H$5+273)^4-298^4)*(PI()*$C$19^2)*1000/(M89*Q89*1000))</f>
        <v>0.13246450340759219</v>
      </c>
      <c r="S89" s="98">
        <f>R89*P89</f>
        <v>3.1354651320145373E-2</v>
      </c>
      <c r="T89" s="111">
        <f>IF(1-$H$7*(($H$5+273)^4-298^4)/(O89*1000)&lt;0,#N/A,1-$H$7*(($H$5+273)^4-298^4)/(O89*1000))</f>
        <v>0.74256583764020778</v>
      </c>
      <c r="U89" s="98">
        <f>T89*P89</f>
        <v>0.17576703435651075</v>
      </c>
      <c r="AC89" s="2" t="s">
        <v>86</v>
      </c>
      <c r="AD89" s="7">
        <v>142</v>
      </c>
      <c r="AE89" s="38">
        <v>6</v>
      </c>
      <c r="AF89" s="93">
        <v>51528.423381125023</v>
      </c>
      <c r="AG89" s="37">
        <f t="shared" ref="AG89:AG101" si="175">AF89/$C$10</f>
        <v>0.55169618181076041</v>
      </c>
      <c r="AH89" s="38">
        <v>27789.79</v>
      </c>
      <c r="AI89" s="37">
        <f t="shared" ref="AI89:AI101" si="176">AH89/$C$10</f>
        <v>0.29753522483940043</v>
      </c>
      <c r="AJ89" s="37">
        <f t="shared" ref="AJ89:AJ101" si="177">1-AH89/(AF89*$C$8)</f>
        <v>0.41379356292656333</v>
      </c>
      <c r="AK89" s="38">
        <v>22892.697700000001</v>
      </c>
      <c r="AL89" s="37">
        <f t="shared" ref="AL89:AL101" si="178">AK89/AH89</f>
        <v>0.82378088139564931</v>
      </c>
      <c r="AM89" s="7">
        <f t="shared" ref="AM89:AM101" si="179">AK89/(PI()*$C$18^2)</f>
        <v>532.28429505675138</v>
      </c>
      <c r="AN89" s="38">
        <v>21101.136999999999</v>
      </c>
      <c r="AO89" s="37">
        <f t="shared" ref="AO89:AO101" si="180">AN89/AK89</f>
        <v>0.9217409532298152</v>
      </c>
      <c r="AP89" s="50">
        <f t="shared" ref="AP89:AP101" si="181">AN89/(PI()*$C$19^2)</f>
        <v>1457.108513285742</v>
      </c>
      <c r="AQ89" s="98">
        <f>AN89/$C$10</f>
        <v>0.22592223768736616</v>
      </c>
      <c r="AR89" s="110">
        <f>INDEX(Daggett!$B$7:$M$21, MATCH(AE89,Daggett!$A$7:$A$21,0), MATCH(AC$90,Daggett!$B$6:$M$6,0))</f>
        <v>296.74193548387098</v>
      </c>
      <c r="AS89" s="4">
        <f t="shared" ref="AS89:AS101" si="182">IF(1-$H$7*(($H$5+273)^4-298^4)*(PI()*$C$19^2)*1000/(AN89*AR89*1000)&lt;0,#N/A,1-$H$7*(($H$5+273)^4-298^4)*(PI()*$C$19^2)*1000/(AN89*AR89*1000))</f>
        <v>9.1069383289705041E-2</v>
      </c>
      <c r="AT89" s="98">
        <f>AS89*AQ89</f>
        <v>2.0574598857618594E-2</v>
      </c>
      <c r="AU89" s="111">
        <f>IF(1-$H$7*(($H$5+273)^4-298^4)/(AP89*1000)&lt;0,#N/A,1-$H$7*(($H$5+273)^4-298^4)/(AP89*1000))</f>
        <v>0.73028216957683856</v>
      </c>
      <c r="AV89" s="98">
        <f>AU89*AQ89</f>
        <v>0.16498698189398397</v>
      </c>
      <c r="BD89" s="2" t="s">
        <v>86</v>
      </c>
      <c r="BE89" s="7">
        <v>142</v>
      </c>
      <c r="BF89" s="38">
        <v>6</v>
      </c>
      <c r="BG89" s="93">
        <f>AF101</f>
        <v>87877.302882866716</v>
      </c>
      <c r="BH89" s="37">
        <f t="shared" ref="BH89:BH101" si="183">BG89/$C$10</f>
        <v>0.94087048054461153</v>
      </c>
      <c r="BI89" s="38">
        <f t="shared" ref="BI89:BQ89" si="184">AH101</f>
        <v>28976.738000000001</v>
      </c>
      <c r="BJ89" s="37">
        <f t="shared" si="184"/>
        <v>0.31024344753747324</v>
      </c>
      <c r="BK89" s="37">
        <f t="shared" si="184"/>
        <v>0.6415860146526311</v>
      </c>
      <c r="BL89" s="38">
        <f t="shared" si="184"/>
        <v>27435.624454000001</v>
      </c>
      <c r="BM89" s="37">
        <f t="shared" si="184"/>
        <v>0.94681549227521744</v>
      </c>
      <c r="BN89" s="7">
        <f t="shared" si="184"/>
        <v>637.91311156566564</v>
      </c>
      <c r="BO89" s="38">
        <f t="shared" si="184"/>
        <v>24434.241160000001</v>
      </c>
      <c r="BP89" s="37">
        <f t="shared" si="184"/>
        <v>0.89060269799828051</v>
      </c>
      <c r="BQ89" s="50">
        <f t="shared" si="184"/>
        <v>1687.2712029646975</v>
      </c>
      <c r="BR89" s="98">
        <f t="shared" ref="BR89:BR101" si="185">BO89/$C$10</f>
        <v>0.26160857773019275</v>
      </c>
      <c r="BS89" s="110">
        <f>INDEX(Daggett!$B$7:$M$21, MATCH(BF89,Daggett!$A$7:$A$21,0), MATCH(BD$90,Daggett!$B$6:$M$6,0))</f>
        <v>296.74193548387098</v>
      </c>
      <c r="BT89" s="4">
        <f t="shared" ref="BT89:BT101" si="186">IF(1-$H$7*(($H$5+273)^4-298^4)*(PI()*$C$19^2)*1000/(BO89*BS89*1000)&lt;0,#N/A,1-$H$7*(($H$5+273)^4-298^4)*(PI()*$C$19^2)*1000/(BO89*BS89*1000))</f>
        <v>0.21505769951652476</v>
      </c>
      <c r="BU89" s="98">
        <f>BT89*BR89</f>
        <v>5.6260938900445201E-2</v>
      </c>
      <c r="BV89" s="111">
        <f>IF(1-$H$7*(($H$5+273)^4-298^4)/(BQ89*1000)&lt;0,#N/A,1-$H$7*(($H$5+273)^4-298^4)/(BQ89*1000))</f>
        <v>0.76707470251137133</v>
      </c>
      <c r="BW89" s="98">
        <f>BV89*BR89</f>
        <v>0.20067332193681056</v>
      </c>
    </row>
    <row r="90" spans="2:97">
      <c r="B90" s="2">
        <v>5</v>
      </c>
      <c r="D90" s="38">
        <v>7</v>
      </c>
      <c r="E90" s="93">
        <v>68848.465199787737</v>
      </c>
      <c r="F90" s="37">
        <f t="shared" si="166"/>
        <v>0.73713560171078951</v>
      </c>
      <c r="G90" s="38">
        <v>42831.96</v>
      </c>
      <c r="H90" s="37">
        <f t="shared" si="167"/>
        <v>0.458586295503212</v>
      </c>
      <c r="I90" s="37">
        <f t="shared" si="168"/>
        <v>0.32378335340127384</v>
      </c>
      <c r="J90" s="38">
        <v>39057.32</v>
      </c>
      <c r="K90" s="37">
        <f t="shared" si="169"/>
        <v>0.91187328340799723</v>
      </c>
      <c r="L90" s="7">
        <f t="shared" si="170"/>
        <v>908.13229246485673</v>
      </c>
      <c r="M90" s="38">
        <v>35439.019999999997</v>
      </c>
      <c r="N90" s="37">
        <f t="shared" si="171"/>
        <v>0.90735923509344718</v>
      </c>
      <c r="O90" s="50">
        <f t="shared" si="172"/>
        <v>2447.1902980632594</v>
      </c>
      <c r="P90" s="98">
        <f t="shared" si="173"/>
        <v>0.37943276231263379</v>
      </c>
      <c r="Q90" s="110">
        <f>INDEX(Daggett!$B$7:$M$21, MATCH(D90,Daggett!$A$7:$A$21,0), MATCH(B$90,Daggett!$B$6:$M$6,0))</f>
        <v>549.93548387096769</v>
      </c>
      <c r="R90" s="4">
        <f t="shared" si="174"/>
        <v>0.70797363128397328</v>
      </c>
      <c r="S90" s="98">
        <f t="shared" ref="S90:S101" si="187">R90*P90</f>
        <v>0.26862839056258409</v>
      </c>
      <c r="T90" s="111">
        <f t="shared" ref="T90:T101" si="188">IF(1-$H$7*(($H$5+273)^4-298^4)/(O90*1000)&lt;0,#N/A,1-$H$7*(($H$5+273)^4-298^4)/(O90*1000))</f>
        <v>0.83940433761707012</v>
      </c>
      <c r="U90" s="98">
        <f t="shared" ref="U90:U101" si="189">T90*P90</f>
        <v>0.31849750651925157</v>
      </c>
      <c r="AC90" s="2">
        <v>5</v>
      </c>
      <c r="AE90" s="38">
        <v>7</v>
      </c>
      <c r="AF90" s="93">
        <v>55802.941411720676</v>
      </c>
      <c r="AG90" s="37">
        <f t="shared" si="175"/>
        <v>0.5974618994830907</v>
      </c>
      <c r="AH90" s="38">
        <v>44423.696000000004</v>
      </c>
      <c r="AI90" s="37">
        <f t="shared" si="176"/>
        <v>0.47562843683083517</v>
      </c>
      <c r="AJ90" s="37">
        <f t="shared" si="177"/>
        <v>0.13469389130060183</v>
      </c>
      <c r="AK90" s="38">
        <v>38164.218999999997</v>
      </c>
      <c r="AL90" s="37">
        <f t="shared" si="178"/>
        <v>0.85909598787097752</v>
      </c>
      <c r="AM90" s="7">
        <f t="shared" si="179"/>
        <v>887.36655998416791</v>
      </c>
      <c r="AN90" s="38">
        <v>35354.684000000001</v>
      </c>
      <c r="AO90" s="37">
        <f t="shared" si="180"/>
        <v>0.92638300812601471</v>
      </c>
      <c r="AP90" s="50">
        <f t="shared" si="181"/>
        <v>2441.3665974931691</v>
      </c>
      <c r="AQ90" s="98">
        <f t="shared" ref="AQ90:AQ101" si="190">AN90/$C$10</f>
        <v>0.37852980728051394</v>
      </c>
      <c r="AR90" s="110">
        <f>INDEX(Daggett!$B$7:$M$21, MATCH(AE90,Daggett!$A$7:$A$21,0), MATCH(AC$90,Daggett!$B$6:$M$6,0))</f>
        <v>549.93548387096769</v>
      </c>
      <c r="AS90" s="4">
        <f t="shared" si="182"/>
        <v>0.70727702384627045</v>
      </c>
      <c r="AT90" s="98">
        <f t="shared" ref="AT90:AT101" si="191">AS90*AQ90</f>
        <v>0.26772543553046424</v>
      </c>
      <c r="AU90" s="111">
        <f t="shared" ref="AU90:AU101" si="192">IF(1-$H$7*(($H$5+273)^4-298^4)/(AP90*1000)&lt;0,#N/A,1-$H$7*(($H$5+273)^4-298^4)/(AP90*1000))</f>
        <v>0.83902124846874893</v>
      </c>
      <c r="AV90" s="98">
        <f t="shared" ref="AV90:AV101" si="193">AU90*AQ90</f>
        <v>0.31759455148713173</v>
      </c>
      <c r="BD90" s="2">
        <v>5</v>
      </c>
      <c r="BF90" s="38">
        <v>7</v>
      </c>
      <c r="BG90" s="93">
        <f>AF100</f>
        <v>89477.662547194806</v>
      </c>
      <c r="BH90" s="37">
        <f t="shared" si="183"/>
        <v>0.95800495232542615</v>
      </c>
      <c r="BI90" s="38">
        <f t="shared" ref="BI90:BQ90" si="194">AH100</f>
        <v>52598.329299999998</v>
      </c>
      <c r="BJ90" s="37">
        <f t="shared" si="194"/>
        <v>0.56315127730192716</v>
      </c>
      <c r="BK90" s="37">
        <f t="shared" si="194"/>
        <v>0.36104614897531451</v>
      </c>
      <c r="BL90" s="38">
        <f t="shared" si="194"/>
        <v>49938.5429</v>
      </c>
      <c r="BM90" s="37">
        <f t="shared" si="194"/>
        <v>0.94943211247586157</v>
      </c>
      <c r="BN90" s="7">
        <f t="shared" si="194"/>
        <v>1161.1345439505731</v>
      </c>
      <c r="BO90" s="38">
        <f t="shared" si="194"/>
        <v>45176.707199999997</v>
      </c>
      <c r="BP90" s="37">
        <f t="shared" si="194"/>
        <v>0.90464608249513012</v>
      </c>
      <c r="BQ90" s="50">
        <f t="shared" si="194"/>
        <v>3119.6122115759581</v>
      </c>
      <c r="BR90" s="98">
        <f t="shared" si="185"/>
        <v>0.48369065524625265</v>
      </c>
      <c r="BS90" s="110">
        <f>INDEX(Daggett!$B$7:$M$21, MATCH(BF90,Daggett!$A$7:$A$21,0), MATCH(BD$90,Daggett!$B$6:$M$6,0))</f>
        <v>549.93548387096769</v>
      </c>
      <c r="BT90" s="4">
        <f t="shared" si="186"/>
        <v>0.77091893227989294</v>
      </c>
      <c r="BU90" s="98">
        <f t="shared" ref="BU90:BU101" si="195">BT90*BR90</f>
        <v>0.3728862834962029</v>
      </c>
      <c r="BV90" s="111">
        <f t="shared" ref="BV90:BV101" si="196">IF(1-$H$7*(($H$5+273)^4-298^4)/(BQ90*1000)&lt;0,#N/A,1-$H$7*(($H$5+273)^4-298^4)/(BQ90*1000))</f>
        <v>0.87402019217766502</v>
      </c>
      <c r="BW90" s="98">
        <f t="shared" ref="BW90:BW101" si="197">BV90*BR90</f>
        <v>0.42275539945287044</v>
      </c>
    </row>
    <row r="91" spans="2:97" ht="18" customHeight="1">
      <c r="D91" s="38">
        <v>8</v>
      </c>
      <c r="E91" s="93">
        <v>74936.988836526565</v>
      </c>
      <c r="F91" s="37">
        <f t="shared" si="166"/>
        <v>0.80232322094782194</v>
      </c>
      <c r="G91" s="38">
        <v>58749.131000000001</v>
      </c>
      <c r="H91" s="37">
        <f t="shared" si="167"/>
        <v>0.62900568522483946</v>
      </c>
      <c r="I91" s="37">
        <f t="shared" si="168"/>
        <v>0.14784738380319984</v>
      </c>
      <c r="J91" s="38">
        <v>54650.97</v>
      </c>
      <c r="K91" s="37">
        <f t="shared" si="169"/>
        <v>0.93024303627571958</v>
      </c>
      <c r="L91" s="7">
        <f t="shared" si="170"/>
        <v>1270.7044587679882</v>
      </c>
      <c r="M91" s="38">
        <v>49989.01</v>
      </c>
      <c r="N91" s="37">
        <f t="shared" si="171"/>
        <v>0.91469575013947602</v>
      </c>
      <c r="O91" s="50">
        <f t="shared" si="172"/>
        <v>3451.9188251195233</v>
      </c>
      <c r="P91" s="98">
        <f t="shared" si="173"/>
        <v>0.53521423982869376</v>
      </c>
      <c r="Q91" s="110">
        <f>INDEX(Daggett!$B$7:$M$21, MATCH(D91,Daggett!$A$7:$A$21,0), MATCH(B$90,Daggett!$B$6:$M$6,0))</f>
        <v>676</v>
      </c>
      <c r="R91" s="4">
        <f t="shared" si="174"/>
        <v>0.83157975960092667</v>
      </c>
      <c r="S91" s="98">
        <f t="shared" si="187"/>
        <v>0.4450733288917379</v>
      </c>
      <c r="T91" s="111">
        <f t="shared" si="188"/>
        <v>0.88614791749022648</v>
      </c>
      <c r="U91" s="98">
        <f t="shared" si="189"/>
        <v>0.4742789840353116</v>
      </c>
      <c r="AE91" s="38">
        <v>8</v>
      </c>
      <c r="AF91" s="93">
        <v>60942.666984972857</v>
      </c>
      <c r="AG91" s="37">
        <f t="shared" si="175"/>
        <v>0.65249108120955945</v>
      </c>
      <c r="AH91" s="38">
        <v>52522.841</v>
      </c>
      <c r="AI91" s="37">
        <f t="shared" si="176"/>
        <v>0.56234305139186291</v>
      </c>
      <c r="AJ91" s="37">
        <f t="shared" si="177"/>
        <v>6.3217161479090511E-2</v>
      </c>
      <c r="AK91" s="38">
        <v>46449.716099999998</v>
      </c>
      <c r="AL91" s="37">
        <f t="shared" si="178"/>
        <v>0.88437173647937284</v>
      </c>
      <c r="AM91" s="7">
        <f t="shared" si="179"/>
        <v>1080.0148900701524</v>
      </c>
      <c r="AN91" s="38">
        <v>43165.392</v>
      </c>
      <c r="AO91" s="37">
        <f t="shared" si="180"/>
        <v>0.92929291337477093</v>
      </c>
      <c r="AP91" s="50">
        <f t="shared" si="181"/>
        <v>2980.7237478490501</v>
      </c>
      <c r="AQ91" s="98">
        <f t="shared" si="190"/>
        <v>0.46215623126338329</v>
      </c>
      <c r="AR91" s="110">
        <f>INDEX(Daggett!$B$7:$M$21, MATCH(AE91,Daggett!$A$7:$A$21,0), MATCH(AC$90,Daggett!$B$6:$M$6,0))</f>
        <v>676</v>
      </c>
      <c r="AS91" s="4">
        <f t="shared" si="182"/>
        <v>0.80495575989413737</v>
      </c>
      <c r="AT91" s="98">
        <f t="shared" si="191"/>
        <v>0.37201532032642737</v>
      </c>
      <c r="AU91" s="111">
        <f t="shared" si="192"/>
        <v>0.86815009368843687</v>
      </c>
      <c r="AV91" s="98">
        <f t="shared" si="193"/>
        <v>0.40122097547000107</v>
      </c>
      <c r="BF91" s="38">
        <v>8</v>
      </c>
      <c r="BG91" s="93">
        <f>AF99</f>
        <v>89992.01382173544</v>
      </c>
      <c r="BH91" s="37">
        <f t="shared" si="183"/>
        <v>0.96351192528624663</v>
      </c>
      <c r="BI91" s="38">
        <f t="shared" ref="BI91:BQ91" si="198">AH99</f>
        <v>64360.29</v>
      </c>
      <c r="BJ91" s="37">
        <f t="shared" si="198"/>
        <v>0.68908233404710917</v>
      </c>
      <c r="BK91" s="37">
        <f t="shared" si="198"/>
        <v>0.22263283167438885</v>
      </c>
      <c r="BL91" s="38">
        <f t="shared" si="198"/>
        <v>61178.391000000003</v>
      </c>
      <c r="BM91" s="37">
        <f t="shared" si="198"/>
        <v>0.95056114570024475</v>
      </c>
      <c r="BN91" s="7">
        <f t="shared" si="198"/>
        <v>1422.4752867872492</v>
      </c>
      <c r="BO91" s="38">
        <f t="shared" si="198"/>
        <v>56371.2958</v>
      </c>
      <c r="BP91" s="37">
        <f t="shared" si="198"/>
        <v>0.92142494888432092</v>
      </c>
      <c r="BQ91" s="50">
        <f t="shared" si="198"/>
        <v>3892.6383452763134</v>
      </c>
      <c r="BR91" s="98">
        <f t="shared" si="185"/>
        <v>0.60354706423982873</v>
      </c>
      <c r="BS91" s="110">
        <f>INDEX(Daggett!$B$7:$M$21, MATCH(BF91,Daggett!$A$7:$A$21,0), MATCH(BD$90,Daggett!$B$6:$M$6,0))</f>
        <v>676</v>
      </c>
      <c r="BT91" s="4">
        <f t="shared" si="186"/>
        <v>0.85064808317725982</v>
      </c>
      <c r="BU91" s="98">
        <f t="shared" si="195"/>
        <v>0.51340615330287276</v>
      </c>
      <c r="BV91" s="111">
        <f t="shared" si="196"/>
        <v>0.89903810422782771</v>
      </c>
      <c r="BW91" s="98">
        <f t="shared" si="197"/>
        <v>0.54261180844644652</v>
      </c>
      <c r="CG91" s="35"/>
    </row>
    <row r="92" spans="2:97">
      <c r="D92" s="38">
        <v>9</v>
      </c>
      <c r="E92" s="93">
        <v>79796.023533024461</v>
      </c>
      <c r="F92" s="37">
        <f t="shared" si="166"/>
        <v>0.85434714703452319</v>
      </c>
      <c r="G92" s="38">
        <v>66443.937999999995</v>
      </c>
      <c r="H92" s="37">
        <f t="shared" si="167"/>
        <v>0.71139119914346893</v>
      </c>
      <c r="I92" s="37">
        <f t="shared" si="168"/>
        <v>9.4921419120080786E-2</v>
      </c>
      <c r="J92" s="38">
        <v>62334.39</v>
      </c>
      <c r="K92" s="37">
        <f t="shared" si="169"/>
        <v>0.93815014396046192</v>
      </c>
      <c r="L92" s="7">
        <f t="shared" si="170"/>
        <v>1449.3537316461664</v>
      </c>
      <c r="M92" s="38">
        <v>56892.5</v>
      </c>
      <c r="N92" s="37">
        <f t="shared" si="171"/>
        <v>0.91269843179663745</v>
      </c>
      <c r="O92" s="50">
        <f t="shared" si="172"/>
        <v>3928.629347892916</v>
      </c>
      <c r="P92" s="98">
        <f t="shared" si="173"/>
        <v>0.60912740899357598</v>
      </c>
      <c r="Q92" s="110">
        <f>INDEX(Daggett!$B$7:$M$21, MATCH(D92,Daggett!$A$7:$A$21,0), MATCH(B$90,Daggett!$B$6:$M$6,0))</f>
        <v>735.74193548387098</v>
      </c>
      <c r="R92" s="4">
        <f t="shared" si="174"/>
        <v>0.86403253951998116</v>
      </c>
      <c r="S92" s="98">
        <f t="shared" si="187"/>
        <v>0.52630590208394568</v>
      </c>
      <c r="T92" s="111">
        <f t="shared" si="188"/>
        <v>0.89996303746360418</v>
      </c>
      <c r="U92" s="98">
        <f t="shared" si="189"/>
        <v>0.54819215320019377</v>
      </c>
      <c r="AE92" s="38">
        <v>9</v>
      </c>
      <c r="AF92" s="93">
        <v>66438.879225666475</v>
      </c>
      <c r="AG92" s="37">
        <f t="shared" si="175"/>
        <v>0.71133703667737125</v>
      </c>
      <c r="AH92" s="38">
        <v>59264.989399999999</v>
      </c>
      <c r="AI92" s="37">
        <f t="shared" si="176"/>
        <v>0.63452879443254817</v>
      </c>
      <c r="AJ92" s="37">
        <f t="shared" si="177"/>
        <v>3.0410092856526183E-2</v>
      </c>
      <c r="AK92" s="38">
        <v>53367.869317999997</v>
      </c>
      <c r="AL92" s="37">
        <f t="shared" si="178"/>
        <v>0.90049572029451841</v>
      </c>
      <c r="AM92" s="7">
        <f t="shared" si="179"/>
        <v>1240.8707383845135</v>
      </c>
      <c r="AN92" s="38">
        <v>49567.324000000001</v>
      </c>
      <c r="AO92" s="37">
        <f t="shared" si="180"/>
        <v>0.92878588996397982</v>
      </c>
      <c r="AP92" s="50">
        <f t="shared" si="181"/>
        <v>3422.7999079477418</v>
      </c>
      <c r="AQ92" s="98">
        <f t="shared" si="190"/>
        <v>0.53069940042826558</v>
      </c>
      <c r="AR92" s="110">
        <f>INDEX(Daggett!$B$7:$M$21, MATCH(AE92,Daggett!$A$7:$A$21,0), MATCH(AC$90,Daggett!$B$6:$M$6,0))</f>
        <v>735.74193548387098</v>
      </c>
      <c r="AS92" s="4">
        <f t="shared" si="182"/>
        <v>0.84393894765512312</v>
      </c>
      <c r="AT92" s="98">
        <f t="shared" si="191"/>
        <v>0.44787789351863527</v>
      </c>
      <c r="AU92" s="111">
        <f t="shared" si="192"/>
        <v>0.88517933929413062</v>
      </c>
      <c r="AV92" s="98">
        <f t="shared" si="193"/>
        <v>0.46976414463488336</v>
      </c>
      <c r="BF92" s="38">
        <v>9</v>
      </c>
      <c r="BG92" s="93">
        <f>AF98</f>
        <v>89403.666741955953</v>
      </c>
      <c r="BH92" s="37">
        <f t="shared" si="183"/>
        <v>0.95721270601665898</v>
      </c>
      <c r="BI92" s="38">
        <f t="shared" ref="BI92:BQ92" si="199">AH98</f>
        <v>71758.317999999999</v>
      </c>
      <c r="BJ92" s="37">
        <f t="shared" si="199"/>
        <v>0.76829034261241969</v>
      </c>
      <c r="BK92" s="37">
        <f t="shared" si="199"/>
        <v>0.12757301147105049</v>
      </c>
      <c r="BL92" s="38">
        <f t="shared" si="199"/>
        <v>68164.865000000005</v>
      </c>
      <c r="BM92" s="37">
        <f t="shared" si="199"/>
        <v>0.94992283682011613</v>
      </c>
      <c r="BN92" s="7">
        <f t="shared" si="199"/>
        <v>1584.9196800499237</v>
      </c>
      <c r="BO92" s="38">
        <f t="shared" si="199"/>
        <v>62935.428</v>
      </c>
      <c r="BP92" s="37">
        <f t="shared" si="199"/>
        <v>0.9232825151197761</v>
      </c>
      <c r="BQ92" s="50">
        <f t="shared" si="199"/>
        <v>4345.9150057213437</v>
      </c>
      <c r="BR92" s="98">
        <f t="shared" si="185"/>
        <v>0.673826852248394</v>
      </c>
      <c r="BS92" s="110">
        <f>INDEX(Daggett!$B$7:$M$21, MATCH(BF92,Daggett!$A$7:$A$21,0), MATCH(BD$90,Daggett!$B$6:$M$6,0))</f>
        <v>735.74193548387098</v>
      </c>
      <c r="BT92" s="4">
        <f t="shared" si="186"/>
        <v>0.87708785033829484</v>
      </c>
      <c r="BU92" s="98">
        <f t="shared" si="195"/>
        <v>0.5910053453387637</v>
      </c>
      <c r="BV92" s="111">
        <f t="shared" si="196"/>
        <v>0.90956837711341376</v>
      </c>
      <c r="BW92" s="98">
        <f t="shared" si="197"/>
        <v>0.61289159645501179</v>
      </c>
    </row>
    <row r="93" spans="2:97">
      <c r="D93" s="38">
        <v>10</v>
      </c>
      <c r="E93" s="93">
        <v>83332.840937163244</v>
      </c>
      <c r="F93" s="37">
        <f t="shared" si="166"/>
        <v>0.89221457106170499</v>
      </c>
      <c r="G93" s="38">
        <v>68831.16</v>
      </c>
      <c r="H93" s="37">
        <f t="shared" si="167"/>
        <v>0.7369503211991435</v>
      </c>
      <c r="I93" s="37">
        <f t="shared" si="168"/>
        <v>0.10219695597220069</v>
      </c>
      <c r="J93" s="38">
        <v>65100.6</v>
      </c>
      <c r="K93" s="37">
        <f t="shared" si="169"/>
        <v>0.94580129115941092</v>
      </c>
      <c r="L93" s="7">
        <f t="shared" si="170"/>
        <v>1513.671627209385</v>
      </c>
      <c r="M93" s="38">
        <v>59571.44</v>
      </c>
      <c r="N93" s="37">
        <f t="shared" si="171"/>
        <v>0.91506744945515106</v>
      </c>
      <c r="O93" s="50">
        <f t="shared" si="172"/>
        <v>4113.6196771145933</v>
      </c>
      <c r="P93" s="98">
        <f t="shared" si="173"/>
        <v>0.63780985010706637</v>
      </c>
      <c r="Q93" s="110">
        <f>INDEX(Daggett!$B$7:$M$21, MATCH(D93,Daggett!$A$7:$A$21,0), MATCH(B$90,Daggett!$B$6:$M$6,0))</f>
        <v>769.9677419354839</v>
      </c>
      <c r="R93" s="4">
        <f t="shared" si="174"/>
        <v>0.8759191140094742</v>
      </c>
      <c r="S93" s="98">
        <f t="shared" si="187"/>
        <v>0.55866983881229715</v>
      </c>
      <c r="T93" s="111">
        <f t="shared" si="188"/>
        <v>0.90446172039652062</v>
      </c>
      <c r="U93" s="98">
        <f t="shared" si="189"/>
        <v>0.57687459431368415</v>
      </c>
      <c r="AE93" s="38">
        <v>10</v>
      </c>
      <c r="AF93" s="93">
        <v>71879.042359793486</v>
      </c>
      <c r="AG93" s="37">
        <f t="shared" si="175"/>
        <v>0.76958289464446983</v>
      </c>
      <c r="AH93" s="38">
        <v>63752.53</v>
      </c>
      <c r="AI93" s="37">
        <f t="shared" si="176"/>
        <v>0.68257526766595289</v>
      </c>
      <c r="AJ93" s="37">
        <f t="shared" si="177"/>
        <v>3.5932783939935375E-2</v>
      </c>
      <c r="AK93" s="38">
        <v>58573.557999999997</v>
      </c>
      <c r="AL93" s="37">
        <f t="shared" si="178"/>
        <v>0.91876444746584951</v>
      </c>
      <c r="AM93" s="7">
        <f t="shared" si="179"/>
        <v>1361.9096114214506</v>
      </c>
      <c r="AN93" s="38">
        <v>54519.444799999997</v>
      </c>
      <c r="AO93" s="37">
        <f t="shared" si="180"/>
        <v>0.93078594952350346</v>
      </c>
      <c r="AP93" s="50">
        <f t="shared" si="181"/>
        <v>3764.7614513707049</v>
      </c>
      <c r="AQ93" s="98">
        <f t="shared" si="190"/>
        <v>0.58371996573875795</v>
      </c>
      <c r="AR93" s="110">
        <f>INDEX(Daggett!$B$7:$M$21, MATCH(AE93,Daggett!$A$7:$A$21,0), MATCH(AC$90,Daggett!$B$6:$M$6,0))</f>
        <v>769.9677419354839</v>
      </c>
      <c r="AS93" s="4">
        <f t="shared" si="182"/>
        <v>0.8644212705751646</v>
      </c>
      <c r="AT93" s="98">
        <f t="shared" si="191"/>
        <v>0.50457995444398873</v>
      </c>
      <c r="AU93" s="111">
        <f t="shared" si="192"/>
        <v>0.89560875185027755</v>
      </c>
      <c r="AV93" s="98">
        <f t="shared" si="193"/>
        <v>0.52278470994537574</v>
      </c>
      <c r="BF93" s="38">
        <v>10</v>
      </c>
      <c r="BG93" s="93">
        <f>AF97</f>
        <v>87731.017856478822</v>
      </c>
      <c r="BH93" s="37">
        <f t="shared" si="183"/>
        <v>0.93930425970534071</v>
      </c>
      <c r="BI93" s="38">
        <f t="shared" ref="BI93:BQ93" si="200">AH97</f>
        <v>71388.339640000006</v>
      </c>
      <c r="BJ93" s="37">
        <f t="shared" si="200"/>
        <v>0.76432911820128491</v>
      </c>
      <c r="BK93" s="37">
        <f t="shared" si="200"/>
        <v>0.11552352584387882</v>
      </c>
      <c r="BL93" s="38">
        <f t="shared" si="200"/>
        <v>67858.666500000007</v>
      </c>
      <c r="BM93" s="37">
        <f t="shared" si="200"/>
        <v>0.9505567273619252</v>
      </c>
      <c r="BN93" s="7">
        <f t="shared" si="200"/>
        <v>1577.800176055428</v>
      </c>
      <c r="BO93" s="38">
        <f t="shared" si="200"/>
        <v>62105.439345999999</v>
      </c>
      <c r="BP93" s="37">
        <f t="shared" si="200"/>
        <v>0.91521750351519204</v>
      </c>
      <c r="BQ93" s="50">
        <f t="shared" si="200"/>
        <v>4288.6013389898326</v>
      </c>
      <c r="BR93" s="98">
        <f t="shared" si="185"/>
        <v>0.66494046408993579</v>
      </c>
      <c r="BS93" s="110">
        <f>INDEX(Daggett!$B$7:$M$21, MATCH(BF93,Daggett!$A$7:$A$21,0), MATCH(BD$90,Daggett!$B$6:$M$6,0))</f>
        <v>769.9677419354839</v>
      </c>
      <c r="BT93" s="4">
        <f t="shared" si="186"/>
        <v>0.88098180879534305</v>
      </c>
      <c r="BU93" s="98">
        <f t="shared" si="195"/>
        <v>0.58580045279516646</v>
      </c>
      <c r="BV93" s="111">
        <f t="shared" si="196"/>
        <v>0.90835983206890469</v>
      </c>
      <c r="BW93" s="98">
        <f t="shared" si="197"/>
        <v>0.60400520829655358</v>
      </c>
    </row>
    <row r="94" spans="2:97">
      <c r="D94" s="38">
        <v>11</v>
      </c>
      <c r="E94" s="93">
        <v>85481.379217571113</v>
      </c>
      <c r="F94" s="37">
        <f t="shared" si="166"/>
        <v>0.91521819290761364</v>
      </c>
      <c r="G94" s="38">
        <v>70726.37</v>
      </c>
      <c r="H94" s="37">
        <f t="shared" si="167"/>
        <v>0.75724164882226974</v>
      </c>
      <c r="I94" s="37">
        <f t="shared" si="168"/>
        <v>0.1006639126076192</v>
      </c>
      <c r="J94" s="38">
        <v>67189.88</v>
      </c>
      <c r="K94" s="37">
        <f t="shared" si="169"/>
        <v>0.94999757516185279</v>
      </c>
      <c r="L94" s="7">
        <f t="shared" si="170"/>
        <v>1562.25004057725</v>
      </c>
      <c r="M94" s="38">
        <v>61425.95</v>
      </c>
      <c r="N94" s="37">
        <f t="shared" si="171"/>
        <v>0.91421431322693225</v>
      </c>
      <c r="O94" s="50">
        <f t="shared" si="172"/>
        <v>4241.680184421547</v>
      </c>
      <c r="P94" s="98">
        <f t="shared" si="173"/>
        <v>0.65766541755888652</v>
      </c>
      <c r="Q94" s="110">
        <f>INDEX(Daggett!$B$7:$M$21, MATCH(D94,Daggett!$A$7:$A$21,0), MATCH(B$90,Daggett!$B$6:$M$6,0))</f>
        <v>805.9677419354839</v>
      </c>
      <c r="R94" s="4">
        <f t="shared" si="174"/>
        <v>0.88504020705153852</v>
      </c>
      <c r="S94" s="98">
        <f t="shared" si="187"/>
        <v>0.5820603373269535</v>
      </c>
      <c r="T94" s="111">
        <f t="shared" si="188"/>
        <v>0.9073461152639577</v>
      </c>
      <c r="U94" s="98">
        <f t="shared" si="189"/>
        <v>0.59673016176550431</v>
      </c>
      <c r="AE94" s="38">
        <v>11</v>
      </c>
      <c r="AF94" s="93">
        <v>76943.268150582677</v>
      </c>
      <c r="AG94" s="37">
        <f t="shared" si="175"/>
        <v>0.82380372752229847</v>
      </c>
      <c r="AH94" s="38">
        <v>66901.495500000005</v>
      </c>
      <c r="AI94" s="37">
        <f t="shared" si="176"/>
        <v>0.71629010171306218</v>
      </c>
      <c r="AJ94" s="37">
        <f t="shared" si="177"/>
        <v>5.4900856232015904E-2</v>
      </c>
      <c r="AK94" s="38">
        <v>62507.292999999998</v>
      </c>
      <c r="AL94" s="37">
        <f t="shared" si="178"/>
        <v>0.93431832177802354</v>
      </c>
      <c r="AM94" s="7">
        <f t="shared" si="179"/>
        <v>1453.3739459815085</v>
      </c>
      <c r="AN94" s="38">
        <v>57774.364999999998</v>
      </c>
      <c r="AO94" s="37">
        <f t="shared" si="180"/>
        <v>0.92428198738345624</v>
      </c>
      <c r="AP94" s="50">
        <f t="shared" si="181"/>
        <v>3989.5252607088332</v>
      </c>
      <c r="AQ94" s="98">
        <f t="shared" si="190"/>
        <v>0.61856921841541757</v>
      </c>
      <c r="AR94" s="110">
        <f>INDEX(Daggett!$B$7:$M$21, MATCH(AE94,Daggett!$A$7:$A$21,0), MATCH(AC$90,Daggett!$B$6:$M$6,0))</f>
        <v>805.9677419354839</v>
      </c>
      <c r="AS94" s="4">
        <f t="shared" si="182"/>
        <v>0.87777426037200845</v>
      </c>
      <c r="AT94" s="98">
        <f t="shared" si="191"/>
        <v>0.54296413818348455</v>
      </c>
      <c r="AU94" s="111">
        <f t="shared" si="192"/>
        <v>0.90148999662563323</v>
      </c>
      <c r="AV94" s="98">
        <f t="shared" si="193"/>
        <v>0.55763396262203535</v>
      </c>
      <c r="BF94" s="38">
        <v>11</v>
      </c>
      <c r="BG94" s="93">
        <f>AF96</f>
        <v>85028.2556282484</v>
      </c>
      <c r="BH94" s="37">
        <f t="shared" si="183"/>
        <v>0.91036676261507921</v>
      </c>
      <c r="BI94" s="38">
        <f t="shared" ref="BI94:BQ94" si="201">AH96</f>
        <v>70157.695129999993</v>
      </c>
      <c r="BJ94" s="37">
        <f t="shared" si="201"/>
        <v>0.75115305278372579</v>
      </c>
      <c r="BK94" s="37">
        <f t="shared" si="201"/>
        <v>0.103140906416475</v>
      </c>
      <c r="BL94" s="38">
        <f t="shared" si="201"/>
        <v>66386.39</v>
      </c>
      <c r="BM94" s="37">
        <f t="shared" si="201"/>
        <v>0.94624531032537651</v>
      </c>
      <c r="BN94" s="7">
        <f t="shared" si="201"/>
        <v>1543.5678776517705</v>
      </c>
      <c r="BO94" s="38">
        <f t="shared" si="201"/>
        <v>61389.68</v>
      </c>
      <c r="BP94" s="37">
        <f t="shared" si="201"/>
        <v>0.92473291588833195</v>
      </c>
      <c r="BQ94" s="50">
        <f t="shared" si="201"/>
        <v>4239.1756120007876</v>
      </c>
      <c r="BR94" s="98">
        <f t="shared" si="185"/>
        <v>0.6572770877944325</v>
      </c>
      <c r="BS94" s="110">
        <f>INDEX(Daggett!$B$7:$M$21, MATCH(BF94,Daggett!$A$7:$A$21,0), MATCH(BD$90,Daggett!$B$6:$M$6,0))</f>
        <v>805.9677419354839</v>
      </c>
      <c r="BT94" s="4">
        <f t="shared" si="186"/>
        <v>0.884972286976206</v>
      </c>
      <c r="BU94" s="98">
        <f t="shared" si="195"/>
        <v>0.58167200756249948</v>
      </c>
      <c r="BV94" s="111">
        <f t="shared" si="196"/>
        <v>0.90729137387420988</v>
      </c>
      <c r="BW94" s="98">
        <f t="shared" si="197"/>
        <v>0.59634183200105029</v>
      </c>
    </row>
    <row r="95" spans="2:97">
      <c r="D95" s="38">
        <v>12</v>
      </c>
      <c r="E95" s="93">
        <v>86201.970612319186</v>
      </c>
      <c r="F95" s="37">
        <f t="shared" si="166"/>
        <v>0.92293330420041952</v>
      </c>
      <c r="G95" s="38">
        <v>70899.56</v>
      </c>
      <c r="H95" s="37">
        <f t="shared" si="167"/>
        <v>0.75909593147751608</v>
      </c>
      <c r="I95" s="37">
        <f t="shared" si="168"/>
        <v>0.10599794200735591</v>
      </c>
      <c r="J95" s="38">
        <v>67331.559500000003</v>
      </c>
      <c r="K95" s="37">
        <f t="shared" si="169"/>
        <v>0.9496752800722601</v>
      </c>
      <c r="L95" s="7">
        <f t="shared" si="170"/>
        <v>1565.5442688840124</v>
      </c>
      <c r="M95" s="38">
        <v>61683.93</v>
      </c>
      <c r="N95" s="37">
        <f t="shared" si="171"/>
        <v>0.91612210467217825</v>
      </c>
      <c r="O95" s="50">
        <f t="shared" si="172"/>
        <v>4259.4946204046628</v>
      </c>
      <c r="P95" s="98">
        <f t="shared" si="173"/>
        <v>0.6604275160599572</v>
      </c>
      <c r="Q95" s="110">
        <f>INDEX(Daggett!$B$7:$M$21, MATCH(D95,Daggett!$A$7:$A$21,0), MATCH(B$90,Daggett!$B$6:$M$6,0))</f>
        <v>829.45161290322585</v>
      </c>
      <c r="R95" s="4">
        <f t="shared" si="174"/>
        <v>0.88876219177743943</v>
      </c>
      <c r="S95" s="98">
        <f t="shared" si="187"/>
        <v>0.58696300668357759</v>
      </c>
      <c r="T95" s="111">
        <f t="shared" si="188"/>
        <v>0.90773362055397744</v>
      </c>
      <c r="U95" s="98">
        <f t="shared" si="189"/>
        <v>0.59949226026657498</v>
      </c>
      <c r="AE95" s="38">
        <v>12</v>
      </c>
      <c r="AF95" s="93">
        <v>81387.593167432206</v>
      </c>
      <c r="AG95" s="37">
        <f t="shared" si="175"/>
        <v>0.87138750714595514</v>
      </c>
      <c r="AH95" s="38">
        <v>68441.6495</v>
      </c>
      <c r="AI95" s="37">
        <f t="shared" si="176"/>
        <v>0.73277997323340471</v>
      </c>
      <c r="AJ95" s="37">
        <f t="shared" si="177"/>
        <v>8.5940566769609372E-2</v>
      </c>
      <c r="AK95" s="38">
        <v>64525.680059999999</v>
      </c>
      <c r="AL95" s="37">
        <f t="shared" si="178"/>
        <v>0.94278382434368413</v>
      </c>
      <c r="AM95" s="7">
        <f t="shared" si="179"/>
        <v>1500.3040084609415</v>
      </c>
      <c r="AN95" s="38">
        <v>59803.098910000001</v>
      </c>
      <c r="AO95" s="37">
        <f t="shared" si="180"/>
        <v>0.92681082716821195</v>
      </c>
      <c r="AP95" s="50">
        <f t="shared" si="181"/>
        <v>4129.6165482755878</v>
      </c>
      <c r="AQ95" s="98">
        <f t="shared" si="190"/>
        <v>0.64029013822269809</v>
      </c>
      <c r="AR95" s="110">
        <f>INDEX(Daggett!$B$7:$M$21, MATCH(AE95,Daggett!$A$7:$A$21,0), MATCH(AC$90,Daggett!$B$6:$M$6,0))</f>
        <v>829.45161290322585</v>
      </c>
      <c r="AS95" s="4">
        <f t="shared" si="182"/>
        <v>0.88526371875678023</v>
      </c>
      <c r="AT95" s="98">
        <f t="shared" si="191"/>
        <v>0.56682562884631849</v>
      </c>
      <c r="AU95" s="111">
        <f t="shared" si="192"/>
        <v>0.90483180646429318</v>
      </c>
      <c r="AV95" s="98">
        <f t="shared" si="193"/>
        <v>0.57935488242931588</v>
      </c>
      <c r="BF95" s="38">
        <v>12</v>
      </c>
      <c r="BG95" s="93">
        <f>AF95</f>
        <v>81387.593167432206</v>
      </c>
      <c r="BH95" s="37">
        <f t="shared" si="183"/>
        <v>0.87138750714595514</v>
      </c>
      <c r="BI95" s="38">
        <f t="shared" ref="BI95:BQ95" si="202">AH95</f>
        <v>68441.6495</v>
      </c>
      <c r="BJ95" s="37">
        <f t="shared" si="202"/>
        <v>0.73277997323340471</v>
      </c>
      <c r="BK95" s="37">
        <f t="shared" si="202"/>
        <v>8.5940566769609372E-2</v>
      </c>
      <c r="BL95" s="38">
        <f t="shared" si="202"/>
        <v>64525.680059999999</v>
      </c>
      <c r="BM95" s="37">
        <f t="shared" si="202"/>
        <v>0.94278382434368413</v>
      </c>
      <c r="BN95" s="7">
        <f t="shared" si="202"/>
        <v>1500.3040084609415</v>
      </c>
      <c r="BO95" s="38">
        <f t="shared" si="202"/>
        <v>59803.098910000001</v>
      </c>
      <c r="BP95" s="37">
        <f t="shared" si="202"/>
        <v>0.92681082716821195</v>
      </c>
      <c r="BQ95" s="50">
        <f t="shared" si="202"/>
        <v>4129.6165482755878</v>
      </c>
      <c r="BR95" s="98">
        <f t="shared" si="185"/>
        <v>0.64029013822269809</v>
      </c>
      <c r="BS95" s="110">
        <f>INDEX(Daggett!$B$7:$M$21, MATCH(BF95,Daggett!$A$7:$A$21,0), MATCH(BD$90,Daggett!$B$6:$M$6,0))</f>
        <v>829.45161290322585</v>
      </c>
      <c r="BT95" s="4">
        <f t="shared" si="186"/>
        <v>0.88526371875678023</v>
      </c>
      <c r="BU95" s="98">
        <f t="shared" si="195"/>
        <v>0.56682562884631849</v>
      </c>
      <c r="BV95" s="111">
        <f t="shared" si="196"/>
        <v>0.90483180646429318</v>
      </c>
      <c r="BW95" s="98">
        <f t="shared" si="197"/>
        <v>0.57935488242931588</v>
      </c>
    </row>
    <row r="96" spans="2:97">
      <c r="D96" s="38">
        <v>13</v>
      </c>
      <c r="E96" s="93">
        <f>E94</f>
        <v>85481.379217571113</v>
      </c>
      <c r="F96" s="37">
        <f t="shared" si="166"/>
        <v>0.91521819290761364</v>
      </c>
      <c r="G96" s="38">
        <f t="shared" ref="G96:P96" si="203">G94</f>
        <v>70726.37</v>
      </c>
      <c r="H96" s="37">
        <f t="shared" si="203"/>
        <v>0.75724164882226974</v>
      </c>
      <c r="I96" s="37">
        <f t="shared" si="203"/>
        <v>0.1006639126076192</v>
      </c>
      <c r="J96" s="38">
        <f t="shared" si="203"/>
        <v>67189.88</v>
      </c>
      <c r="K96" s="37">
        <f t="shared" si="203"/>
        <v>0.94999757516185279</v>
      </c>
      <c r="L96" s="7">
        <f t="shared" si="203"/>
        <v>1562.25004057725</v>
      </c>
      <c r="M96" s="38">
        <f t="shared" si="203"/>
        <v>61425.95</v>
      </c>
      <c r="N96" s="37">
        <f t="shared" si="203"/>
        <v>0.91421431322693225</v>
      </c>
      <c r="O96" s="50">
        <f t="shared" si="203"/>
        <v>4241.680184421547</v>
      </c>
      <c r="P96" s="98">
        <f t="shared" si="203"/>
        <v>0.65766541755888652</v>
      </c>
      <c r="Q96" s="110">
        <f>INDEX(Daggett!$B$7:$M$21, MATCH(D96,Daggett!$A$7:$A$21,0), MATCH(B$90,Daggett!$B$6:$M$6,0))</f>
        <v>822.61290322580646</v>
      </c>
      <c r="R96" s="4">
        <f t="shared" si="174"/>
        <v>0.88736636105182898</v>
      </c>
      <c r="S96" s="98">
        <f t="shared" si="187"/>
        <v>0.5835901683688608</v>
      </c>
      <c r="T96" s="111">
        <f t="shared" si="188"/>
        <v>0.9073461152639577</v>
      </c>
      <c r="U96" s="98">
        <f t="shared" si="189"/>
        <v>0.59673016176550431</v>
      </c>
      <c r="AE96" s="38">
        <v>13</v>
      </c>
      <c r="AF96" s="93">
        <v>85028.2556282484</v>
      </c>
      <c r="AG96" s="37">
        <f t="shared" si="175"/>
        <v>0.91036676261507921</v>
      </c>
      <c r="AH96" s="38">
        <v>70157.695129999993</v>
      </c>
      <c r="AI96" s="37">
        <f t="shared" si="176"/>
        <v>0.75115305278372579</v>
      </c>
      <c r="AJ96" s="37">
        <f t="shared" si="177"/>
        <v>0.103140906416475</v>
      </c>
      <c r="AK96" s="38">
        <v>66386.39</v>
      </c>
      <c r="AL96" s="37">
        <f t="shared" si="178"/>
        <v>0.94624531032537651</v>
      </c>
      <c r="AM96" s="7">
        <f t="shared" si="179"/>
        <v>1543.5678776517705</v>
      </c>
      <c r="AN96" s="38">
        <v>61389.68</v>
      </c>
      <c r="AO96" s="37">
        <f t="shared" si="180"/>
        <v>0.92473291588833195</v>
      </c>
      <c r="AP96" s="50">
        <f t="shared" si="181"/>
        <v>4239.1756120007876</v>
      </c>
      <c r="AQ96" s="98">
        <f t="shared" si="190"/>
        <v>0.6572770877944325</v>
      </c>
      <c r="AR96" s="110">
        <f>INDEX(Daggett!$B$7:$M$21, MATCH(AE96,Daggett!$A$7:$A$21,0), MATCH(AC$90,Daggett!$B$6:$M$6,0))</f>
        <v>822.61290322580646</v>
      </c>
      <c r="AS96" s="4">
        <f t="shared" si="182"/>
        <v>0.887299815305302</v>
      </c>
      <c r="AT96" s="98">
        <f t="shared" si="191"/>
        <v>0.58320183860440677</v>
      </c>
      <c r="AU96" s="111">
        <f t="shared" si="192"/>
        <v>0.90729137387420988</v>
      </c>
      <c r="AV96" s="98">
        <f t="shared" si="193"/>
        <v>0.59634183200105029</v>
      </c>
      <c r="BF96" s="38">
        <v>13</v>
      </c>
      <c r="BG96" s="93">
        <f>AF94</f>
        <v>76943.268150582677</v>
      </c>
      <c r="BH96" s="37">
        <f t="shared" si="183"/>
        <v>0.82380372752229847</v>
      </c>
      <c r="BI96" s="38">
        <f t="shared" ref="BI96:BQ96" si="204">AH94</f>
        <v>66901.495500000005</v>
      </c>
      <c r="BJ96" s="37">
        <f t="shared" si="204"/>
        <v>0.71629010171306218</v>
      </c>
      <c r="BK96" s="37">
        <f t="shared" si="204"/>
        <v>5.4900856232015904E-2</v>
      </c>
      <c r="BL96" s="38">
        <f t="shared" si="204"/>
        <v>62507.292999999998</v>
      </c>
      <c r="BM96" s="37">
        <f t="shared" si="204"/>
        <v>0.93431832177802354</v>
      </c>
      <c r="BN96" s="7">
        <f t="shared" si="204"/>
        <v>1453.3739459815085</v>
      </c>
      <c r="BO96" s="38">
        <f t="shared" si="204"/>
        <v>57774.364999999998</v>
      </c>
      <c r="BP96" s="37">
        <f t="shared" si="204"/>
        <v>0.92428198738345624</v>
      </c>
      <c r="BQ96" s="50">
        <f t="shared" si="204"/>
        <v>3989.5252607088332</v>
      </c>
      <c r="BR96" s="98">
        <f t="shared" si="185"/>
        <v>0.61856921841541757</v>
      </c>
      <c r="BS96" s="110">
        <f>INDEX(Daggett!$B$7:$M$21, MATCH(BF96,Daggett!$A$7:$A$21,0), MATCH(BD$90,Daggett!$B$6:$M$6,0))</f>
        <v>822.61290322580646</v>
      </c>
      <c r="BT96" s="4">
        <f t="shared" si="186"/>
        <v>0.88024743717480214</v>
      </c>
      <c r="BU96" s="98">
        <f t="shared" si="195"/>
        <v>0.54449396922539173</v>
      </c>
      <c r="BV96" s="111">
        <f t="shared" si="196"/>
        <v>0.90148999662563323</v>
      </c>
      <c r="BW96" s="98">
        <f t="shared" si="197"/>
        <v>0.55763396262203535</v>
      </c>
    </row>
    <row r="97" spans="2:85">
      <c r="D97" s="38">
        <v>14</v>
      </c>
      <c r="E97" s="93">
        <f>E93</f>
        <v>83332.840937163244</v>
      </c>
      <c r="F97" s="37">
        <f t="shared" si="166"/>
        <v>0.89221457106170499</v>
      </c>
      <c r="G97" s="38">
        <f t="shared" ref="G97:P97" si="205">G93</f>
        <v>68831.16</v>
      </c>
      <c r="H97" s="37">
        <f t="shared" si="205"/>
        <v>0.7369503211991435</v>
      </c>
      <c r="I97" s="37">
        <f t="shared" si="205"/>
        <v>0.10219695597220069</v>
      </c>
      <c r="J97" s="38">
        <f t="shared" si="205"/>
        <v>65100.6</v>
      </c>
      <c r="K97" s="37">
        <f t="shared" si="205"/>
        <v>0.94580129115941092</v>
      </c>
      <c r="L97" s="7">
        <f t="shared" si="205"/>
        <v>1513.671627209385</v>
      </c>
      <c r="M97" s="38">
        <f t="shared" si="205"/>
        <v>59571.44</v>
      </c>
      <c r="N97" s="37">
        <f t="shared" si="205"/>
        <v>0.91506744945515106</v>
      </c>
      <c r="O97" s="50">
        <f t="shared" si="205"/>
        <v>4113.6196771145933</v>
      </c>
      <c r="P97" s="98">
        <f t="shared" si="205"/>
        <v>0.63780985010706637</v>
      </c>
      <c r="Q97" s="110">
        <f>INDEX(Daggett!$B$7:$M$21, MATCH(D97,Daggett!$A$7:$A$21,0), MATCH(B$90,Daggett!$B$6:$M$6,0))</f>
        <v>801.67741935483866</v>
      </c>
      <c r="R97" s="4">
        <f t="shared" si="174"/>
        <v>0.8808270293051722</v>
      </c>
      <c r="S97" s="98">
        <f t="shared" si="187"/>
        <v>0.5618001555313844</v>
      </c>
      <c r="T97" s="111">
        <f t="shared" si="188"/>
        <v>0.90446172039652062</v>
      </c>
      <c r="U97" s="98">
        <f t="shared" si="189"/>
        <v>0.57687459431368415</v>
      </c>
      <c r="AE97" s="38">
        <v>14</v>
      </c>
      <c r="AF97" s="93">
        <v>87731.017856478822</v>
      </c>
      <c r="AG97" s="37">
        <f t="shared" si="175"/>
        <v>0.93930425970534071</v>
      </c>
      <c r="AH97" s="38">
        <v>71388.339640000006</v>
      </c>
      <c r="AI97" s="37">
        <f t="shared" si="176"/>
        <v>0.76432911820128491</v>
      </c>
      <c r="AJ97" s="37">
        <f t="shared" si="177"/>
        <v>0.11552352584387882</v>
      </c>
      <c r="AK97" s="38">
        <v>67858.666500000007</v>
      </c>
      <c r="AL97" s="37">
        <f t="shared" si="178"/>
        <v>0.9505567273619252</v>
      </c>
      <c r="AM97" s="7">
        <f t="shared" si="179"/>
        <v>1577.800176055428</v>
      </c>
      <c r="AN97" s="38">
        <v>62105.439345999999</v>
      </c>
      <c r="AO97" s="37">
        <f t="shared" si="180"/>
        <v>0.91521750351519204</v>
      </c>
      <c r="AP97" s="50">
        <f t="shared" si="181"/>
        <v>4288.6013389898326</v>
      </c>
      <c r="AQ97" s="98">
        <f t="shared" si="190"/>
        <v>0.66494046408993579</v>
      </c>
      <c r="AR97" s="110">
        <f>INDEX(Daggett!$B$7:$M$21, MATCH(AE97,Daggett!$A$7:$A$21,0), MATCH(AC$90,Daggett!$B$6:$M$6,0))</f>
        <v>801.67741935483866</v>
      </c>
      <c r="AS97" s="4">
        <f t="shared" si="182"/>
        <v>0.88568947344825544</v>
      </c>
      <c r="AT97" s="98">
        <f t="shared" si="191"/>
        <v>0.58893076951425383</v>
      </c>
      <c r="AU97" s="111">
        <f t="shared" si="192"/>
        <v>0.90835983206890469</v>
      </c>
      <c r="AV97" s="98">
        <f t="shared" si="193"/>
        <v>0.60400520829655358</v>
      </c>
      <c r="BF97" s="38">
        <v>14</v>
      </c>
      <c r="BG97" s="93">
        <f>AF93</f>
        <v>71879.042359793486</v>
      </c>
      <c r="BH97" s="37">
        <f t="shared" si="183"/>
        <v>0.76958289464446983</v>
      </c>
      <c r="BI97" s="38">
        <f t="shared" ref="BI97:BQ97" si="206">AH93</f>
        <v>63752.53</v>
      </c>
      <c r="BJ97" s="37">
        <f t="shared" si="206"/>
        <v>0.68257526766595289</v>
      </c>
      <c r="BK97" s="37">
        <f t="shared" si="206"/>
        <v>3.5932783939935375E-2</v>
      </c>
      <c r="BL97" s="38">
        <f t="shared" si="206"/>
        <v>58573.557999999997</v>
      </c>
      <c r="BM97" s="37">
        <f t="shared" si="206"/>
        <v>0.91876444746584951</v>
      </c>
      <c r="BN97" s="7">
        <f t="shared" si="206"/>
        <v>1361.9096114214506</v>
      </c>
      <c r="BO97" s="38">
        <f t="shared" si="206"/>
        <v>54519.444799999997</v>
      </c>
      <c r="BP97" s="37">
        <f t="shared" si="206"/>
        <v>0.93078594952350346</v>
      </c>
      <c r="BQ97" s="50">
        <f t="shared" si="206"/>
        <v>3764.7614513707049</v>
      </c>
      <c r="BR97" s="98">
        <f t="shared" si="185"/>
        <v>0.58371996573875795</v>
      </c>
      <c r="BS97" s="110">
        <f>INDEX(Daggett!$B$7:$M$21, MATCH(BF97,Daggett!$A$7:$A$21,0), MATCH(BD$90,Daggett!$B$6:$M$6,0))</f>
        <v>801.67741935483866</v>
      </c>
      <c r="BT97" s="4">
        <f t="shared" si="186"/>
        <v>0.86978397341697256</v>
      </c>
      <c r="BU97" s="98">
        <f t="shared" si="195"/>
        <v>0.50771027116307599</v>
      </c>
      <c r="BV97" s="111">
        <f t="shared" si="196"/>
        <v>0.89560875185027755</v>
      </c>
      <c r="BW97" s="98">
        <f t="shared" si="197"/>
        <v>0.52278470994537574</v>
      </c>
    </row>
    <row r="98" spans="2:85">
      <c r="D98" s="38">
        <v>15</v>
      </c>
      <c r="E98" s="93">
        <f>E92</f>
        <v>79796.023533024461</v>
      </c>
      <c r="F98" s="37">
        <f t="shared" si="166"/>
        <v>0.85434714703452319</v>
      </c>
      <c r="G98" s="38">
        <f t="shared" ref="G98:P98" si="207">G92</f>
        <v>66443.937999999995</v>
      </c>
      <c r="H98" s="37">
        <f t="shared" si="207"/>
        <v>0.71139119914346893</v>
      </c>
      <c r="I98" s="37">
        <f t="shared" si="207"/>
        <v>9.4921419120080786E-2</v>
      </c>
      <c r="J98" s="38">
        <f t="shared" si="207"/>
        <v>62334.39</v>
      </c>
      <c r="K98" s="37">
        <f t="shared" si="207"/>
        <v>0.93815014396046192</v>
      </c>
      <c r="L98" s="7">
        <f t="shared" si="207"/>
        <v>1449.3537316461664</v>
      </c>
      <c r="M98" s="38">
        <f t="shared" si="207"/>
        <v>56892.5</v>
      </c>
      <c r="N98" s="37">
        <f t="shared" si="207"/>
        <v>0.91269843179663745</v>
      </c>
      <c r="O98" s="50">
        <f t="shared" si="207"/>
        <v>3928.629347892916</v>
      </c>
      <c r="P98" s="98">
        <f t="shared" si="207"/>
        <v>0.60912740899357598</v>
      </c>
      <c r="Q98" s="110">
        <f>INDEX(Daggett!$B$7:$M$21, MATCH(D98,Daggett!$A$7:$A$21,0), MATCH(B$90,Daggett!$B$6:$M$6,0))</f>
        <v>756.32258064516134</v>
      </c>
      <c r="R98" s="4">
        <f t="shared" si="174"/>
        <v>0.86773241326331707</v>
      </c>
      <c r="S98" s="98">
        <f t="shared" si="187"/>
        <v>0.52855959659082719</v>
      </c>
      <c r="T98" s="111">
        <f t="shared" si="188"/>
        <v>0.89996303746360418</v>
      </c>
      <c r="U98" s="98">
        <f t="shared" si="189"/>
        <v>0.54819215320019377</v>
      </c>
      <c r="AE98" s="38">
        <v>15</v>
      </c>
      <c r="AF98" s="93">
        <v>89403.666741955953</v>
      </c>
      <c r="AG98" s="37">
        <f t="shared" si="175"/>
        <v>0.95721270601665898</v>
      </c>
      <c r="AH98" s="38">
        <v>71758.317999999999</v>
      </c>
      <c r="AI98" s="37">
        <f t="shared" si="176"/>
        <v>0.76829034261241969</v>
      </c>
      <c r="AJ98" s="37">
        <f t="shared" si="177"/>
        <v>0.12757301147105049</v>
      </c>
      <c r="AK98" s="38">
        <v>68164.865000000005</v>
      </c>
      <c r="AL98" s="37">
        <f t="shared" si="178"/>
        <v>0.94992283682011613</v>
      </c>
      <c r="AM98" s="7">
        <f t="shared" si="179"/>
        <v>1584.9196800499237</v>
      </c>
      <c r="AN98" s="38">
        <v>62935.428</v>
      </c>
      <c r="AO98" s="37">
        <f t="shared" si="180"/>
        <v>0.9232825151197761</v>
      </c>
      <c r="AP98" s="50">
        <f t="shared" si="181"/>
        <v>4345.9150057213437</v>
      </c>
      <c r="AQ98" s="98">
        <f t="shared" si="190"/>
        <v>0.673826852248394</v>
      </c>
      <c r="AR98" s="110">
        <f>INDEX(Daggett!$B$7:$M$21, MATCH(AE98,Daggett!$A$7:$A$21,0), MATCH(AC$90,Daggett!$B$6:$M$6,0))</f>
        <v>756.32258064516134</v>
      </c>
      <c r="AS98" s="4">
        <f t="shared" si="182"/>
        <v>0.88043246995290581</v>
      </c>
      <c r="AT98" s="98">
        <f t="shared" si="191"/>
        <v>0.59325903984564521</v>
      </c>
      <c r="AU98" s="111">
        <f t="shared" si="192"/>
        <v>0.90956837711341376</v>
      </c>
      <c r="AV98" s="98">
        <f t="shared" si="193"/>
        <v>0.61289159645501179</v>
      </c>
      <c r="BF98" s="38">
        <v>15</v>
      </c>
      <c r="BG98" s="93">
        <f>AF92</f>
        <v>66438.879225666475</v>
      </c>
      <c r="BH98" s="37">
        <f t="shared" si="183"/>
        <v>0.71133703667737125</v>
      </c>
      <c r="BI98" s="38">
        <f t="shared" ref="BI98:BQ98" si="208">AH92</f>
        <v>59264.989399999999</v>
      </c>
      <c r="BJ98" s="37">
        <f t="shared" si="208"/>
        <v>0.63452879443254817</v>
      </c>
      <c r="BK98" s="37">
        <f t="shared" si="208"/>
        <v>3.0410092856526183E-2</v>
      </c>
      <c r="BL98" s="38">
        <f t="shared" si="208"/>
        <v>53367.869317999997</v>
      </c>
      <c r="BM98" s="37">
        <f t="shared" si="208"/>
        <v>0.90049572029451841</v>
      </c>
      <c r="BN98" s="7">
        <f t="shared" si="208"/>
        <v>1240.8707383845135</v>
      </c>
      <c r="BO98" s="38">
        <f t="shared" si="208"/>
        <v>49567.324000000001</v>
      </c>
      <c r="BP98" s="37">
        <f t="shared" si="208"/>
        <v>0.92878588996397982</v>
      </c>
      <c r="BQ98" s="50">
        <f t="shared" si="208"/>
        <v>3422.7999079477418</v>
      </c>
      <c r="BR98" s="98">
        <f t="shared" si="185"/>
        <v>0.53069940042826558</v>
      </c>
      <c r="BS98" s="110">
        <f>INDEX(Daggett!$B$7:$M$21, MATCH(BF98,Daggett!$A$7:$A$21,0), MATCH(BD$90,Daggett!$B$6:$M$6,0))</f>
        <v>756.32258064516134</v>
      </c>
      <c r="BT98" s="4">
        <f t="shared" si="186"/>
        <v>0.84818559746302347</v>
      </c>
      <c r="BU98" s="98">
        <f t="shared" si="195"/>
        <v>0.45013158802551678</v>
      </c>
      <c r="BV98" s="111">
        <f t="shared" si="196"/>
        <v>0.88517933929413062</v>
      </c>
      <c r="BW98" s="98">
        <f t="shared" si="197"/>
        <v>0.46976414463488336</v>
      </c>
    </row>
    <row r="99" spans="2:85">
      <c r="D99" s="38">
        <v>16</v>
      </c>
      <c r="E99" s="93">
        <f>E91</f>
        <v>74936.988836526565</v>
      </c>
      <c r="F99" s="37">
        <f t="shared" si="166"/>
        <v>0.80232322094782194</v>
      </c>
      <c r="G99" s="38">
        <f t="shared" ref="G99:P99" si="209">G91</f>
        <v>58749.131000000001</v>
      </c>
      <c r="H99" s="37">
        <f t="shared" si="209"/>
        <v>0.62900568522483946</v>
      </c>
      <c r="I99" s="37">
        <f t="shared" si="209"/>
        <v>0.14784738380319984</v>
      </c>
      <c r="J99" s="38">
        <f t="shared" si="209"/>
        <v>54650.97</v>
      </c>
      <c r="K99" s="37">
        <f t="shared" si="209"/>
        <v>0.93024303627571958</v>
      </c>
      <c r="L99" s="7">
        <f t="shared" si="209"/>
        <v>1270.7044587679882</v>
      </c>
      <c r="M99" s="38">
        <f t="shared" si="209"/>
        <v>49989.01</v>
      </c>
      <c r="N99" s="37">
        <f t="shared" si="209"/>
        <v>0.91469575013947602</v>
      </c>
      <c r="O99" s="50">
        <f t="shared" si="209"/>
        <v>3451.9188251195233</v>
      </c>
      <c r="P99" s="98">
        <f t="shared" si="209"/>
        <v>0.53521423982869376</v>
      </c>
      <c r="Q99" s="110">
        <f>INDEX(Daggett!$B$7:$M$21, MATCH(D99,Daggett!$A$7:$A$21,0), MATCH(B$90,Daggett!$B$6:$M$6,0))</f>
        <v>716.54838709677415</v>
      </c>
      <c r="R99" s="4">
        <f t="shared" si="174"/>
        <v>0.8411104057172385</v>
      </c>
      <c r="S99" s="98">
        <f t="shared" si="187"/>
        <v>0.45017426640795599</v>
      </c>
      <c r="T99" s="111">
        <f t="shared" si="188"/>
        <v>0.88614791749022648</v>
      </c>
      <c r="U99" s="98">
        <f t="shared" si="189"/>
        <v>0.4742789840353116</v>
      </c>
      <c r="AE99" s="38">
        <v>16</v>
      </c>
      <c r="AF99" s="93">
        <v>89992.01382173544</v>
      </c>
      <c r="AG99" s="37">
        <f t="shared" si="175"/>
        <v>0.96351192528624663</v>
      </c>
      <c r="AH99" s="38">
        <v>64360.29</v>
      </c>
      <c r="AI99" s="37">
        <f t="shared" si="176"/>
        <v>0.68908233404710917</v>
      </c>
      <c r="AJ99" s="37">
        <f t="shared" si="177"/>
        <v>0.22263283167438885</v>
      </c>
      <c r="AK99" s="38">
        <v>61178.391000000003</v>
      </c>
      <c r="AL99" s="37">
        <f t="shared" si="178"/>
        <v>0.95056114570024475</v>
      </c>
      <c r="AM99" s="7">
        <f t="shared" si="179"/>
        <v>1422.4752867872492</v>
      </c>
      <c r="AN99" s="38">
        <v>56371.2958</v>
      </c>
      <c r="AO99" s="37">
        <f t="shared" si="180"/>
        <v>0.92142494888432092</v>
      </c>
      <c r="AP99" s="50">
        <f t="shared" si="181"/>
        <v>3892.6383452763134</v>
      </c>
      <c r="AQ99" s="98">
        <f t="shared" si="190"/>
        <v>0.60354706423982873</v>
      </c>
      <c r="AR99" s="110">
        <f>INDEX(Daggett!$B$7:$M$21, MATCH(AE99,Daggett!$A$7:$A$21,0), MATCH(AC$90,Daggett!$B$6:$M$6,0))</f>
        <v>716.54838709677415</v>
      </c>
      <c r="AS99" s="4">
        <f t="shared" si="182"/>
        <v>0.85909968176575235</v>
      </c>
      <c r="AT99" s="98">
        <f t="shared" si="191"/>
        <v>0.51850709081909097</v>
      </c>
      <c r="AU99" s="111">
        <f t="shared" si="192"/>
        <v>0.89903810422782771</v>
      </c>
      <c r="AV99" s="98">
        <f t="shared" si="193"/>
        <v>0.54261180844644652</v>
      </c>
      <c r="BF99" s="38">
        <v>16</v>
      </c>
      <c r="BG99" s="93">
        <f>AF91</f>
        <v>60942.666984972857</v>
      </c>
      <c r="BH99" s="37">
        <f t="shared" si="183"/>
        <v>0.65249108120955945</v>
      </c>
      <c r="BI99" s="38">
        <f t="shared" ref="BI99:BQ99" si="210">AH91</f>
        <v>52522.841</v>
      </c>
      <c r="BJ99" s="37">
        <f t="shared" si="210"/>
        <v>0.56234305139186291</v>
      </c>
      <c r="BK99" s="37">
        <f t="shared" si="210"/>
        <v>6.3217161479090511E-2</v>
      </c>
      <c r="BL99" s="38">
        <f t="shared" si="210"/>
        <v>46449.716099999998</v>
      </c>
      <c r="BM99" s="37">
        <f t="shared" si="210"/>
        <v>0.88437173647937284</v>
      </c>
      <c r="BN99" s="7">
        <f t="shared" si="210"/>
        <v>1080.0148900701524</v>
      </c>
      <c r="BO99" s="38">
        <f t="shared" si="210"/>
        <v>43165.392</v>
      </c>
      <c r="BP99" s="37">
        <f t="shared" si="210"/>
        <v>0.92929291337477093</v>
      </c>
      <c r="BQ99" s="50">
        <f t="shared" si="210"/>
        <v>2980.7237478490501</v>
      </c>
      <c r="BR99" s="98">
        <f t="shared" si="185"/>
        <v>0.46215623126338329</v>
      </c>
      <c r="BS99" s="110">
        <f>INDEX(Daggett!$B$7:$M$21, MATCH(BF99,Daggett!$A$7:$A$21,0), MATCH(BD$90,Daggett!$B$6:$M$6,0))</f>
        <v>716.54838709677415</v>
      </c>
      <c r="BT99" s="4">
        <f t="shared" si="186"/>
        <v>0.81599301779775546</v>
      </c>
      <c r="BU99" s="98">
        <f t="shared" si="195"/>
        <v>0.37711625784264552</v>
      </c>
      <c r="BV99" s="111">
        <f t="shared" si="196"/>
        <v>0.86815009368843687</v>
      </c>
      <c r="BW99" s="98">
        <f t="shared" si="197"/>
        <v>0.40122097547000107</v>
      </c>
    </row>
    <row r="100" spans="2:85">
      <c r="C100" s="7" t="s">
        <v>160</v>
      </c>
      <c r="D100" s="38">
        <v>17</v>
      </c>
      <c r="E100" s="93">
        <f>E90</f>
        <v>68848.465199787737</v>
      </c>
      <c r="F100" s="37">
        <f t="shared" si="166"/>
        <v>0.73713560171078951</v>
      </c>
      <c r="G100" s="38">
        <f t="shared" ref="G100:P100" si="211">G90</f>
        <v>42831.96</v>
      </c>
      <c r="H100" s="37">
        <f t="shared" si="211"/>
        <v>0.458586295503212</v>
      </c>
      <c r="I100" s="37">
        <f t="shared" si="211"/>
        <v>0.32378335340127384</v>
      </c>
      <c r="J100" s="38">
        <f t="shared" si="211"/>
        <v>39057.32</v>
      </c>
      <c r="K100" s="37">
        <f t="shared" si="211"/>
        <v>0.91187328340799723</v>
      </c>
      <c r="L100" s="7">
        <f t="shared" si="211"/>
        <v>908.13229246485673</v>
      </c>
      <c r="M100" s="38">
        <f t="shared" si="211"/>
        <v>35439.019999999997</v>
      </c>
      <c r="N100" s="37">
        <f t="shared" si="211"/>
        <v>0.90735923509344718</v>
      </c>
      <c r="O100" s="50">
        <f t="shared" si="211"/>
        <v>2447.1902980632594</v>
      </c>
      <c r="P100" s="98">
        <f t="shared" si="211"/>
        <v>0.37943276231263379</v>
      </c>
      <c r="Q100" s="110">
        <f>INDEX(Daggett!$B$7:$M$21, MATCH(D100,Daggett!$A$7:$A$21,0), MATCH(B$90,Daggett!$B$6:$M$6,0))</f>
        <v>642.87096774193549</v>
      </c>
      <c r="R100" s="4">
        <f t="shared" si="174"/>
        <v>0.75018989744237929</v>
      </c>
      <c r="S100" s="98">
        <f t="shared" si="187"/>
        <v>0.2846466250455934</v>
      </c>
      <c r="T100" s="111">
        <f t="shared" si="188"/>
        <v>0.83940433761707012</v>
      </c>
      <c r="U100" s="98">
        <f t="shared" si="189"/>
        <v>0.31849750651925157</v>
      </c>
      <c r="AD100" s="7" t="s">
        <v>160</v>
      </c>
      <c r="AE100" s="38">
        <v>17</v>
      </c>
      <c r="AF100" s="93">
        <v>89477.662547194806</v>
      </c>
      <c r="AG100" s="37">
        <f t="shared" si="175"/>
        <v>0.95800495232542615</v>
      </c>
      <c r="AH100" s="38">
        <v>52598.329299999998</v>
      </c>
      <c r="AI100" s="37">
        <f t="shared" si="176"/>
        <v>0.56315127730192716</v>
      </c>
      <c r="AJ100" s="37">
        <f t="shared" si="177"/>
        <v>0.36104614897531451</v>
      </c>
      <c r="AK100" s="38">
        <v>49938.5429</v>
      </c>
      <c r="AL100" s="37">
        <f t="shared" si="178"/>
        <v>0.94943211247586157</v>
      </c>
      <c r="AM100" s="7">
        <f t="shared" si="179"/>
        <v>1161.1345439505731</v>
      </c>
      <c r="AN100" s="38">
        <v>45176.707199999997</v>
      </c>
      <c r="AO100" s="37">
        <f t="shared" si="180"/>
        <v>0.90464608249513012</v>
      </c>
      <c r="AP100" s="50">
        <f t="shared" si="181"/>
        <v>3119.6122115759581</v>
      </c>
      <c r="AQ100" s="98">
        <f t="shared" si="190"/>
        <v>0.48369065524625265</v>
      </c>
      <c r="AR100" s="110">
        <f>INDEX(Daggett!$B$7:$M$21, MATCH(AE100,Daggett!$A$7:$A$21,0), MATCH(AC$90,Daggett!$B$6:$M$6,0))</f>
        <v>642.87096774193549</v>
      </c>
      <c r="AS100" s="4">
        <f t="shared" si="182"/>
        <v>0.80403562434179421</v>
      </c>
      <c r="AT100" s="98">
        <f t="shared" si="191"/>
        <v>0.38890451797921227</v>
      </c>
      <c r="AU100" s="111">
        <f t="shared" si="192"/>
        <v>0.87402019217766502</v>
      </c>
      <c r="AV100" s="98">
        <f t="shared" si="193"/>
        <v>0.42275539945287044</v>
      </c>
      <c r="BE100" s="7" t="s">
        <v>160</v>
      </c>
      <c r="BF100" s="38">
        <v>17</v>
      </c>
      <c r="BG100" s="93">
        <f>AF90</f>
        <v>55802.941411720676</v>
      </c>
      <c r="BH100" s="37">
        <f t="shared" si="183"/>
        <v>0.5974618994830907</v>
      </c>
      <c r="BI100" s="38">
        <f t="shared" ref="BI100:BQ100" si="212">AH90</f>
        <v>44423.696000000004</v>
      </c>
      <c r="BJ100" s="37">
        <f t="shared" si="212"/>
        <v>0.47562843683083517</v>
      </c>
      <c r="BK100" s="37">
        <f t="shared" si="212"/>
        <v>0.13469389130060183</v>
      </c>
      <c r="BL100" s="38">
        <f t="shared" si="212"/>
        <v>38164.218999999997</v>
      </c>
      <c r="BM100" s="37">
        <f t="shared" si="212"/>
        <v>0.85909598787097752</v>
      </c>
      <c r="BN100" s="7">
        <f t="shared" si="212"/>
        <v>887.36655998416791</v>
      </c>
      <c r="BO100" s="38">
        <f t="shared" si="212"/>
        <v>35354.684000000001</v>
      </c>
      <c r="BP100" s="37">
        <f t="shared" si="212"/>
        <v>0.92638300812601471</v>
      </c>
      <c r="BQ100" s="50">
        <f t="shared" si="212"/>
        <v>2441.3665974931691</v>
      </c>
      <c r="BR100" s="98">
        <f t="shared" si="185"/>
        <v>0.37852980728051394</v>
      </c>
      <c r="BS100" s="110">
        <f>INDEX(Daggett!$B$7:$M$21, MATCH(BF100,Daggett!$A$7:$A$21,0), MATCH(BD$90,Daggett!$B$6:$M$6,0))</f>
        <v>642.87096774193549</v>
      </c>
      <c r="BT100" s="4">
        <f t="shared" si="186"/>
        <v>0.74959399380456704</v>
      </c>
      <c r="BU100" s="98">
        <f t="shared" si="195"/>
        <v>0.2837436700134735</v>
      </c>
      <c r="BV100" s="111">
        <f t="shared" si="196"/>
        <v>0.83902124846874893</v>
      </c>
      <c r="BW100" s="98">
        <f t="shared" si="197"/>
        <v>0.31759455148713173</v>
      </c>
    </row>
    <row r="101" spans="2:85">
      <c r="C101" s="7">
        <f>ROW(D101)-ROW(D89)+1</f>
        <v>13</v>
      </c>
      <c r="D101" s="38">
        <v>18</v>
      </c>
      <c r="E101" s="93">
        <f>E89</f>
        <v>61651.230458506849</v>
      </c>
      <c r="F101" s="37">
        <f t="shared" si="166"/>
        <v>0.66007741390264296</v>
      </c>
      <c r="G101" s="38">
        <f t="shared" ref="G101:P101" si="213">G89</f>
        <v>28328.52</v>
      </c>
      <c r="H101" s="37">
        <f t="shared" si="213"/>
        <v>0.30330321199143467</v>
      </c>
      <c r="I101" s="37">
        <f t="shared" si="213"/>
        <v>0.5005473639988216</v>
      </c>
      <c r="J101" s="38">
        <f t="shared" si="213"/>
        <v>24462.239000000001</v>
      </c>
      <c r="K101" s="37">
        <f t="shared" si="213"/>
        <v>0.86351983795835441</v>
      </c>
      <c r="L101" s="7">
        <f t="shared" si="213"/>
        <v>568.77812358587914</v>
      </c>
      <c r="M101" s="38">
        <f t="shared" si="213"/>
        <v>22107.993900000001</v>
      </c>
      <c r="N101" s="37">
        <f t="shared" si="213"/>
        <v>0.90376003194147514</v>
      </c>
      <c r="O101" s="50">
        <f t="shared" si="213"/>
        <v>1526.6355610770763</v>
      </c>
      <c r="P101" s="98">
        <f t="shared" si="213"/>
        <v>0.23670229014989294</v>
      </c>
      <c r="Q101" s="110">
        <f>INDEX(Daggett!$B$7:$M$21, MATCH(D101,Daggett!$A$7:$A$21,0), MATCH(B$90,Daggett!$B$6:$M$6,0))</f>
        <v>457.06451612903226</v>
      </c>
      <c r="R101" s="4">
        <f t="shared" si="174"/>
        <v>0.43676624792479646</v>
      </c>
      <c r="S101" s="98">
        <f t="shared" si="187"/>
        <v>0.10338357114397524</v>
      </c>
      <c r="T101" s="111">
        <f t="shared" si="188"/>
        <v>0.74256583764020778</v>
      </c>
      <c r="U101" s="98">
        <f t="shared" si="189"/>
        <v>0.17576703435651075</v>
      </c>
      <c r="AD101" s="7">
        <f>ROW(AE101)-ROW(AE89)+1</f>
        <v>13</v>
      </c>
      <c r="AE101" s="38">
        <v>18</v>
      </c>
      <c r="AF101" s="93">
        <v>87877.302882866716</v>
      </c>
      <c r="AG101" s="37">
        <f t="shared" si="175"/>
        <v>0.94087048054461153</v>
      </c>
      <c r="AH101" s="38">
        <v>28976.738000000001</v>
      </c>
      <c r="AI101" s="37">
        <f t="shared" si="176"/>
        <v>0.31024344753747324</v>
      </c>
      <c r="AJ101" s="37">
        <f t="shared" si="177"/>
        <v>0.6415860146526311</v>
      </c>
      <c r="AK101" s="38">
        <v>27435.624454000001</v>
      </c>
      <c r="AL101" s="37">
        <f t="shared" si="178"/>
        <v>0.94681549227521744</v>
      </c>
      <c r="AM101" s="7">
        <f t="shared" si="179"/>
        <v>637.91311156566564</v>
      </c>
      <c r="AN101" s="38">
        <v>24434.241160000001</v>
      </c>
      <c r="AO101" s="37">
        <f t="shared" si="180"/>
        <v>0.89060269799828051</v>
      </c>
      <c r="AP101" s="50">
        <f t="shared" si="181"/>
        <v>1687.2712029646975</v>
      </c>
      <c r="AQ101" s="98">
        <f t="shared" si="190"/>
        <v>0.26160857773019275</v>
      </c>
      <c r="AR101" s="110">
        <f>INDEX(Daggett!$B$7:$M$21, MATCH(AE101,Daggett!$A$7:$A$21,0), MATCH(AC$90,Daggett!$B$6:$M$6,0))</f>
        <v>457.06451612903226</v>
      </c>
      <c r="AS101" s="4">
        <f t="shared" si="182"/>
        <v>0.49038857914125977</v>
      </c>
      <c r="AT101" s="98">
        <f t="shared" si="191"/>
        <v>0.12828985872427504</v>
      </c>
      <c r="AU101" s="111">
        <f t="shared" si="192"/>
        <v>0.76707470251137133</v>
      </c>
      <c r="AV101" s="98">
        <f t="shared" si="193"/>
        <v>0.20067332193681056</v>
      </c>
      <c r="BE101" s="7">
        <f>ROW(BF101)-ROW(BF89)+1</f>
        <v>13</v>
      </c>
      <c r="BF101" s="38">
        <v>18</v>
      </c>
      <c r="BG101" s="93">
        <f>AF89</f>
        <v>51528.423381125023</v>
      </c>
      <c r="BH101" s="37">
        <f t="shared" si="183"/>
        <v>0.55169618181076041</v>
      </c>
      <c r="BI101" s="38">
        <f t="shared" ref="BI101:BQ101" si="214">AH89</f>
        <v>27789.79</v>
      </c>
      <c r="BJ101" s="37">
        <f t="shared" si="214"/>
        <v>0.29753522483940043</v>
      </c>
      <c r="BK101" s="37">
        <f t="shared" si="214"/>
        <v>0.41379356292656333</v>
      </c>
      <c r="BL101" s="38">
        <f t="shared" si="214"/>
        <v>22892.697700000001</v>
      </c>
      <c r="BM101" s="37">
        <f t="shared" si="214"/>
        <v>0.82378088139564931</v>
      </c>
      <c r="BN101" s="7">
        <f t="shared" si="214"/>
        <v>532.28429505675138</v>
      </c>
      <c r="BO101" s="38">
        <f t="shared" si="214"/>
        <v>21101.136999999999</v>
      </c>
      <c r="BP101" s="37">
        <f t="shared" si="214"/>
        <v>0.9217409532298152</v>
      </c>
      <c r="BQ101" s="50">
        <f t="shared" si="214"/>
        <v>1457.108513285742</v>
      </c>
      <c r="BR101" s="98">
        <f t="shared" si="185"/>
        <v>0.22592223768736616</v>
      </c>
      <c r="BS101" s="110">
        <f>INDEX(Daggett!$B$7:$M$21, MATCH(BF101,Daggett!$A$7:$A$21,0), MATCH(BD$90,Daggett!$B$6:$M$6,0))</f>
        <v>457.06451612903226</v>
      </c>
      <c r="BT101" s="4">
        <f t="shared" si="186"/>
        <v>0.40989111841922488</v>
      </c>
      <c r="BU101" s="98">
        <f t="shared" si="195"/>
        <v>9.2603518681448477E-2</v>
      </c>
      <c r="BV101" s="111">
        <f t="shared" si="196"/>
        <v>0.73028216957683856</v>
      </c>
      <c r="BW101" s="98">
        <f t="shared" si="197"/>
        <v>0.16498698189398397</v>
      </c>
    </row>
    <row r="102" spans="2:85">
      <c r="C102" s="7"/>
      <c r="D102" s="38"/>
      <c r="E102" s="93"/>
      <c r="F102" s="37"/>
      <c r="G102" s="38"/>
      <c r="H102" s="37"/>
      <c r="I102" s="37"/>
      <c r="J102" s="38"/>
      <c r="K102" s="37"/>
      <c r="L102" s="7"/>
      <c r="M102" s="38"/>
      <c r="N102" s="37"/>
      <c r="O102" s="50"/>
      <c r="P102" s="98"/>
      <c r="Q102" s="111"/>
      <c r="R102" s="4"/>
      <c r="S102" s="98"/>
      <c r="T102" s="111"/>
      <c r="U102" s="98"/>
      <c r="AD102" s="7"/>
      <c r="AE102" s="38"/>
      <c r="AF102" s="93"/>
      <c r="AG102" s="37"/>
      <c r="AH102" s="38"/>
      <c r="AI102" s="37"/>
      <c r="AJ102" s="37"/>
      <c r="AK102" s="38"/>
      <c r="AL102" s="37"/>
      <c r="AM102" s="7"/>
      <c r="AN102" s="38"/>
      <c r="AO102" s="37"/>
      <c r="AP102" s="50"/>
      <c r="AQ102" s="98"/>
      <c r="AR102" s="111"/>
      <c r="AS102" s="4"/>
      <c r="AT102" s="98"/>
      <c r="AU102" s="111"/>
      <c r="AV102" s="98"/>
      <c r="BE102" s="7"/>
      <c r="BF102" s="38"/>
      <c r="BG102" s="93"/>
      <c r="BH102" s="37"/>
      <c r="BI102" s="38"/>
      <c r="BJ102" s="37"/>
      <c r="BK102" s="37"/>
      <c r="BL102" s="38"/>
      <c r="BM102" s="37"/>
      <c r="BN102" s="7"/>
      <c r="BO102" s="38"/>
      <c r="BP102" s="37"/>
      <c r="BQ102" s="50"/>
      <c r="BR102" s="98"/>
      <c r="BS102" s="111"/>
      <c r="BT102" s="4"/>
      <c r="BU102" s="98"/>
      <c r="BV102" s="111"/>
      <c r="BW102" s="98"/>
    </row>
    <row r="103" spans="2:85" ht="49.5">
      <c r="B103" s="34"/>
      <c r="C103" s="64" t="s">
        <v>149</v>
      </c>
      <c r="D103" s="64" t="s">
        <v>87</v>
      </c>
      <c r="E103" s="96" t="s">
        <v>150</v>
      </c>
      <c r="F103" s="64" t="s">
        <v>123</v>
      </c>
      <c r="G103" s="64" t="s">
        <v>151</v>
      </c>
      <c r="H103" s="33" t="s">
        <v>152</v>
      </c>
      <c r="I103" s="34" t="s">
        <v>153</v>
      </c>
      <c r="J103" s="92" t="s">
        <v>154</v>
      </c>
      <c r="K103" s="35" t="s">
        <v>155</v>
      </c>
      <c r="L103" s="35" t="s">
        <v>156</v>
      </c>
      <c r="M103" s="92" t="s">
        <v>157</v>
      </c>
      <c r="N103" s="35" t="s">
        <v>70</v>
      </c>
      <c r="O103" s="35" t="s">
        <v>158</v>
      </c>
      <c r="P103" s="107" t="s">
        <v>127</v>
      </c>
      <c r="Q103" s="150" t="s">
        <v>159</v>
      </c>
      <c r="R103" s="69" t="s">
        <v>128</v>
      </c>
      <c r="S103" s="107" t="s">
        <v>129</v>
      </c>
      <c r="T103" s="114" t="s">
        <v>128</v>
      </c>
      <c r="U103" s="107" t="s">
        <v>129</v>
      </c>
      <c r="AC103" s="34"/>
      <c r="AD103" s="64" t="s">
        <v>149</v>
      </c>
      <c r="AE103" s="64" t="s">
        <v>87</v>
      </c>
      <c r="AF103" s="96" t="s">
        <v>150</v>
      </c>
      <c r="AG103" s="64" t="s">
        <v>123</v>
      </c>
      <c r="AH103" s="64" t="s">
        <v>151</v>
      </c>
      <c r="AI103" s="33" t="s">
        <v>152</v>
      </c>
      <c r="AJ103" s="34" t="s">
        <v>153</v>
      </c>
      <c r="AK103" s="92" t="s">
        <v>154</v>
      </c>
      <c r="AL103" s="35" t="s">
        <v>155</v>
      </c>
      <c r="AM103" s="35" t="s">
        <v>156</v>
      </c>
      <c r="AN103" s="92" t="s">
        <v>157</v>
      </c>
      <c r="AO103" s="35" t="s">
        <v>70</v>
      </c>
      <c r="AP103" s="35" t="s">
        <v>158</v>
      </c>
      <c r="AQ103" s="107" t="s">
        <v>127</v>
      </c>
      <c r="AR103" s="150" t="s">
        <v>159</v>
      </c>
      <c r="AS103" s="69" t="s">
        <v>128</v>
      </c>
      <c r="AT103" s="107" t="s">
        <v>129</v>
      </c>
      <c r="AU103" s="114" t="s">
        <v>128</v>
      </c>
      <c r="AV103" s="107" t="s">
        <v>129</v>
      </c>
      <c r="BD103" s="34"/>
      <c r="BE103" s="64" t="s">
        <v>149</v>
      </c>
      <c r="BF103" s="64" t="s">
        <v>87</v>
      </c>
      <c r="BG103" s="96" t="s">
        <v>150</v>
      </c>
      <c r="BH103" s="64" t="s">
        <v>123</v>
      </c>
      <c r="BI103" s="64" t="s">
        <v>151</v>
      </c>
      <c r="BJ103" s="33" t="s">
        <v>152</v>
      </c>
      <c r="BK103" s="34" t="s">
        <v>153</v>
      </c>
      <c r="BL103" s="92" t="s">
        <v>154</v>
      </c>
      <c r="BM103" s="35" t="s">
        <v>155</v>
      </c>
      <c r="BN103" s="35" t="s">
        <v>156</v>
      </c>
      <c r="BO103" s="92" t="s">
        <v>157</v>
      </c>
      <c r="BP103" s="35" t="s">
        <v>70</v>
      </c>
      <c r="BQ103" s="35" t="s">
        <v>158</v>
      </c>
      <c r="BR103" s="107" t="s">
        <v>127</v>
      </c>
      <c r="BS103" s="150" t="s">
        <v>159</v>
      </c>
      <c r="BT103" s="69" t="s">
        <v>128</v>
      </c>
      <c r="BU103" s="107" t="s">
        <v>129</v>
      </c>
      <c r="BV103" s="114" t="s">
        <v>128</v>
      </c>
      <c r="BW103" s="107" t="s">
        <v>129</v>
      </c>
    </row>
    <row r="104" spans="2:85" ht="22.9" customHeight="1">
      <c r="B104" s="2" t="s">
        <v>86</v>
      </c>
      <c r="C104" s="7">
        <v>173</v>
      </c>
      <c r="D104" s="38">
        <v>6</v>
      </c>
      <c r="E104" s="93">
        <v>61037.242809329844</v>
      </c>
      <c r="F104" s="37">
        <f>E104/$C$10</f>
        <v>0.65350367033543733</v>
      </c>
      <c r="G104" s="38">
        <v>31872.43</v>
      </c>
      <c r="H104" s="37">
        <f t="shared" ref="H104:H110" si="215">G104/$C$10</f>
        <v>0.34124657387580298</v>
      </c>
      <c r="I104" s="37">
        <f t="shared" ref="I104:I110" si="216">1-G104/(E104*$C$8)</f>
        <v>0.43241299807077105</v>
      </c>
      <c r="J104" s="38">
        <v>27596.605</v>
      </c>
      <c r="K104" s="37">
        <f t="shared" ref="K104:K110" si="217">J104/G104</f>
        <v>0.86584565406528458</v>
      </c>
      <c r="L104" s="7">
        <f t="shared" ref="L104:L110" si="218">J104/(PI()*$C$18^2)</f>
        <v>641.6561137040926</v>
      </c>
      <c r="M104" s="38">
        <v>24978.866999999998</v>
      </c>
      <c r="N104" s="37">
        <f t="shared" ref="N104:N110" si="219">M104/J104</f>
        <v>0.90514275216099949</v>
      </c>
      <c r="O104" s="50">
        <f t="shared" ref="O104:O110" si="220">M104/(PI()*$C$19^2)</f>
        <v>1724.8795530749021</v>
      </c>
      <c r="P104" s="98">
        <f t="shared" ref="P104:P110" si="221">M104/$C$10</f>
        <v>0.26743968950749464</v>
      </c>
      <c r="Q104" s="110">
        <f>INDEX(Daggett!$B$7:$M$21, MATCH(D104,Daggett!$A$7:$A$21,0), MATCH(B$105,Daggett!$B$6:$M$6,0))</f>
        <v>408.7</v>
      </c>
      <c r="R104" s="4">
        <f t="shared" ref="R104:R116" si="222">IF(1-$H$7*(($H$5+273)^4-298^4)*(PI()*$C$19^2)*1000/(M104*Q104*1000)&lt;0,#N/A,1-$H$7*(($H$5+273)^4-298^4)*(PI()*$C$19^2)*1000/(M104*Q104*1000))</f>
        <v>0.44250863950915453</v>
      </c>
      <c r="S104" s="98">
        <f t="shared" ref="S104:S116" si="223">R104*P104</f>
        <v>0.11834437315471216</v>
      </c>
      <c r="T104" s="111">
        <f>IF(1-$H$7*(($H$5+273)^4-298^4)/(O104*1000)&lt;0,#N/A,1-$H$7*(($H$5+273)^4-298^4)/(O104*1000))</f>
        <v>0.77215328096739144</v>
      </c>
      <c r="U104" s="98">
        <f>T104*P104</f>
        <v>0.20650443371411242</v>
      </c>
      <c r="V104" s="41"/>
      <c r="W104" s="37"/>
      <c r="X104" s="4"/>
      <c r="Y104" s="50"/>
      <c r="Z104" s="37"/>
      <c r="AA104" s="41"/>
      <c r="AC104" s="2" t="s">
        <v>86</v>
      </c>
      <c r="AD104" s="7">
        <v>173</v>
      </c>
      <c r="AE104" s="38">
        <v>6</v>
      </c>
      <c r="AF104" s="93">
        <v>53502.061978237449</v>
      </c>
      <c r="AG104" s="37">
        <f>AF104/$C$10</f>
        <v>0.57282721604108622</v>
      </c>
      <c r="AH104" s="38">
        <v>30933.7</v>
      </c>
      <c r="AI104" s="37">
        <f>AH104/$C$10</f>
        <v>0.33119593147751608</v>
      </c>
      <c r="AJ104" s="37">
        <f>1-AH104/(AF104*$AE$8)</f>
        <v>0.37154596078561419</v>
      </c>
      <c r="AK104" s="38">
        <v>25853.13</v>
      </c>
      <c r="AL104" s="37">
        <f>AK104/AH104</f>
        <v>0.8357593821624959</v>
      </c>
      <c r="AM104" s="7">
        <f t="shared" ref="AM104:AM116" si="224">AK104/(PI()*$C$18^2)</f>
        <v>601.11810575564232</v>
      </c>
      <c r="AN104" s="38">
        <v>23869.323359999999</v>
      </c>
      <c r="AO104" s="37">
        <f>AN104/AK104</f>
        <v>0.92326628767967356</v>
      </c>
      <c r="AP104" s="50">
        <f t="shared" ref="AP104:AP116" si="225">AN104/(PI()*$C$19^2)</f>
        <v>1648.261620889255</v>
      </c>
      <c r="AQ104" s="98">
        <f>AN104/$C$10</f>
        <v>0.25556020728051393</v>
      </c>
      <c r="AR104" s="110">
        <f>INDEX(Daggett!$B$7:$M$21, MATCH(AE104,Daggett!$A$7:$A$21,0), MATCH(AC$105,Daggett!$B$6:$M$6,0))</f>
        <v>408.7</v>
      </c>
      <c r="AS104" s="4">
        <f t="shared" ref="AS104:AS116" si="226">IF(1-$H$7*(($H$5+273)^4-298^4)*(PI()*$C$19^2)*1000/(AN104*AR104*1000)&lt;0,#N/A,1-$H$7*(($H$5+273)^4-298^4)*(PI()*$C$19^2)*1000/(AN104*AR104*1000))</f>
        <v>0.41659416409406413</v>
      </c>
      <c r="AT104" s="98">
        <f>AS104*AQ104</f>
        <v>0.10646489092773147</v>
      </c>
      <c r="AU104" s="111">
        <f>IF(1-$H$7*(($H$5+273)^4-298^4)/(AP104*1000)&lt;0,#N/A,1-$H$7*(($H$5+273)^4-298^4)/(AP104*1000))</f>
        <v>0.76156203486524399</v>
      </c>
      <c r="AV104" s="98">
        <f>AU104*AQ104</f>
        <v>0.19462495148713174</v>
      </c>
      <c r="BD104" s="2" t="s">
        <v>86</v>
      </c>
      <c r="BE104" s="7">
        <v>173</v>
      </c>
      <c r="BF104" s="38">
        <v>6</v>
      </c>
      <c r="BG104" s="93">
        <f>AF116</f>
        <v>88379.345939544655</v>
      </c>
      <c r="BH104" s="37">
        <f>BG104/$C$10</f>
        <v>0.94624567387092784</v>
      </c>
      <c r="BI104" s="38">
        <f t="shared" ref="BI104:BQ104" si="227">AH116</f>
        <v>33068.088499999998</v>
      </c>
      <c r="BJ104" s="37">
        <f t="shared" si="227"/>
        <v>0.35404805674518197</v>
      </c>
      <c r="BK104" s="37">
        <f t="shared" si="227"/>
        <v>0.59330345710966537</v>
      </c>
      <c r="BL104" s="38">
        <f t="shared" si="227"/>
        <v>31300.915000000001</v>
      </c>
      <c r="BM104" s="37">
        <f t="shared" si="227"/>
        <v>0.94655955090963306</v>
      </c>
      <c r="BN104" s="7">
        <f t="shared" si="227"/>
        <v>727.78602564634809</v>
      </c>
      <c r="BO104" s="38">
        <f t="shared" si="227"/>
        <v>27994.683000000001</v>
      </c>
      <c r="BP104" s="37">
        <f t="shared" si="227"/>
        <v>0.89437267249216201</v>
      </c>
      <c r="BQ104" s="50">
        <f t="shared" si="227"/>
        <v>1933.132367513449</v>
      </c>
      <c r="BR104" s="98">
        <f t="shared" ref="BR104:BR116" si="228">BO104/$C$10</f>
        <v>0.29972894004282657</v>
      </c>
      <c r="BS104" s="110">
        <f>INDEX(Daggett!$B$7:$M$21, MATCH(BF104,Daggett!$A$7:$A$21,0), MATCH(BD$105,Daggett!$B$6:$M$6,0))</f>
        <v>408.7</v>
      </c>
      <c r="BT104" s="4">
        <f t="shared" ref="BT104:BT116" si="229">IF(1-$H$7*(($H$5+273)^4-298^4)*(PI()*$C$19^2)*1000/(BO104*BS104*1000)&lt;0,#N/A,1-$H$7*(($H$5+273)^4-298^4)*(PI()*$C$19^2)*1000/(BO104*BS104*1000))</f>
        <v>0.50256616417660882</v>
      </c>
      <c r="BU104" s="98">
        <f t="shared" ref="BU104:BU116" si="230">BT104*BR104</f>
        <v>0.15063362369004413</v>
      </c>
      <c r="BV104" s="111">
        <f>IF(1-$H$7*(($H$5+273)^4-298^4)/(BQ104*1000)&lt;0,#N/A,1-$H$7*(($H$5+273)^4-298^4)/(BQ104*1000))</f>
        <v>0.79669879129898002</v>
      </c>
      <c r="BW104" s="98">
        <f>BV104*BR104</f>
        <v>0.23879368424944439</v>
      </c>
      <c r="CG104" s="35"/>
    </row>
    <row r="105" spans="2:85">
      <c r="B105" s="2">
        <v>6</v>
      </c>
      <c r="C105" s="7"/>
      <c r="D105" s="38">
        <v>7</v>
      </c>
      <c r="E105" s="93">
        <v>68138.06636791295</v>
      </c>
      <c r="F105" s="37">
        <f t="shared" ref="F105:F116" si="231">E105/$C$10</f>
        <v>0.72952961850013864</v>
      </c>
      <c r="G105" s="38">
        <v>45397.432000000001</v>
      </c>
      <c r="H105" s="37">
        <f t="shared" si="215"/>
        <v>0.48605387580299786</v>
      </c>
      <c r="I105" s="37">
        <f t="shared" si="216"/>
        <v>0.27580811412861173</v>
      </c>
      <c r="J105" s="38">
        <v>41246.614999999998</v>
      </c>
      <c r="K105" s="37">
        <f t="shared" si="217"/>
        <v>0.90856714097837066</v>
      </c>
      <c r="L105" s="7">
        <f t="shared" si="218"/>
        <v>959.03618160092265</v>
      </c>
      <c r="M105" s="38">
        <v>37541.029000000002</v>
      </c>
      <c r="N105" s="37">
        <f t="shared" si="219"/>
        <v>0.91016023981604322</v>
      </c>
      <c r="O105" s="50">
        <f t="shared" si="220"/>
        <v>2592.3414910488914</v>
      </c>
      <c r="P105" s="98">
        <f t="shared" si="221"/>
        <v>0.4019382119914347</v>
      </c>
      <c r="Q105" s="110">
        <f>INDEX(Daggett!$B$7:$M$21, MATCH(D105,Daggett!$A$7:$A$21,0), MATCH(B$105,Daggett!$B$6:$M$6,0))</f>
        <v>642.29999999999995</v>
      </c>
      <c r="R105" s="4">
        <f t="shared" si="222"/>
        <v>0.76396770981535822</v>
      </c>
      <c r="S105" s="98">
        <f t="shared" si="223"/>
        <v>0.30706781530237631</v>
      </c>
      <c r="T105" s="111">
        <f t="shared" ref="T105:T114" si="232">IF(1-$H$7*(($H$5+273)^4-298^4)/(O105*1000)&lt;0,#N/A,1-$H$7*(($H$5+273)^4-298^4)/(O105*1000))</f>
        <v>0.84839646001440461</v>
      </c>
      <c r="U105" s="98">
        <f t="shared" ref="U105:U114" si="233">T105*P105</f>
        <v>0.34100295619805249</v>
      </c>
      <c r="AC105" s="2">
        <v>6</v>
      </c>
      <c r="AD105" s="7"/>
      <c r="AE105" s="38">
        <v>7</v>
      </c>
      <c r="AF105" s="93">
        <v>57536.763210638201</v>
      </c>
      <c r="AG105" s="37">
        <f t="shared" ref="AG105:AG116" si="234">AF105/$C$10</f>
        <v>0.61602530204109418</v>
      </c>
      <c r="AH105" s="38">
        <v>46448.5</v>
      </c>
      <c r="AI105" s="37">
        <f t="shared" ref="AI105:AI116" si="235">AH105/$C$10</f>
        <v>0.49730728051391865</v>
      </c>
      <c r="AJ105" s="37">
        <f t="shared" ref="AJ105:AJ116" si="236">1-AH105/(AF105*$AE$8)</f>
        <v>0.12251754908129486</v>
      </c>
      <c r="AK105" s="38">
        <v>39944.925900000002</v>
      </c>
      <c r="AL105" s="37">
        <f t="shared" ref="AL105:AL116" si="237">AK105/AH105</f>
        <v>0.85998311893817891</v>
      </c>
      <c r="AM105" s="7">
        <f t="shared" si="224"/>
        <v>928.77025689181528</v>
      </c>
      <c r="AN105" s="38">
        <v>36703.879000000001</v>
      </c>
      <c r="AO105" s="37">
        <f t="shared" ref="AO105:AO116" si="238">AN105/AK105</f>
        <v>0.91886211259688433</v>
      </c>
      <c r="AP105" s="50">
        <f t="shared" si="225"/>
        <v>2534.5333079212637</v>
      </c>
      <c r="AQ105" s="98">
        <f t="shared" ref="AQ105:AQ116" si="239">AN105/$C$10</f>
        <v>0.39297514989293364</v>
      </c>
      <c r="AR105" s="110">
        <f>INDEX(Daggett!$B$7:$M$21, MATCH(AE105,Daggett!$A$7:$A$21,0), MATCH(AC$105,Daggett!$B$6:$M$6,0))</f>
        <v>642.29999999999995</v>
      </c>
      <c r="AS105" s="4">
        <f t="shared" si="226"/>
        <v>0.75858423435958766</v>
      </c>
      <c r="AT105" s="98">
        <f t="shared" ref="AT105:AT116" si="240">AS105*AQ105</f>
        <v>0.29810475320387525</v>
      </c>
      <c r="AU105" s="111">
        <f t="shared" ref="AU105:AU116" si="241">IF(1-$H$7*(($H$5+273)^4-298^4)/(AP105*1000)&lt;0,#N/A,1-$H$7*(($H$5+273)^4-298^4)/(AP105*1000))</f>
        <v>0.84493865372916321</v>
      </c>
      <c r="AV105" s="98">
        <f t="shared" ref="AV105:AV116" si="242">AU105*AQ105</f>
        <v>0.33203989409955148</v>
      </c>
      <c r="BD105" s="2">
        <v>6</v>
      </c>
      <c r="BE105" s="7"/>
      <c r="BF105" s="38">
        <v>7</v>
      </c>
      <c r="BG105" s="93">
        <f>AF115</f>
        <v>89934.096858948338</v>
      </c>
      <c r="BH105" s="37">
        <f t="shared" ref="BH105:BH116" si="243">BG105/$C$10</f>
        <v>0.96289182932492867</v>
      </c>
      <c r="BI105" s="38">
        <f t="shared" ref="BI105:BQ105" si="244">AH115</f>
        <v>56178.925999999999</v>
      </c>
      <c r="BJ105" s="37">
        <f t="shared" si="244"/>
        <v>0.60148743040685226</v>
      </c>
      <c r="BK105" s="37">
        <f t="shared" si="244"/>
        <v>0.32101336275414893</v>
      </c>
      <c r="BL105" s="38">
        <f t="shared" si="244"/>
        <v>53190.027600000001</v>
      </c>
      <c r="BM105" s="37">
        <f t="shared" si="244"/>
        <v>0.94679680419664847</v>
      </c>
      <c r="BN105" s="7">
        <f t="shared" si="244"/>
        <v>1236.7356925835415</v>
      </c>
      <c r="BO105" s="38">
        <f t="shared" si="244"/>
        <v>48193.298999999999</v>
      </c>
      <c r="BP105" s="37">
        <f t="shared" si="244"/>
        <v>0.90605892071392713</v>
      </c>
      <c r="BQ105" s="50">
        <f t="shared" si="244"/>
        <v>3327.9185977620655</v>
      </c>
      <c r="BR105" s="98">
        <f t="shared" si="228"/>
        <v>0.51598821199143463</v>
      </c>
      <c r="BS105" s="110">
        <f>INDEX(Daggett!$B$7:$M$21, MATCH(BF105,Daggett!$A$7:$A$21,0), MATCH(BD$105,Daggett!$B$6:$M$6,0))</f>
        <v>642.29999999999995</v>
      </c>
      <c r="BT105" s="4">
        <f t="shared" si="229"/>
        <v>0.8161384417622447</v>
      </c>
      <c r="BU105" s="98">
        <f t="shared" si="230"/>
        <v>0.42111781530237624</v>
      </c>
      <c r="BV105" s="111">
        <f t="shared" ref="BV105:BV116" si="245">IF(1-$H$7*(($H$5+273)^4-298^4)/(BQ105*1000)&lt;0,#N/A,1-$H$7*(($H$5+273)^4-298^4)/(BQ105*1000))</f>
        <v>0.88190572114388976</v>
      </c>
      <c r="BW105" s="98">
        <f t="shared" ref="BW105:BW116" si="246">BV105*BR105</f>
        <v>0.45505295619805242</v>
      </c>
    </row>
    <row r="106" spans="2:85">
      <c r="C106" s="7"/>
      <c r="D106" s="38">
        <v>8</v>
      </c>
      <c r="E106" s="93">
        <v>74146.663312510966</v>
      </c>
      <c r="F106" s="37">
        <f t="shared" si="231"/>
        <v>0.79386149156863994</v>
      </c>
      <c r="G106" s="38">
        <v>59351.13</v>
      </c>
      <c r="H106" s="37">
        <f t="shared" si="215"/>
        <v>0.63545107066381157</v>
      </c>
      <c r="I106" s="37">
        <f t="shared" si="216"/>
        <v>0.1299392994370705</v>
      </c>
      <c r="J106" s="38">
        <v>55004.55</v>
      </c>
      <c r="K106" s="37">
        <f t="shared" si="217"/>
        <v>0.92676500009351137</v>
      </c>
      <c r="L106" s="7">
        <f t="shared" si="218"/>
        <v>1278.9256428115866</v>
      </c>
      <c r="M106" s="38">
        <v>50417.69</v>
      </c>
      <c r="N106" s="37">
        <f t="shared" si="219"/>
        <v>0.91660944412780399</v>
      </c>
      <c r="O106" s="50">
        <f t="shared" si="220"/>
        <v>3481.5207028512932</v>
      </c>
      <c r="P106" s="98">
        <f t="shared" si="221"/>
        <v>0.53980396145610277</v>
      </c>
      <c r="Q106" s="110">
        <f>INDEX(Daggett!$B$7:$M$21, MATCH(D106,Daggett!$A$7:$A$21,0), MATCH(B$105,Daggett!$B$6:$M$6,0))</f>
        <v>749.86666666666667</v>
      </c>
      <c r="R106" s="4">
        <f t="shared" si="222"/>
        <v>0.84946117478268002</v>
      </c>
      <c r="S106" s="98">
        <f t="shared" si="223"/>
        <v>0.45854250725084555</v>
      </c>
      <c r="T106" s="111">
        <f t="shared" si="232"/>
        <v>0.88711595293037226</v>
      </c>
      <c r="U106" s="98">
        <f t="shared" si="233"/>
        <v>0.47886870566272055</v>
      </c>
      <c r="AD106" s="7"/>
      <c r="AE106" s="38">
        <v>8</v>
      </c>
      <c r="AF106" s="93">
        <v>62421.46848431605</v>
      </c>
      <c r="AG106" s="37">
        <f t="shared" si="234"/>
        <v>0.66832407370788061</v>
      </c>
      <c r="AH106" s="38">
        <v>53832.226000000002</v>
      </c>
      <c r="AI106" s="37">
        <f t="shared" si="235"/>
        <v>0.57636216274089935</v>
      </c>
      <c r="AJ106" s="37">
        <f t="shared" si="236"/>
        <v>6.2609538813769405E-2</v>
      </c>
      <c r="AK106" s="38">
        <v>47800.004000000001</v>
      </c>
      <c r="AL106" s="37">
        <f t="shared" si="237"/>
        <v>0.88794403560424939</v>
      </c>
      <c r="AM106" s="7">
        <f t="shared" si="224"/>
        <v>1111.4107985993235</v>
      </c>
      <c r="AN106" s="38">
        <v>43788.366999999998</v>
      </c>
      <c r="AO106" s="37">
        <f t="shared" si="238"/>
        <v>0.91607454677200439</v>
      </c>
      <c r="AP106" s="50">
        <f t="shared" si="225"/>
        <v>3023.742385947281</v>
      </c>
      <c r="AQ106" s="98">
        <f t="shared" si="239"/>
        <v>0.46882619914346896</v>
      </c>
      <c r="AR106" s="110">
        <f>INDEX(Daggett!$B$7:$M$21, MATCH(AE106,Daggett!$A$7:$A$21,0), MATCH(AC$105,Daggett!$B$6:$M$6,0))</f>
        <v>749.86666666666667</v>
      </c>
      <c r="AS106" s="4">
        <f t="shared" si="226"/>
        <v>0.82667040717067564</v>
      </c>
      <c r="AT106" s="98">
        <f t="shared" si="240"/>
        <v>0.38756474493821175</v>
      </c>
      <c r="AU106" s="111">
        <f t="shared" si="241"/>
        <v>0.87002591599038404</v>
      </c>
      <c r="AV106" s="98">
        <f t="shared" si="242"/>
        <v>0.4078909433500868</v>
      </c>
      <c r="BE106" s="7"/>
      <c r="BF106" s="38">
        <v>8</v>
      </c>
      <c r="BG106" s="93">
        <f>AF114</f>
        <v>90434.077214012912</v>
      </c>
      <c r="BH106" s="37">
        <f t="shared" si="243"/>
        <v>0.96824493805153011</v>
      </c>
      <c r="BI106" s="38">
        <f t="shared" ref="BI106:BQ106" si="247">AH114</f>
        <v>66318.394799999995</v>
      </c>
      <c r="BJ106" s="37">
        <f t="shared" si="247"/>
        <v>0.71004705353319053</v>
      </c>
      <c r="BK106" s="37">
        <f t="shared" si="247"/>
        <v>0.20289769122606027</v>
      </c>
      <c r="BL106" s="38">
        <f t="shared" si="247"/>
        <v>63180.055</v>
      </c>
      <c r="BM106" s="37">
        <f t="shared" si="247"/>
        <v>0.95267768754861371</v>
      </c>
      <c r="BN106" s="7">
        <f t="shared" si="247"/>
        <v>1469.0165168835379</v>
      </c>
      <c r="BO106" s="38">
        <f t="shared" si="247"/>
        <v>57665.361790000003</v>
      </c>
      <c r="BP106" s="37">
        <f t="shared" si="247"/>
        <v>0.91271465005847185</v>
      </c>
      <c r="BQ106" s="50">
        <f t="shared" si="247"/>
        <v>3981.9982016092945</v>
      </c>
      <c r="BR106" s="98">
        <f t="shared" si="228"/>
        <v>0.6174021604925054</v>
      </c>
      <c r="BS106" s="110">
        <f>INDEX(Daggett!$B$7:$M$21, MATCH(BF106,Daggett!$A$7:$A$21,0), MATCH(BD$105,Daggett!$B$6:$M$6,0))</f>
        <v>749.86666666666667</v>
      </c>
      <c r="BT106" s="4">
        <f t="shared" si="229"/>
        <v>0.86838164910139859</v>
      </c>
      <c r="BU106" s="98">
        <f t="shared" si="230"/>
        <v>0.53614070628724819</v>
      </c>
      <c r="BV106" s="111">
        <f t="shared" si="245"/>
        <v>0.90130378593950211</v>
      </c>
      <c r="BW106" s="98">
        <f t="shared" si="246"/>
        <v>0.55646690469912319</v>
      </c>
    </row>
    <row r="107" spans="2:85">
      <c r="D107" s="38">
        <v>9</v>
      </c>
      <c r="E107" s="93">
        <v>78942.760145945969</v>
      </c>
      <c r="F107" s="37">
        <f t="shared" si="231"/>
        <v>0.84521156473175552</v>
      </c>
      <c r="G107" s="38">
        <v>65998.06</v>
      </c>
      <c r="H107" s="37">
        <f t="shared" si="215"/>
        <v>0.70661734475374727</v>
      </c>
      <c r="I107" s="37">
        <f t="shared" si="216"/>
        <v>9.1278014519556638E-2</v>
      </c>
      <c r="J107" s="38">
        <v>61865.953000000001</v>
      </c>
      <c r="K107" s="37">
        <f t="shared" si="217"/>
        <v>0.93739047784131846</v>
      </c>
      <c r="L107" s="7">
        <f t="shared" si="218"/>
        <v>1438.4619764851527</v>
      </c>
      <c r="M107" s="38">
        <v>56660.93</v>
      </c>
      <c r="N107" s="37">
        <f t="shared" si="219"/>
        <v>0.91586611459779821</v>
      </c>
      <c r="O107" s="50">
        <f t="shared" si="220"/>
        <v>3912.6386162834497</v>
      </c>
      <c r="P107" s="98">
        <f t="shared" si="221"/>
        <v>0.60664807280513922</v>
      </c>
      <c r="Q107" s="110">
        <f>INDEX(Daggett!$B$7:$M$21, MATCH(D107,Daggett!$A$7:$A$21,0), MATCH(B$105,Daggett!$B$6:$M$6,0))</f>
        <v>812.16666666666663</v>
      </c>
      <c r="R107" s="4">
        <f t="shared" si="222"/>
        <v>0.87632365124279099</v>
      </c>
      <c r="S107" s="98">
        <f t="shared" si="223"/>
        <v>0.53162005418000213</v>
      </c>
      <c r="T107" s="111">
        <f t="shared" si="232"/>
        <v>0.89955419208435339</v>
      </c>
      <c r="U107" s="98">
        <f t="shared" si="233"/>
        <v>0.545712817011757</v>
      </c>
      <c r="AE107" s="38">
        <v>9</v>
      </c>
      <c r="AF107" s="93">
        <v>67676.845695715703</v>
      </c>
      <c r="AG107" s="37">
        <f t="shared" si="234"/>
        <v>0.72459149567147429</v>
      </c>
      <c r="AH107" s="38">
        <v>59896.4925</v>
      </c>
      <c r="AI107" s="37">
        <f t="shared" si="235"/>
        <v>0.64129006959314772</v>
      </c>
      <c r="AJ107" s="37">
        <f t="shared" si="236"/>
        <v>3.8003581832192435E-2</v>
      </c>
      <c r="AK107" s="38">
        <v>54282.464999999997</v>
      </c>
      <c r="AL107" s="37">
        <f t="shared" si="237"/>
        <v>0.90627118107124549</v>
      </c>
      <c r="AM107" s="7">
        <f t="shared" si="224"/>
        <v>1262.1362495197661</v>
      </c>
      <c r="AN107" s="38">
        <v>49800.452221</v>
      </c>
      <c r="AO107" s="37">
        <f t="shared" si="238"/>
        <v>0.91743166455318492</v>
      </c>
      <c r="AP107" s="50">
        <f t="shared" si="225"/>
        <v>3438.8982402559132</v>
      </c>
      <c r="AQ107" s="98">
        <f t="shared" si="239"/>
        <v>0.53319541992505348</v>
      </c>
      <c r="AR107" s="110">
        <f>INDEX(Daggett!$B$7:$M$21, MATCH(AE107,Daggett!$A$7:$A$21,0), MATCH(AC$105,Daggett!$B$6:$M$6,0))</f>
        <v>812.16666666666663</v>
      </c>
      <c r="AS107" s="4">
        <f t="shared" si="226"/>
        <v>0.85928607819683989</v>
      </c>
      <c r="AT107" s="98">
        <f t="shared" si="240"/>
        <v>0.4581674012999164</v>
      </c>
      <c r="AU107" s="111">
        <f t="shared" si="241"/>
        <v>0.88571684317553345</v>
      </c>
      <c r="AV107" s="98">
        <f t="shared" si="242"/>
        <v>0.47226016413167132</v>
      </c>
      <c r="BF107" s="38">
        <v>9</v>
      </c>
      <c r="BG107" s="93">
        <f>AF113</f>
        <v>89862.486685448981</v>
      </c>
      <c r="BH107" s="37">
        <f t="shared" si="243"/>
        <v>0.96212512511187342</v>
      </c>
      <c r="BI107" s="38">
        <f t="shared" ref="BI107:BQ107" si="248">AH113</f>
        <v>71715.591</v>
      </c>
      <c r="BJ107" s="37">
        <f t="shared" si="248"/>
        <v>0.76783288008565309</v>
      </c>
      <c r="BK107" s="37">
        <f t="shared" si="248"/>
        <v>0.13254426598848568</v>
      </c>
      <c r="BL107" s="38">
        <f t="shared" si="248"/>
        <v>68428.13</v>
      </c>
      <c r="BM107" s="37">
        <f t="shared" si="248"/>
        <v>0.95415974470600129</v>
      </c>
      <c r="BN107" s="7">
        <f t="shared" si="248"/>
        <v>1591.040925644239</v>
      </c>
      <c r="BO107" s="38">
        <f t="shared" si="248"/>
        <v>62548.152000000002</v>
      </c>
      <c r="BP107" s="37">
        <f t="shared" si="248"/>
        <v>0.91407074838958768</v>
      </c>
      <c r="BQ107" s="50">
        <f t="shared" si="248"/>
        <v>4319.1722213590019</v>
      </c>
      <c r="BR107" s="98">
        <f t="shared" si="228"/>
        <v>0.66968042826552465</v>
      </c>
      <c r="BS107" s="110">
        <f>INDEX(Daggett!$B$7:$M$21, MATCH(BF107,Daggett!$A$7:$A$21,0), MATCH(BD$105,Daggett!$B$6:$M$6,0))</f>
        <v>812.16666666666663</v>
      </c>
      <c r="BT107" s="4">
        <f t="shared" si="229"/>
        <v>0.88796444474350245</v>
      </c>
      <c r="BU107" s="98">
        <f t="shared" si="230"/>
        <v>0.59465240964038757</v>
      </c>
      <c r="BV107" s="111">
        <f t="shared" si="245"/>
        <v>0.90900845653918128</v>
      </c>
      <c r="BW107" s="98">
        <f t="shared" si="246"/>
        <v>0.60874517247214244</v>
      </c>
    </row>
    <row r="108" spans="2:85">
      <c r="C108" s="7"/>
      <c r="D108" s="38">
        <v>10</v>
      </c>
      <c r="E108" s="93">
        <v>82434.162618245755</v>
      </c>
      <c r="F108" s="37">
        <f t="shared" si="231"/>
        <v>0.88259274751869121</v>
      </c>
      <c r="G108" s="38">
        <v>68494.460999999996</v>
      </c>
      <c r="H108" s="37">
        <f t="shared" si="215"/>
        <v>0.73334540685224836</v>
      </c>
      <c r="I108" s="37">
        <f t="shared" si="216"/>
        <v>9.6848943177378244E-2</v>
      </c>
      <c r="J108" s="38">
        <v>64696.87</v>
      </c>
      <c r="K108" s="37">
        <f t="shared" si="217"/>
        <v>0.9445562320725468</v>
      </c>
      <c r="L108" s="7">
        <f t="shared" si="218"/>
        <v>1504.2843919757122</v>
      </c>
      <c r="M108" s="38">
        <v>59306.02</v>
      </c>
      <c r="N108" s="37">
        <f t="shared" si="219"/>
        <v>0.91667525801480032</v>
      </c>
      <c r="O108" s="50">
        <f t="shared" si="220"/>
        <v>4095.2914826861929</v>
      </c>
      <c r="P108" s="98">
        <f t="shared" si="221"/>
        <v>0.63496809421841538</v>
      </c>
      <c r="Q108" s="110">
        <f>INDEX(Daggett!$B$7:$M$21, MATCH(D108,Daggett!$A$7:$A$21,0), MATCH(B$105,Daggett!$B$6:$M$6,0))</f>
        <v>837.43333333333328</v>
      </c>
      <c r="R108" s="4">
        <f t="shared" si="222"/>
        <v>0.88540478297050385</v>
      </c>
      <c r="S108" s="98">
        <f t="shared" si="223"/>
        <v>0.56220378765465051</v>
      </c>
      <c r="T108" s="111">
        <f t="shared" si="232"/>
        <v>0.90403414541893223</v>
      </c>
      <c r="U108" s="98">
        <f t="shared" si="233"/>
        <v>0.57403283842503317</v>
      </c>
      <c r="AD108" s="7"/>
      <c r="AE108" s="38">
        <v>10</v>
      </c>
      <c r="AF108" s="93">
        <v>72904.154636985681</v>
      </c>
      <c r="AG108" s="37">
        <f t="shared" si="234"/>
        <v>0.78055840082425787</v>
      </c>
      <c r="AH108" s="38">
        <v>64527.197</v>
      </c>
      <c r="AI108" s="37">
        <f t="shared" si="235"/>
        <v>0.69086934689507495</v>
      </c>
      <c r="AJ108" s="37">
        <f t="shared" si="236"/>
        <v>3.7938812157720769E-2</v>
      </c>
      <c r="AK108" s="38">
        <v>59612.9424</v>
      </c>
      <c r="AL108" s="37">
        <f t="shared" si="237"/>
        <v>0.92384211885106371</v>
      </c>
      <c r="AM108" s="7">
        <f t="shared" si="224"/>
        <v>1386.0766187308157</v>
      </c>
      <c r="AN108" s="38">
        <v>54751.687510000003</v>
      </c>
      <c r="AO108" s="37">
        <f t="shared" si="238"/>
        <v>0.91845302891809621</v>
      </c>
      <c r="AP108" s="50">
        <f t="shared" si="225"/>
        <v>3780.7986359968013</v>
      </c>
      <c r="AQ108" s="98">
        <f t="shared" si="239"/>
        <v>0.58620650438972166</v>
      </c>
      <c r="AR108" s="110">
        <f>INDEX(Daggett!$B$7:$M$21, MATCH(AE108,Daggett!$A$7:$A$21,0), MATCH(AC$105,Daggett!$B$6:$M$6,0))</f>
        <v>837.43333333333328</v>
      </c>
      <c r="AS108" s="4">
        <f t="shared" si="226"/>
        <v>0.87587257046982581</v>
      </c>
      <c r="AT108" s="98">
        <f t="shared" si="240"/>
        <v>0.51344219782595668</v>
      </c>
      <c r="AU108" s="111">
        <f t="shared" si="241"/>
        <v>0.8960515529304478</v>
      </c>
      <c r="AV108" s="98">
        <f t="shared" si="242"/>
        <v>0.52527124859633945</v>
      </c>
      <c r="BE108" s="7"/>
      <c r="BF108" s="38">
        <v>10</v>
      </c>
      <c r="BG108" s="93">
        <f>AF112</f>
        <v>88237.918751213743</v>
      </c>
      <c r="BH108" s="37">
        <f t="shared" si="243"/>
        <v>0.94473146414575737</v>
      </c>
      <c r="BI108" s="38">
        <f t="shared" ref="BI108:BQ108" si="249">AH112</f>
        <v>70477.049499999994</v>
      </c>
      <c r="BJ108" s="37">
        <f t="shared" si="249"/>
        <v>0.75457226445396142</v>
      </c>
      <c r="BK108" s="37">
        <f t="shared" si="249"/>
        <v>0.13183028712468614</v>
      </c>
      <c r="BL108" s="38">
        <f t="shared" si="249"/>
        <v>66883.388000000006</v>
      </c>
      <c r="BM108" s="37">
        <f t="shared" si="249"/>
        <v>0.94900947861048035</v>
      </c>
      <c r="BN108" s="7">
        <f t="shared" si="249"/>
        <v>1555.1237123350118</v>
      </c>
      <c r="BO108" s="38">
        <f t="shared" si="249"/>
        <v>61074.74</v>
      </c>
      <c r="BP108" s="37">
        <f t="shared" si="249"/>
        <v>0.91315260524780817</v>
      </c>
      <c r="BQ108" s="50">
        <f t="shared" si="249"/>
        <v>4217.4278855548519</v>
      </c>
      <c r="BR108" s="98">
        <f t="shared" si="228"/>
        <v>0.65390513918629545</v>
      </c>
      <c r="BS108" s="110">
        <f>INDEX(Daggett!$B$7:$M$21, MATCH(BF108,Daggett!$A$7:$A$21,0), MATCH(BD$105,Daggett!$B$6:$M$6,0))</f>
        <v>837.43333333333328</v>
      </c>
      <c r="BT108" s="4">
        <f t="shared" si="229"/>
        <v>0.88872345206781656</v>
      </c>
      <c r="BU108" s="98">
        <f t="shared" si="230"/>
        <v>0.58114083262253058</v>
      </c>
      <c r="BV108" s="111">
        <f t="shared" si="245"/>
        <v>0.90681330954332517</v>
      </c>
      <c r="BW108" s="98">
        <f t="shared" si="246"/>
        <v>0.59296988339291323</v>
      </c>
    </row>
    <row r="109" spans="2:85">
      <c r="C109" s="7"/>
      <c r="D109" s="38">
        <v>11</v>
      </c>
      <c r="E109" s="93">
        <v>84555.256418429926</v>
      </c>
      <c r="F109" s="37">
        <f t="shared" si="231"/>
        <v>0.90530253124657312</v>
      </c>
      <c r="G109" s="38">
        <v>70059.69</v>
      </c>
      <c r="H109" s="37">
        <f t="shared" si="215"/>
        <v>0.75010374732334051</v>
      </c>
      <c r="I109" s="37">
        <f t="shared" si="216"/>
        <v>9.9383761789131664E-2</v>
      </c>
      <c r="J109" s="38">
        <v>66473.88</v>
      </c>
      <c r="K109" s="37">
        <f t="shared" si="217"/>
        <v>0.94881778666163097</v>
      </c>
      <c r="L109" s="7">
        <f t="shared" si="218"/>
        <v>1545.6021312633279</v>
      </c>
      <c r="M109" s="38">
        <v>60851.063999999998</v>
      </c>
      <c r="N109" s="37">
        <f t="shared" si="219"/>
        <v>0.91541315175223703</v>
      </c>
      <c r="O109" s="50">
        <f t="shared" si="220"/>
        <v>4201.9822627044005</v>
      </c>
      <c r="P109" s="98">
        <f t="shared" si="221"/>
        <v>0.65151032119914343</v>
      </c>
      <c r="Q109" s="110">
        <f>INDEX(Daggett!$B$7:$M$21, MATCH(D109,Daggett!$A$7:$A$21,0), MATCH(B$105,Daggett!$B$6:$M$6,0))</f>
        <v>853.83333333333337</v>
      </c>
      <c r="R109" s="4">
        <f t="shared" si="222"/>
        <v>0.89045962259866496</v>
      </c>
      <c r="S109" s="98">
        <f t="shared" si="223"/>
        <v>0.58014363473412423</v>
      </c>
      <c r="T109" s="111">
        <f t="shared" si="232"/>
        <v>0.90647077442882684</v>
      </c>
      <c r="U109" s="98">
        <f t="shared" si="233"/>
        <v>0.59057506540576121</v>
      </c>
      <c r="AD109" s="7"/>
      <c r="AE109" s="38">
        <v>11</v>
      </c>
      <c r="AF109" s="93">
        <v>77788.49583655718</v>
      </c>
      <c r="AG109" s="37">
        <f t="shared" si="234"/>
        <v>0.83285327448134028</v>
      </c>
      <c r="AH109" s="38">
        <v>66657.822329999995</v>
      </c>
      <c r="AI109" s="37">
        <f t="shared" si="235"/>
        <v>0.7136811812633832</v>
      </c>
      <c r="AJ109" s="37">
        <f t="shared" si="236"/>
        <v>6.8574936083653393E-2</v>
      </c>
      <c r="AK109" s="38">
        <v>62397.002</v>
      </c>
      <c r="AL109" s="37">
        <f t="shared" si="237"/>
        <v>0.93607921499586144</v>
      </c>
      <c r="AM109" s="7">
        <f t="shared" si="224"/>
        <v>1450.8095401628748</v>
      </c>
      <c r="AN109" s="38">
        <v>57324.301700000004</v>
      </c>
      <c r="AO109" s="37">
        <f t="shared" si="238"/>
        <v>0.91870282004895043</v>
      </c>
      <c r="AP109" s="50">
        <f t="shared" si="225"/>
        <v>3958.4467901056869</v>
      </c>
      <c r="AQ109" s="98">
        <f t="shared" si="239"/>
        <v>0.61375055353319063</v>
      </c>
      <c r="AR109" s="110">
        <f>INDEX(Daggett!$B$7:$M$21, MATCH(AE109,Daggett!$A$7:$A$21,0), MATCH(AC$105,Daggett!$B$6:$M$6,0))</f>
        <v>853.83333333333337</v>
      </c>
      <c r="AS109" s="4">
        <f t="shared" si="226"/>
        <v>0.88372037132320114</v>
      </c>
      <c r="AT109" s="98">
        <f t="shared" si="240"/>
        <v>0.54238386706817143</v>
      </c>
      <c r="AU109" s="111">
        <f t="shared" si="241"/>
        <v>0.90071657704812658</v>
      </c>
      <c r="AV109" s="98">
        <f t="shared" si="242"/>
        <v>0.55281529773980842</v>
      </c>
      <c r="BE109" s="7"/>
      <c r="BF109" s="38">
        <v>11</v>
      </c>
      <c r="BG109" s="93">
        <f>AF111</f>
        <v>85615.061581342772</v>
      </c>
      <c r="BH109" s="37">
        <f t="shared" si="243"/>
        <v>0.91664948159895898</v>
      </c>
      <c r="BI109" s="38">
        <f t="shared" ref="BI109:BQ109" si="250">AH111</f>
        <v>71002.093517000001</v>
      </c>
      <c r="BJ109" s="37">
        <f t="shared" si="250"/>
        <v>0.76019372073875802</v>
      </c>
      <c r="BK109" s="37">
        <f t="shared" si="250"/>
        <v>9.8567621397903538E-2</v>
      </c>
      <c r="BL109" s="38">
        <f t="shared" si="250"/>
        <v>67465.289999999994</v>
      </c>
      <c r="BM109" s="37">
        <f t="shared" si="250"/>
        <v>0.95018733474171169</v>
      </c>
      <c r="BN109" s="7">
        <f t="shared" si="250"/>
        <v>1568.6536728456119</v>
      </c>
      <c r="BO109" s="38">
        <f t="shared" si="250"/>
        <v>61742.285400000001</v>
      </c>
      <c r="BP109" s="37">
        <f t="shared" si="250"/>
        <v>0.91517112577445392</v>
      </c>
      <c r="BQ109" s="50">
        <f t="shared" si="250"/>
        <v>4263.524268197395</v>
      </c>
      <c r="BR109" s="98">
        <f t="shared" si="228"/>
        <v>0.66105230620985012</v>
      </c>
      <c r="BS109" s="110">
        <f>INDEX(Daggett!$B$7:$M$21, MATCH(BF109,Daggett!$A$7:$A$21,0), MATCH(BD$105,Daggett!$B$6:$M$6,0))</f>
        <v>853.83333333333337</v>
      </c>
      <c r="BT109" s="4">
        <f t="shared" si="229"/>
        <v>0.89204078740122583</v>
      </c>
      <c r="BU109" s="98">
        <f t="shared" si="230"/>
        <v>0.58968561974483091</v>
      </c>
      <c r="BV109" s="111">
        <f t="shared" si="245"/>
        <v>0.90782082564274669</v>
      </c>
      <c r="BW109" s="98">
        <f t="shared" si="246"/>
        <v>0.6001170504164679</v>
      </c>
    </row>
    <row r="110" spans="2:85">
      <c r="D110" s="38">
        <v>12</v>
      </c>
      <c r="E110" s="93">
        <v>85266.665959702805</v>
      </c>
      <c r="F110" s="37">
        <f t="shared" si="231"/>
        <v>0.91291933575698936</v>
      </c>
      <c r="G110" s="38">
        <v>70519.53</v>
      </c>
      <c r="H110" s="37">
        <f t="shared" si="215"/>
        <v>0.75502708779443251</v>
      </c>
      <c r="I110" s="37">
        <f t="shared" si="216"/>
        <v>0.10103600063706042</v>
      </c>
      <c r="J110" s="38">
        <v>66824.054999999993</v>
      </c>
      <c r="K110" s="37">
        <f t="shared" si="217"/>
        <v>0.94759643179697872</v>
      </c>
      <c r="L110" s="7">
        <f t="shared" si="218"/>
        <v>1553.744144732605</v>
      </c>
      <c r="M110" s="38">
        <v>60943.184999999998</v>
      </c>
      <c r="N110" s="37">
        <f t="shared" si="219"/>
        <v>0.91199471507677887</v>
      </c>
      <c r="O110" s="50">
        <f t="shared" si="220"/>
        <v>4208.3435451960686</v>
      </c>
      <c r="P110" s="98">
        <f t="shared" si="221"/>
        <v>0.6524966274089935</v>
      </c>
      <c r="Q110" s="110">
        <f>INDEX(Daggett!$B$7:$M$21, MATCH(D110,Daggett!$A$7:$A$21,0), MATCH(B$105,Daggett!$B$6:$M$6,0))</f>
        <v>859.43333333333328</v>
      </c>
      <c r="R110" s="4">
        <f t="shared" si="222"/>
        <v>0.89133788011899828</v>
      </c>
      <c r="S110" s="98">
        <f t="shared" si="223"/>
        <v>0.58159496065952809</v>
      </c>
      <c r="T110" s="111">
        <f t="shared" si="232"/>
        <v>0.90661215210360435</v>
      </c>
      <c r="U110" s="98">
        <f t="shared" si="233"/>
        <v>0.59156137161561129</v>
      </c>
      <c r="AE110" s="38">
        <v>12</v>
      </c>
      <c r="AF110" s="93">
        <v>82086.873758584465</v>
      </c>
      <c r="AG110" s="37">
        <f t="shared" si="234"/>
        <v>0.87887445137670728</v>
      </c>
      <c r="AH110" s="38">
        <v>69121.740900000004</v>
      </c>
      <c r="AI110" s="37">
        <f t="shared" si="235"/>
        <v>0.74006146573875808</v>
      </c>
      <c r="AJ110" s="37">
        <f t="shared" si="236"/>
        <v>8.4721787722361386E-2</v>
      </c>
      <c r="AK110" s="38">
        <v>65222.700499999999</v>
      </c>
      <c r="AL110" s="37">
        <f t="shared" si="237"/>
        <v>0.94359169272601462</v>
      </c>
      <c r="AM110" s="7">
        <f t="shared" si="224"/>
        <v>1516.5106189009834</v>
      </c>
      <c r="AN110" s="38">
        <v>59766.671000000002</v>
      </c>
      <c r="AO110" s="37">
        <f t="shared" si="238"/>
        <v>0.91634769093929191</v>
      </c>
      <c r="AP110" s="50">
        <f t="shared" si="225"/>
        <v>4127.1010716080409</v>
      </c>
      <c r="AQ110" s="98">
        <f t="shared" si="239"/>
        <v>0.63990011777301925</v>
      </c>
      <c r="AR110" s="110">
        <f>INDEX(Daggett!$B$7:$M$21, MATCH(AE110,Daggett!$A$7:$A$21,0), MATCH(AC$105,Daggett!$B$6:$M$6,0))</f>
        <v>859.43333333333328</v>
      </c>
      <c r="AS110" s="4">
        <f t="shared" si="226"/>
        <v>0.88919885341447136</v>
      </c>
      <c r="AT110" s="98">
        <f t="shared" si="240"/>
        <v>0.56899845102355395</v>
      </c>
      <c r="AU110" s="111">
        <f t="shared" si="241"/>
        <v>0.90477380125284379</v>
      </c>
      <c r="AV110" s="98">
        <f t="shared" si="242"/>
        <v>0.57896486197963704</v>
      </c>
      <c r="BF110" s="38">
        <v>12</v>
      </c>
      <c r="BG110" s="93">
        <f>AF110</f>
        <v>82086.873758584465</v>
      </c>
      <c r="BH110" s="37">
        <f t="shared" si="243"/>
        <v>0.87887445137670728</v>
      </c>
      <c r="BI110" s="38">
        <f t="shared" ref="BI110:BQ110" si="251">AH110</f>
        <v>69121.740900000004</v>
      </c>
      <c r="BJ110" s="37">
        <f t="shared" si="251"/>
        <v>0.74006146573875808</v>
      </c>
      <c r="BK110" s="37">
        <f t="shared" si="251"/>
        <v>8.4721787722361386E-2</v>
      </c>
      <c r="BL110" s="38">
        <f t="shared" si="251"/>
        <v>65222.700499999999</v>
      </c>
      <c r="BM110" s="37">
        <f t="shared" si="251"/>
        <v>0.94359169272601462</v>
      </c>
      <c r="BN110" s="7">
        <f t="shared" si="251"/>
        <v>1516.5106189009834</v>
      </c>
      <c r="BO110" s="38">
        <f t="shared" si="251"/>
        <v>59766.671000000002</v>
      </c>
      <c r="BP110" s="37">
        <f t="shared" si="251"/>
        <v>0.91634769093929191</v>
      </c>
      <c r="BQ110" s="50">
        <f t="shared" si="251"/>
        <v>4127.1010716080409</v>
      </c>
      <c r="BR110" s="98">
        <f t="shared" si="228"/>
        <v>0.63990011777301925</v>
      </c>
      <c r="BS110" s="110">
        <f>INDEX(Daggett!$B$7:$M$21, MATCH(BF110,Daggett!$A$7:$A$21,0), MATCH(BD$105,Daggett!$B$6:$M$6,0))</f>
        <v>859.43333333333328</v>
      </c>
      <c r="BT110" s="4">
        <f t="shared" si="229"/>
        <v>0.88919885341447136</v>
      </c>
      <c r="BU110" s="98">
        <f t="shared" si="230"/>
        <v>0.56899845102355395</v>
      </c>
      <c r="BV110" s="111">
        <f t="shared" si="245"/>
        <v>0.90477380125284379</v>
      </c>
      <c r="BW110" s="98">
        <f t="shared" si="246"/>
        <v>0.57896486197963704</v>
      </c>
    </row>
    <row r="111" spans="2:85">
      <c r="D111" s="38">
        <v>13</v>
      </c>
      <c r="E111" s="93">
        <f>E109</f>
        <v>84555.256418429926</v>
      </c>
      <c r="F111" s="37">
        <f t="shared" si="231"/>
        <v>0.90530253124657312</v>
      </c>
      <c r="G111" s="38">
        <f t="shared" ref="G111:P111" si="252">G109</f>
        <v>70059.69</v>
      </c>
      <c r="H111" s="37">
        <f t="shared" si="252"/>
        <v>0.75010374732334051</v>
      </c>
      <c r="I111" s="37">
        <f t="shared" si="252"/>
        <v>9.9383761789131664E-2</v>
      </c>
      <c r="J111" s="38">
        <f t="shared" si="252"/>
        <v>66473.88</v>
      </c>
      <c r="K111" s="37">
        <f t="shared" si="252"/>
        <v>0.94881778666163097</v>
      </c>
      <c r="L111" s="7">
        <f t="shared" si="252"/>
        <v>1545.6021312633279</v>
      </c>
      <c r="M111" s="38">
        <f t="shared" si="252"/>
        <v>60851.063999999998</v>
      </c>
      <c r="N111" s="37">
        <f t="shared" si="252"/>
        <v>0.91541315175223703</v>
      </c>
      <c r="O111" s="50">
        <f t="shared" si="252"/>
        <v>4201.9822627044005</v>
      </c>
      <c r="P111" s="98">
        <f t="shared" si="252"/>
        <v>0.65151032119914343</v>
      </c>
      <c r="Q111" s="110">
        <f>INDEX(Daggett!$B$7:$M$21, MATCH(D111,Daggett!$A$7:$A$21,0), MATCH(B$105,Daggett!$B$6:$M$6,0))</f>
        <v>826.4666666666667</v>
      </c>
      <c r="R111" s="4">
        <f t="shared" si="222"/>
        <v>0.88683242852564348</v>
      </c>
      <c r="S111" s="98">
        <f t="shared" si="223"/>
        <v>0.57778048035855833</v>
      </c>
      <c r="T111" s="111">
        <f t="shared" si="232"/>
        <v>0.90647077442882684</v>
      </c>
      <c r="U111" s="98">
        <f t="shared" si="233"/>
        <v>0.59057506540576121</v>
      </c>
      <c r="AE111" s="38">
        <v>13</v>
      </c>
      <c r="AF111" s="93">
        <v>85615.061581342772</v>
      </c>
      <c r="AG111" s="37">
        <f t="shared" si="234"/>
        <v>0.91664948159895898</v>
      </c>
      <c r="AH111" s="38">
        <v>71002.093517000001</v>
      </c>
      <c r="AI111" s="37">
        <f t="shared" si="235"/>
        <v>0.76019372073875802</v>
      </c>
      <c r="AJ111" s="37">
        <f t="shared" si="236"/>
        <v>9.8567621397903538E-2</v>
      </c>
      <c r="AK111" s="38">
        <v>67465.289999999994</v>
      </c>
      <c r="AL111" s="37">
        <f t="shared" si="237"/>
        <v>0.95018733474171169</v>
      </c>
      <c r="AM111" s="7">
        <f t="shared" si="224"/>
        <v>1568.6536728456119</v>
      </c>
      <c r="AN111" s="38">
        <v>61742.285400000001</v>
      </c>
      <c r="AO111" s="37">
        <f t="shared" si="238"/>
        <v>0.91517112577445392</v>
      </c>
      <c r="AP111" s="50">
        <f t="shared" si="225"/>
        <v>4263.524268197395</v>
      </c>
      <c r="AQ111" s="98">
        <f t="shared" si="239"/>
        <v>0.66105230620985012</v>
      </c>
      <c r="AR111" s="110">
        <f>INDEX(Daggett!$B$7:$M$21, MATCH(AE111,Daggett!$A$7:$A$21,0), MATCH(AC$105,Daggett!$B$6:$M$6,0))</f>
        <v>826.4666666666667</v>
      </c>
      <c r="AS111" s="4">
        <f t="shared" si="226"/>
        <v>0.88846595020095187</v>
      </c>
      <c r="AT111" s="98">
        <f t="shared" si="240"/>
        <v>0.58732246536926513</v>
      </c>
      <c r="AU111" s="111">
        <f t="shared" si="241"/>
        <v>0.90782082564274669</v>
      </c>
      <c r="AV111" s="98">
        <f t="shared" si="242"/>
        <v>0.6001170504164679</v>
      </c>
      <c r="BF111" s="38">
        <v>13</v>
      </c>
      <c r="BG111" s="93">
        <f>AF109</f>
        <v>77788.49583655718</v>
      </c>
      <c r="BH111" s="37">
        <f t="shared" si="243"/>
        <v>0.83285327448134028</v>
      </c>
      <c r="BI111" s="38">
        <f t="shared" ref="BI111:BQ111" si="253">AH109</f>
        <v>66657.822329999995</v>
      </c>
      <c r="BJ111" s="37">
        <f t="shared" si="253"/>
        <v>0.7136811812633832</v>
      </c>
      <c r="BK111" s="37">
        <f t="shared" si="253"/>
        <v>6.8574936083653393E-2</v>
      </c>
      <c r="BL111" s="38">
        <f t="shared" si="253"/>
        <v>62397.002</v>
      </c>
      <c r="BM111" s="37">
        <f t="shared" si="253"/>
        <v>0.93607921499586144</v>
      </c>
      <c r="BN111" s="7">
        <f t="shared" si="253"/>
        <v>1450.8095401628748</v>
      </c>
      <c r="BO111" s="38">
        <f t="shared" si="253"/>
        <v>57324.301700000004</v>
      </c>
      <c r="BP111" s="37">
        <f t="shared" si="253"/>
        <v>0.91870282004895043</v>
      </c>
      <c r="BQ111" s="50">
        <f t="shared" si="253"/>
        <v>3958.4467901056869</v>
      </c>
      <c r="BR111" s="98">
        <f t="shared" si="228"/>
        <v>0.61375055353319063</v>
      </c>
      <c r="BS111" s="110">
        <f>INDEX(Daggett!$B$7:$M$21, MATCH(BF111,Daggett!$A$7:$A$21,0), MATCH(BD$105,Daggett!$B$6:$M$6,0))</f>
        <v>826.4666666666667</v>
      </c>
      <c r="BT111" s="4">
        <f t="shared" si="229"/>
        <v>0.8798700214343711</v>
      </c>
      <c r="BU111" s="98">
        <f t="shared" si="230"/>
        <v>0.54002071269260554</v>
      </c>
      <c r="BV111" s="111">
        <f t="shared" si="245"/>
        <v>0.90071657704812658</v>
      </c>
      <c r="BW111" s="98">
        <f t="shared" si="246"/>
        <v>0.55281529773980842</v>
      </c>
    </row>
    <row r="112" spans="2:85">
      <c r="C112" s="7"/>
      <c r="D112" s="38">
        <v>14</v>
      </c>
      <c r="E112" s="93">
        <f>E108</f>
        <v>82434.162618245755</v>
      </c>
      <c r="F112" s="37">
        <f t="shared" si="231"/>
        <v>0.88259274751869121</v>
      </c>
      <c r="G112" s="38">
        <f t="shared" ref="G112:P112" si="254">G108</f>
        <v>68494.460999999996</v>
      </c>
      <c r="H112" s="37">
        <f t="shared" si="254"/>
        <v>0.73334540685224836</v>
      </c>
      <c r="I112" s="37">
        <f t="shared" si="254"/>
        <v>9.6848943177378244E-2</v>
      </c>
      <c r="J112" s="38">
        <f t="shared" si="254"/>
        <v>64696.87</v>
      </c>
      <c r="K112" s="37">
        <f t="shared" si="254"/>
        <v>0.9445562320725468</v>
      </c>
      <c r="L112" s="7">
        <f t="shared" si="254"/>
        <v>1504.2843919757122</v>
      </c>
      <c r="M112" s="38">
        <f t="shared" si="254"/>
        <v>59306.02</v>
      </c>
      <c r="N112" s="37">
        <f t="shared" si="254"/>
        <v>0.91667525801480032</v>
      </c>
      <c r="O112" s="50">
        <f t="shared" si="254"/>
        <v>4095.2914826861929</v>
      </c>
      <c r="P112" s="98">
        <f t="shared" si="254"/>
        <v>0.63496809421841538</v>
      </c>
      <c r="Q112" s="110">
        <f>INDEX(Daggett!$B$7:$M$21, MATCH(D112,Daggett!$A$7:$A$21,0), MATCH(B$105,Daggett!$B$6:$M$6,0))</f>
        <v>842.2</v>
      </c>
      <c r="R112" s="4">
        <f t="shared" si="222"/>
        <v>0.88605336668123036</v>
      </c>
      <c r="S112" s="98">
        <f t="shared" si="223"/>
        <v>0.56261561761739165</v>
      </c>
      <c r="T112" s="111">
        <f t="shared" si="232"/>
        <v>0.90403414541893223</v>
      </c>
      <c r="U112" s="98">
        <f t="shared" si="233"/>
        <v>0.57403283842503317</v>
      </c>
      <c r="AD112" s="7"/>
      <c r="AE112" s="38">
        <v>14</v>
      </c>
      <c r="AF112" s="93">
        <v>88237.918751213743</v>
      </c>
      <c r="AG112" s="37">
        <f t="shared" si="234"/>
        <v>0.94473146414575737</v>
      </c>
      <c r="AH112" s="38">
        <v>70477.049499999994</v>
      </c>
      <c r="AI112" s="37">
        <f t="shared" si="235"/>
        <v>0.75457226445396142</v>
      </c>
      <c r="AJ112" s="37">
        <f t="shared" si="236"/>
        <v>0.13183028712468614</v>
      </c>
      <c r="AK112" s="38">
        <v>66883.388000000006</v>
      </c>
      <c r="AL112" s="37">
        <f t="shared" si="237"/>
        <v>0.94900947861048035</v>
      </c>
      <c r="AM112" s="7">
        <f t="shared" si="224"/>
        <v>1555.1237123350118</v>
      </c>
      <c r="AN112" s="38">
        <v>61074.74</v>
      </c>
      <c r="AO112" s="37">
        <f t="shared" si="238"/>
        <v>0.91315260524780817</v>
      </c>
      <c r="AP112" s="50">
        <f t="shared" si="225"/>
        <v>4217.4278855548519</v>
      </c>
      <c r="AQ112" s="98">
        <f t="shared" si="239"/>
        <v>0.65390513918629545</v>
      </c>
      <c r="AR112" s="110">
        <f>INDEX(Daggett!$B$7:$M$21, MATCH(AE112,Daggett!$A$7:$A$21,0), MATCH(AC$105,Daggett!$B$6:$M$6,0))</f>
        <v>842.2</v>
      </c>
      <c r="AS112" s="4">
        <f t="shared" si="226"/>
        <v>0.88935325284175393</v>
      </c>
      <c r="AT112" s="98">
        <f t="shared" si="240"/>
        <v>0.58155266258527172</v>
      </c>
      <c r="AU112" s="111">
        <f t="shared" si="241"/>
        <v>0.90681330954332517</v>
      </c>
      <c r="AV112" s="98">
        <f t="shared" si="242"/>
        <v>0.59296988339291323</v>
      </c>
      <c r="BE112" s="7"/>
      <c r="BF112" s="38">
        <v>14</v>
      </c>
      <c r="BG112" s="93">
        <f>AF108</f>
        <v>72904.154636985681</v>
      </c>
      <c r="BH112" s="37">
        <f t="shared" si="243"/>
        <v>0.78055840082425787</v>
      </c>
      <c r="BI112" s="38">
        <f t="shared" ref="BI112:BQ112" si="255">AH108</f>
        <v>64527.197</v>
      </c>
      <c r="BJ112" s="37">
        <f t="shared" si="255"/>
        <v>0.69086934689507495</v>
      </c>
      <c r="BK112" s="37">
        <f t="shared" si="255"/>
        <v>3.7938812157720769E-2</v>
      </c>
      <c r="BL112" s="38">
        <f t="shared" si="255"/>
        <v>59612.9424</v>
      </c>
      <c r="BM112" s="37">
        <f t="shared" si="255"/>
        <v>0.92384211885106371</v>
      </c>
      <c r="BN112" s="7">
        <f t="shared" si="255"/>
        <v>1386.0766187308157</v>
      </c>
      <c r="BO112" s="38">
        <f t="shared" si="255"/>
        <v>54751.687510000003</v>
      </c>
      <c r="BP112" s="37">
        <f t="shared" si="255"/>
        <v>0.91845302891809621</v>
      </c>
      <c r="BQ112" s="50">
        <f t="shared" si="255"/>
        <v>3780.7986359968013</v>
      </c>
      <c r="BR112" s="98">
        <f t="shared" si="228"/>
        <v>0.58620650438972166</v>
      </c>
      <c r="BS112" s="110">
        <f>INDEX(Daggett!$B$7:$M$21, MATCH(BF112,Daggett!$A$7:$A$21,0), MATCH(BD$105,Daggett!$B$6:$M$6,0))</f>
        <v>842.2</v>
      </c>
      <c r="BT112" s="4">
        <f t="shared" si="229"/>
        <v>0.87657510440566111</v>
      </c>
      <c r="BU112" s="98">
        <f t="shared" si="230"/>
        <v>0.51385402778869793</v>
      </c>
      <c r="BV112" s="111">
        <f t="shared" si="245"/>
        <v>0.8960515529304478</v>
      </c>
      <c r="BW112" s="98">
        <f t="shared" si="246"/>
        <v>0.52527124859633945</v>
      </c>
    </row>
    <row r="113" spans="2:85">
      <c r="C113" s="7"/>
      <c r="D113" s="38">
        <v>15</v>
      </c>
      <c r="E113" s="93">
        <f>E107</f>
        <v>78942.760145945969</v>
      </c>
      <c r="F113" s="37">
        <f t="shared" si="231"/>
        <v>0.84521156473175552</v>
      </c>
      <c r="G113" s="38">
        <f t="shared" ref="G113:P113" si="256">G107</f>
        <v>65998.06</v>
      </c>
      <c r="H113" s="37">
        <f t="shared" si="256"/>
        <v>0.70661734475374727</v>
      </c>
      <c r="I113" s="37">
        <f t="shared" si="256"/>
        <v>9.1278014519556638E-2</v>
      </c>
      <c r="J113" s="38">
        <f t="shared" si="256"/>
        <v>61865.953000000001</v>
      </c>
      <c r="K113" s="37">
        <f t="shared" si="256"/>
        <v>0.93739047784131846</v>
      </c>
      <c r="L113" s="7">
        <f t="shared" si="256"/>
        <v>1438.4619764851527</v>
      </c>
      <c r="M113" s="38">
        <f t="shared" si="256"/>
        <v>56660.93</v>
      </c>
      <c r="N113" s="37">
        <f t="shared" si="256"/>
        <v>0.91586611459779821</v>
      </c>
      <c r="O113" s="50">
        <f t="shared" si="256"/>
        <v>3912.6386162834497</v>
      </c>
      <c r="P113" s="98">
        <f t="shared" si="256"/>
        <v>0.60664807280513922</v>
      </c>
      <c r="Q113" s="110">
        <f>INDEX(Daggett!$B$7:$M$21, MATCH(D113,Daggett!$A$7:$A$21,0), MATCH(B$105,Daggett!$B$6:$M$6,0))</f>
        <v>776.63333333333333</v>
      </c>
      <c r="R113" s="4">
        <f t="shared" si="222"/>
        <v>0.87066508273018595</v>
      </c>
      <c r="S113" s="98">
        <f t="shared" si="223"/>
        <v>0.52818729449699442</v>
      </c>
      <c r="T113" s="111">
        <f t="shared" si="232"/>
        <v>0.89955419208435339</v>
      </c>
      <c r="U113" s="98">
        <f t="shared" si="233"/>
        <v>0.545712817011757</v>
      </c>
      <c r="AD113" s="7"/>
      <c r="AE113" s="38">
        <v>15</v>
      </c>
      <c r="AF113" s="93">
        <v>89862.486685448981</v>
      </c>
      <c r="AG113" s="37">
        <f t="shared" si="234"/>
        <v>0.96212512511187342</v>
      </c>
      <c r="AH113" s="38">
        <v>71715.591</v>
      </c>
      <c r="AI113" s="37">
        <f t="shared" si="235"/>
        <v>0.76783288008565309</v>
      </c>
      <c r="AJ113" s="37">
        <f t="shared" si="236"/>
        <v>0.13254426598848568</v>
      </c>
      <c r="AK113" s="38">
        <v>68428.13</v>
      </c>
      <c r="AL113" s="37">
        <f t="shared" si="237"/>
        <v>0.95415974470600129</v>
      </c>
      <c r="AM113" s="7">
        <f t="shared" si="224"/>
        <v>1591.040925644239</v>
      </c>
      <c r="AN113" s="38">
        <v>62548.152000000002</v>
      </c>
      <c r="AO113" s="37">
        <f t="shared" si="238"/>
        <v>0.91407074838958768</v>
      </c>
      <c r="AP113" s="50">
        <f t="shared" si="225"/>
        <v>4319.1722213590019</v>
      </c>
      <c r="AQ113" s="98">
        <f t="shared" si="239"/>
        <v>0.66968042826552465</v>
      </c>
      <c r="AR113" s="110">
        <f>INDEX(Daggett!$B$7:$M$21, MATCH(AE113,Daggett!$A$7:$A$21,0), MATCH(AC$105,Daggett!$B$6:$M$6,0))</f>
        <v>776.63333333333333</v>
      </c>
      <c r="AS113" s="4">
        <f t="shared" si="226"/>
        <v>0.88283847788211678</v>
      </c>
      <c r="AT113" s="98">
        <f t="shared" si="240"/>
        <v>0.59121964995737986</v>
      </c>
      <c r="AU113" s="111">
        <f t="shared" si="241"/>
        <v>0.90900845653918128</v>
      </c>
      <c r="AV113" s="98">
        <f t="shared" si="242"/>
        <v>0.60874517247214244</v>
      </c>
      <c r="BE113" s="7"/>
      <c r="BF113" s="38">
        <v>15</v>
      </c>
      <c r="BG113" s="93">
        <f>AF107</f>
        <v>67676.845695715703</v>
      </c>
      <c r="BH113" s="37">
        <f t="shared" si="243"/>
        <v>0.72459149567147429</v>
      </c>
      <c r="BI113" s="38">
        <f t="shared" ref="BI113:BQ113" si="257">AH107</f>
        <v>59896.4925</v>
      </c>
      <c r="BJ113" s="37">
        <f t="shared" si="257"/>
        <v>0.64129006959314772</v>
      </c>
      <c r="BK113" s="37">
        <f t="shared" si="257"/>
        <v>3.8003581832192435E-2</v>
      </c>
      <c r="BL113" s="38">
        <f t="shared" si="257"/>
        <v>54282.464999999997</v>
      </c>
      <c r="BM113" s="37">
        <f t="shared" si="257"/>
        <v>0.90627118107124549</v>
      </c>
      <c r="BN113" s="7">
        <f t="shared" si="257"/>
        <v>1262.1362495197661</v>
      </c>
      <c r="BO113" s="38">
        <f t="shared" si="257"/>
        <v>49800.452221</v>
      </c>
      <c r="BP113" s="37">
        <f t="shared" si="257"/>
        <v>0.91743166455318492</v>
      </c>
      <c r="BQ113" s="50">
        <f t="shared" si="257"/>
        <v>3438.8982402559132</v>
      </c>
      <c r="BR113" s="98">
        <f t="shared" si="228"/>
        <v>0.53319541992505348</v>
      </c>
      <c r="BS113" s="110">
        <f>INDEX(Daggett!$B$7:$M$21, MATCH(BF113,Daggett!$A$7:$A$21,0), MATCH(BD$105,Daggett!$B$6:$M$6,0))</f>
        <v>776.63333333333333</v>
      </c>
      <c r="BT113" s="4">
        <f t="shared" si="229"/>
        <v>0.85284798898090064</v>
      </c>
      <c r="BU113" s="98">
        <f t="shared" si="230"/>
        <v>0.45473464161690869</v>
      </c>
      <c r="BV113" s="111">
        <f t="shared" si="245"/>
        <v>0.88571684317553345</v>
      </c>
      <c r="BW113" s="98">
        <f t="shared" si="246"/>
        <v>0.47226016413167132</v>
      </c>
    </row>
    <row r="114" spans="2:85">
      <c r="D114" s="38">
        <v>16</v>
      </c>
      <c r="E114" s="93">
        <f>E106</f>
        <v>74146.663312510966</v>
      </c>
      <c r="F114" s="37">
        <f t="shared" si="231"/>
        <v>0.79386149156863994</v>
      </c>
      <c r="G114" s="38">
        <f t="shared" ref="G114:P114" si="258">G106</f>
        <v>59351.13</v>
      </c>
      <c r="H114" s="37">
        <f t="shared" si="258"/>
        <v>0.63545107066381157</v>
      </c>
      <c r="I114" s="37">
        <f t="shared" si="258"/>
        <v>0.1299392994370705</v>
      </c>
      <c r="J114" s="38">
        <f t="shared" si="258"/>
        <v>55004.55</v>
      </c>
      <c r="K114" s="37">
        <f t="shared" si="258"/>
        <v>0.92676500009351137</v>
      </c>
      <c r="L114" s="7">
        <f t="shared" si="258"/>
        <v>1278.9256428115866</v>
      </c>
      <c r="M114" s="38">
        <f t="shared" si="258"/>
        <v>50417.69</v>
      </c>
      <c r="N114" s="37">
        <f t="shared" si="258"/>
        <v>0.91660944412780399</v>
      </c>
      <c r="O114" s="50">
        <f t="shared" si="258"/>
        <v>3481.5207028512932</v>
      </c>
      <c r="P114" s="98">
        <f t="shared" si="258"/>
        <v>0.53980396145610277</v>
      </c>
      <c r="Q114" s="110">
        <f>INDEX(Daggett!$B$7:$M$21, MATCH(D114,Daggett!$A$7:$A$21,0), MATCH(B$105,Daggett!$B$6:$M$6,0))</f>
        <v>747.5333333333333</v>
      </c>
      <c r="R114" s="4">
        <f t="shared" si="222"/>
        <v>0.8489912863600807</v>
      </c>
      <c r="S114" s="98">
        <f t="shared" si="223"/>
        <v>0.4582888596188841</v>
      </c>
      <c r="T114" s="111">
        <f t="shared" si="232"/>
        <v>0.88711595293037226</v>
      </c>
      <c r="U114" s="98">
        <f t="shared" si="233"/>
        <v>0.47886870566272055</v>
      </c>
      <c r="AE114" s="38">
        <v>16</v>
      </c>
      <c r="AF114" s="93">
        <v>90434.077214012912</v>
      </c>
      <c r="AG114" s="37">
        <f t="shared" si="234"/>
        <v>0.96824493805153011</v>
      </c>
      <c r="AH114" s="38">
        <v>66318.394799999995</v>
      </c>
      <c r="AI114" s="37">
        <f t="shared" si="235"/>
        <v>0.71004705353319053</v>
      </c>
      <c r="AJ114" s="37">
        <f t="shared" si="236"/>
        <v>0.20289769122606027</v>
      </c>
      <c r="AK114" s="38">
        <v>63180.055</v>
      </c>
      <c r="AL114" s="37">
        <f t="shared" si="237"/>
        <v>0.95267768754861371</v>
      </c>
      <c r="AM114" s="7">
        <f t="shared" si="224"/>
        <v>1469.0165168835379</v>
      </c>
      <c r="AN114" s="38">
        <v>57665.361790000003</v>
      </c>
      <c r="AO114" s="37">
        <f t="shared" si="238"/>
        <v>0.91271465005847185</v>
      </c>
      <c r="AP114" s="50">
        <f t="shared" si="225"/>
        <v>3981.9982016092945</v>
      </c>
      <c r="AQ114" s="98">
        <f t="shared" si="239"/>
        <v>0.6174021604925054</v>
      </c>
      <c r="AR114" s="110">
        <f>INDEX(Daggett!$B$7:$M$21, MATCH(AE114,Daggett!$A$7:$A$21,0), MATCH(AC$105,Daggett!$B$6:$M$6,0))</f>
        <v>747.5333333333333</v>
      </c>
      <c r="AS114" s="4">
        <f t="shared" si="226"/>
        <v>0.86797081861165892</v>
      </c>
      <c r="AT114" s="98">
        <f t="shared" si="240"/>
        <v>0.53588705865528674</v>
      </c>
      <c r="AU114" s="111">
        <f t="shared" si="241"/>
        <v>0.90130378593950211</v>
      </c>
      <c r="AV114" s="98">
        <f t="shared" si="242"/>
        <v>0.55646690469912319</v>
      </c>
      <c r="BF114" s="38">
        <v>16</v>
      </c>
      <c r="BG114" s="93">
        <f>AF106</f>
        <v>62421.46848431605</v>
      </c>
      <c r="BH114" s="37">
        <f t="shared" si="243"/>
        <v>0.66832407370788061</v>
      </c>
      <c r="BI114" s="38">
        <f t="shared" ref="BI114:BQ114" si="259">AH106</f>
        <v>53832.226000000002</v>
      </c>
      <c r="BJ114" s="37">
        <f t="shared" si="259"/>
        <v>0.57636216274089935</v>
      </c>
      <c r="BK114" s="37">
        <f t="shared" si="259"/>
        <v>6.2609538813769405E-2</v>
      </c>
      <c r="BL114" s="38">
        <f t="shared" si="259"/>
        <v>47800.004000000001</v>
      </c>
      <c r="BM114" s="37">
        <f t="shared" si="259"/>
        <v>0.88794403560424939</v>
      </c>
      <c r="BN114" s="7">
        <f t="shared" si="259"/>
        <v>1111.4107985993235</v>
      </c>
      <c r="BO114" s="38">
        <f t="shared" si="259"/>
        <v>43788.366999999998</v>
      </c>
      <c r="BP114" s="37">
        <f t="shared" si="259"/>
        <v>0.91607454677200439</v>
      </c>
      <c r="BQ114" s="50">
        <f t="shared" si="259"/>
        <v>3023.742385947281</v>
      </c>
      <c r="BR114" s="98">
        <f t="shared" si="228"/>
        <v>0.46882619914346896</v>
      </c>
      <c r="BS114" s="110">
        <f>INDEX(Daggett!$B$7:$M$21, MATCH(BF114,Daggett!$A$7:$A$21,0), MATCH(BD$105,Daggett!$B$6:$M$6,0))</f>
        <v>747.5333333333333</v>
      </c>
      <c r="BT114" s="4">
        <f t="shared" si="229"/>
        <v>0.82612938017085169</v>
      </c>
      <c r="BU114" s="98">
        <f t="shared" si="230"/>
        <v>0.3873110973062503</v>
      </c>
      <c r="BV114" s="111">
        <f t="shared" si="245"/>
        <v>0.87002591599038404</v>
      </c>
      <c r="BW114" s="98">
        <f t="shared" si="246"/>
        <v>0.4078909433500868</v>
      </c>
    </row>
    <row r="115" spans="2:85">
      <c r="C115" s="7" t="s">
        <v>160</v>
      </c>
      <c r="D115" s="38">
        <v>17</v>
      </c>
      <c r="E115" s="93">
        <f>E105</f>
        <v>68138.06636791295</v>
      </c>
      <c r="F115" s="37">
        <f t="shared" si="231"/>
        <v>0.72952961850013864</v>
      </c>
      <c r="G115" s="38">
        <f t="shared" ref="G115:P115" si="260">G105</f>
        <v>45397.432000000001</v>
      </c>
      <c r="H115" s="37">
        <f t="shared" si="260"/>
        <v>0.48605387580299786</v>
      </c>
      <c r="I115" s="37">
        <f t="shared" si="260"/>
        <v>0.27580811412861173</v>
      </c>
      <c r="J115" s="38">
        <f t="shared" si="260"/>
        <v>41246.614999999998</v>
      </c>
      <c r="K115" s="37">
        <f t="shared" si="260"/>
        <v>0.90856714097837066</v>
      </c>
      <c r="L115" s="7">
        <f t="shared" si="260"/>
        <v>959.03618160092265</v>
      </c>
      <c r="M115" s="38">
        <f t="shared" si="260"/>
        <v>37541.029000000002</v>
      </c>
      <c r="N115" s="37">
        <f t="shared" si="260"/>
        <v>0.91016023981604322</v>
      </c>
      <c r="O115" s="50">
        <f t="shared" si="260"/>
        <v>2592.3414910488914</v>
      </c>
      <c r="P115" s="98">
        <f t="shared" si="260"/>
        <v>0.4019382119914347</v>
      </c>
      <c r="Q115" s="110">
        <f>INDEX(Daggett!$B$7:$M$21, MATCH(D115,Daggett!$A$7:$A$21,0), MATCH(B$105,Daggett!$B$6:$M$6,0))</f>
        <v>670.3</v>
      </c>
      <c r="R115" s="4">
        <f t="shared" si="222"/>
        <v>0.77382733106729018</v>
      </c>
      <c r="S115" s="98">
        <f t="shared" si="223"/>
        <v>0.31103077383929062</v>
      </c>
      <c r="T115" s="111">
        <f>IF(1-$H$7*(($H$5+273)^4-298^4)/(O115*1000)&lt;0,#N/A,1-$H$7*(($H$5+273)^4-298^4)/(O115*1000))</f>
        <v>0.84839646001440461</v>
      </c>
      <c r="U115" s="98">
        <f>T115*P115</f>
        <v>0.34100295619805249</v>
      </c>
      <c r="AD115" s="7" t="s">
        <v>160</v>
      </c>
      <c r="AE115" s="38">
        <v>17</v>
      </c>
      <c r="AF115" s="93">
        <v>89934.096858948338</v>
      </c>
      <c r="AG115" s="37">
        <f t="shared" si="234"/>
        <v>0.96289182932492867</v>
      </c>
      <c r="AH115" s="38">
        <v>56178.925999999999</v>
      </c>
      <c r="AI115" s="37">
        <f t="shared" si="235"/>
        <v>0.60148743040685226</v>
      </c>
      <c r="AJ115" s="37">
        <f t="shared" si="236"/>
        <v>0.32101336275414893</v>
      </c>
      <c r="AK115" s="38">
        <v>53190.027600000001</v>
      </c>
      <c r="AL115" s="37">
        <f t="shared" si="237"/>
        <v>0.94679680419664847</v>
      </c>
      <c r="AM115" s="7">
        <f t="shared" si="224"/>
        <v>1236.7356925835415</v>
      </c>
      <c r="AN115" s="38">
        <v>48193.298999999999</v>
      </c>
      <c r="AO115" s="37">
        <f t="shared" si="238"/>
        <v>0.90605892071392713</v>
      </c>
      <c r="AP115" s="50">
        <f t="shared" si="225"/>
        <v>3327.9185977620655</v>
      </c>
      <c r="AQ115" s="98">
        <f t="shared" si="239"/>
        <v>0.51598821199143463</v>
      </c>
      <c r="AR115" s="110">
        <f>INDEX(Daggett!$B$7:$M$21, MATCH(AE115,Daggett!$A$7:$A$21,0), MATCH(AC$105,Daggett!$B$6:$M$6,0))</f>
        <v>670.3</v>
      </c>
      <c r="AS115" s="4">
        <f t="shared" si="226"/>
        <v>0.82381876942248222</v>
      </c>
      <c r="AT115" s="98">
        <f t="shared" si="240"/>
        <v>0.42508077383929055</v>
      </c>
      <c r="AU115" s="111">
        <f t="shared" si="241"/>
        <v>0.88190572114388976</v>
      </c>
      <c r="AV115" s="98">
        <f t="shared" si="242"/>
        <v>0.45505295619805242</v>
      </c>
      <c r="BE115" s="7" t="s">
        <v>160</v>
      </c>
      <c r="BF115" s="38">
        <v>17</v>
      </c>
      <c r="BG115" s="93">
        <f>AF105</f>
        <v>57536.763210638201</v>
      </c>
      <c r="BH115" s="37">
        <f t="shared" si="243"/>
        <v>0.61602530204109418</v>
      </c>
      <c r="BI115" s="38">
        <f t="shared" ref="BI115:BQ115" si="261">AH105</f>
        <v>46448.5</v>
      </c>
      <c r="BJ115" s="37">
        <f t="shared" si="261"/>
        <v>0.49730728051391865</v>
      </c>
      <c r="BK115" s="37">
        <f t="shared" si="261"/>
        <v>0.12251754908129486</v>
      </c>
      <c r="BL115" s="38">
        <f t="shared" si="261"/>
        <v>39944.925900000002</v>
      </c>
      <c r="BM115" s="37">
        <f t="shared" si="261"/>
        <v>0.85998311893817891</v>
      </c>
      <c r="BN115" s="7">
        <f t="shared" si="261"/>
        <v>928.77025689181528</v>
      </c>
      <c r="BO115" s="38">
        <f t="shared" si="261"/>
        <v>36703.879000000001</v>
      </c>
      <c r="BP115" s="37">
        <f t="shared" si="261"/>
        <v>0.91886211259688433</v>
      </c>
      <c r="BQ115" s="50">
        <f t="shared" si="261"/>
        <v>2534.5333079212637</v>
      </c>
      <c r="BR115" s="98">
        <f t="shared" si="228"/>
        <v>0.39297514989293364</v>
      </c>
      <c r="BS115" s="110">
        <f>INDEX(Daggett!$B$7:$M$21, MATCH(BF115,Daggett!$A$7:$A$21,0), MATCH(BD$105,Daggett!$B$6:$M$6,0))</f>
        <v>670.3</v>
      </c>
      <c r="BT115" s="4">
        <f t="shared" si="229"/>
        <v>0.76866873598263941</v>
      </c>
      <c r="BU115" s="98">
        <f t="shared" si="230"/>
        <v>0.30206771174078956</v>
      </c>
      <c r="BV115" s="111">
        <f t="shared" si="245"/>
        <v>0.84493865372916321</v>
      </c>
      <c r="BW115" s="98">
        <f t="shared" si="246"/>
        <v>0.33203989409955148</v>
      </c>
    </row>
    <row r="116" spans="2:85">
      <c r="C116" s="7">
        <f>ROW(D116)-ROW(D104)+1</f>
        <v>13</v>
      </c>
      <c r="D116" s="38">
        <v>18</v>
      </c>
      <c r="E116" s="93">
        <f>E104</f>
        <v>61037.242809329844</v>
      </c>
      <c r="F116" s="37">
        <f t="shared" si="231"/>
        <v>0.65350367033543733</v>
      </c>
      <c r="G116" s="38">
        <f t="shared" ref="G116:P116" si="262">G104</f>
        <v>31872.43</v>
      </c>
      <c r="H116" s="37">
        <f t="shared" si="262"/>
        <v>0.34124657387580298</v>
      </c>
      <c r="I116" s="37">
        <f t="shared" si="262"/>
        <v>0.43241299807077105</v>
      </c>
      <c r="J116" s="38">
        <f t="shared" si="262"/>
        <v>27596.605</v>
      </c>
      <c r="K116" s="37">
        <f t="shared" si="262"/>
        <v>0.86584565406528458</v>
      </c>
      <c r="L116" s="7">
        <f t="shared" si="262"/>
        <v>641.6561137040926</v>
      </c>
      <c r="M116" s="38">
        <f t="shared" si="262"/>
        <v>24978.866999999998</v>
      </c>
      <c r="N116" s="37">
        <f t="shared" si="262"/>
        <v>0.90514275216099949</v>
      </c>
      <c r="O116" s="50">
        <f t="shared" si="262"/>
        <v>1724.8795530749021</v>
      </c>
      <c r="P116" s="98">
        <f t="shared" si="262"/>
        <v>0.26743968950749464</v>
      </c>
      <c r="Q116" s="110">
        <f>INDEX(Daggett!$B$7:$M$21, MATCH(D116,Daggett!$A$7:$A$21,0), MATCH(B$105,Daggett!$B$6:$M$6,0))</f>
        <v>528.06666666666672</v>
      </c>
      <c r="R116" s="4">
        <f t="shared" si="222"/>
        <v>0.56852660200869498</v>
      </c>
      <c r="S116" s="98">
        <f t="shared" si="223"/>
        <v>0.15204657791795637</v>
      </c>
      <c r="T116" s="111">
        <f>IF(1-$H$7*(($H$5+273)^4-298^4)/(O116*1000)&lt;0,#N/A,1-$H$7*(($H$5+273)^4-298^4)/(O116*1000))</f>
        <v>0.77215328096739144</v>
      </c>
      <c r="U116" s="98">
        <f>T116*P116</f>
        <v>0.20650443371411242</v>
      </c>
      <c r="AD116" s="7">
        <f>ROW(AE116)-ROW(AE104)+1</f>
        <v>13</v>
      </c>
      <c r="AE116" s="38">
        <v>18</v>
      </c>
      <c r="AF116" s="93">
        <v>88379.345939544655</v>
      </c>
      <c r="AG116" s="37">
        <f t="shared" si="234"/>
        <v>0.94624567387092784</v>
      </c>
      <c r="AH116" s="38">
        <v>33068.088499999998</v>
      </c>
      <c r="AI116" s="37">
        <f t="shared" si="235"/>
        <v>0.35404805674518197</v>
      </c>
      <c r="AJ116" s="37">
        <f t="shared" si="236"/>
        <v>0.59330345710966537</v>
      </c>
      <c r="AK116" s="38">
        <v>31300.915000000001</v>
      </c>
      <c r="AL116" s="37">
        <f t="shared" si="237"/>
        <v>0.94655955090963306</v>
      </c>
      <c r="AM116" s="7">
        <f t="shared" si="224"/>
        <v>727.78602564634809</v>
      </c>
      <c r="AN116" s="38">
        <v>27994.683000000001</v>
      </c>
      <c r="AO116" s="37">
        <f t="shared" si="238"/>
        <v>0.89437267249216201</v>
      </c>
      <c r="AP116" s="50">
        <f t="shared" si="225"/>
        <v>1933.132367513449</v>
      </c>
      <c r="AQ116" s="98">
        <f t="shared" si="239"/>
        <v>0.29972894004282657</v>
      </c>
      <c r="AR116" s="110">
        <f>INDEX(Daggett!$B$7:$M$21, MATCH(AE116,Daggett!$A$7:$A$21,0), MATCH(AC$105,Daggett!$B$6:$M$6,0))</f>
        <v>528.06666666666672</v>
      </c>
      <c r="AS116" s="4">
        <f t="shared" si="226"/>
        <v>0.61500844205083971</v>
      </c>
      <c r="AT116" s="98">
        <f t="shared" si="240"/>
        <v>0.18433582845328833</v>
      </c>
      <c r="AU116" s="111">
        <f t="shared" si="241"/>
        <v>0.79669879129898002</v>
      </c>
      <c r="AV116" s="98">
        <f t="shared" si="242"/>
        <v>0.23879368424944439</v>
      </c>
      <c r="AX116" s="37"/>
      <c r="AY116" s="38"/>
      <c r="AZ116" s="37"/>
      <c r="BA116" s="37"/>
      <c r="BB116" s="38"/>
      <c r="BC116" s="37"/>
      <c r="BE116" s="7">
        <f>ROW(BF116)-ROW(BF104)+1</f>
        <v>13</v>
      </c>
      <c r="BF116" s="38">
        <v>18</v>
      </c>
      <c r="BG116" s="93">
        <f>AF104</f>
        <v>53502.061978237449</v>
      </c>
      <c r="BH116" s="37">
        <f t="shared" si="243"/>
        <v>0.57282721604108622</v>
      </c>
      <c r="BI116" s="38">
        <f t="shared" ref="BI116:BQ116" si="263">AH104</f>
        <v>30933.7</v>
      </c>
      <c r="BJ116" s="37">
        <f t="shared" si="263"/>
        <v>0.33119593147751608</v>
      </c>
      <c r="BK116" s="37">
        <f t="shared" si="263"/>
        <v>0.37154596078561419</v>
      </c>
      <c r="BL116" s="38">
        <f t="shared" si="263"/>
        <v>25853.13</v>
      </c>
      <c r="BM116" s="37">
        <f t="shared" si="263"/>
        <v>0.8357593821624959</v>
      </c>
      <c r="BN116" s="7">
        <f t="shared" si="263"/>
        <v>601.11810575564232</v>
      </c>
      <c r="BO116" s="38">
        <f t="shared" si="263"/>
        <v>23869.323359999999</v>
      </c>
      <c r="BP116" s="37">
        <f t="shared" si="263"/>
        <v>0.92326628767967356</v>
      </c>
      <c r="BQ116" s="50">
        <f t="shared" si="263"/>
        <v>1648.261620889255</v>
      </c>
      <c r="BR116" s="98">
        <f t="shared" si="228"/>
        <v>0.25556020728051393</v>
      </c>
      <c r="BS116" s="110">
        <f>INDEX(Daggett!$B$7:$M$21, MATCH(BF116,Daggett!$A$7:$A$21,0), MATCH(BD$105,Daggett!$B$6:$M$6,0))</f>
        <v>528.06666666666672</v>
      </c>
      <c r="BT116" s="4">
        <f t="shared" si="229"/>
        <v>0.54846995618970595</v>
      </c>
      <c r="BU116" s="98">
        <f t="shared" si="230"/>
        <v>0.14016709569097566</v>
      </c>
      <c r="BV116" s="111">
        <f t="shared" si="245"/>
        <v>0.76156203486524399</v>
      </c>
      <c r="BW116" s="98">
        <f t="shared" si="246"/>
        <v>0.19462495148713174</v>
      </c>
      <c r="BX116" s="38"/>
      <c r="BY116" s="37"/>
      <c r="BZ116" s="37"/>
      <c r="CA116" s="38"/>
      <c r="CB116" s="37"/>
      <c r="CC116" s="7"/>
      <c r="CD116" s="41"/>
      <c r="CE116" s="37"/>
    </row>
    <row r="117" spans="2:85">
      <c r="E117" s="94"/>
      <c r="P117" s="95"/>
      <c r="Q117" s="94"/>
      <c r="S117" s="95"/>
      <c r="T117" s="94"/>
      <c r="U117" s="95"/>
      <c r="AF117" s="94"/>
      <c r="AQ117" s="95"/>
      <c r="AR117" s="94"/>
      <c r="AT117" s="95"/>
      <c r="AU117" s="94"/>
      <c r="AV117" s="95"/>
      <c r="BG117" s="94"/>
      <c r="BR117" s="95"/>
      <c r="BS117" s="94"/>
      <c r="BU117" s="95"/>
      <c r="BV117" s="94"/>
      <c r="BW117" s="95"/>
    </row>
    <row r="118" spans="2:85" ht="49.5">
      <c r="B118" s="34"/>
      <c r="C118" s="64" t="s">
        <v>149</v>
      </c>
      <c r="D118" s="64" t="s">
        <v>87</v>
      </c>
      <c r="E118" s="96" t="s">
        <v>150</v>
      </c>
      <c r="F118" s="64" t="s">
        <v>123</v>
      </c>
      <c r="G118" s="64" t="s">
        <v>151</v>
      </c>
      <c r="H118" s="33" t="s">
        <v>152</v>
      </c>
      <c r="I118" s="34" t="s">
        <v>153</v>
      </c>
      <c r="J118" s="92" t="s">
        <v>154</v>
      </c>
      <c r="K118" s="35" t="s">
        <v>155</v>
      </c>
      <c r="L118" s="35" t="s">
        <v>156</v>
      </c>
      <c r="M118" s="92" t="s">
        <v>157</v>
      </c>
      <c r="N118" s="35" t="s">
        <v>70</v>
      </c>
      <c r="O118" s="35" t="s">
        <v>158</v>
      </c>
      <c r="P118" s="107" t="s">
        <v>127</v>
      </c>
      <c r="Q118" s="150" t="s">
        <v>159</v>
      </c>
      <c r="R118" s="69" t="s">
        <v>128</v>
      </c>
      <c r="S118" s="107" t="s">
        <v>129</v>
      </c>
      <c r="T118" s="114" t="s">
        <v>128</v>
      </c>
      <c r="U118" s="107" t="s">
        <v>129</v>
      </c>
      <c r="AC118" s="34"/>
      <c r="AD118" s="64" t="s">
        <v>149</v>
      </c>
      <c r="AE118" s="64" t="s">
        <v>87</v>
      </c>
      <c r="AF118" s="96" t="s">
        <v>150</v>
      </c>
      <c r="AG118" s="64" t="s">
        <v>123</v>
      </c>
      <c r="AH118" s="64" t="s">
        <v>151</v>
      </c>
      <c r="AI118" s="33" t="s">
        <v>152</v>
      </c>
      <c r="AJ118" s="34" t="s">
        <v>153</v>
      </c>
      <c r="AK118" s="92" t="s">
        <v>154</v>
      </c>
      <c r="AL118" s="35" t="s">
        <v>155</v>
      </c>
      <c r="AM118" s="35" t="s">
        <v>156</v>
      </c>
      <c r="AN118" s="92" t="s">
        <v>157</v>
      </c>
      <c r="AO118" s="35" t="s">
        <v>70</v>
      </c>
      <c r="AP118" s="35" t="s">
        <v>158</v>
      </c>
      <c r="AQ118" s="107" t="s">
        <v>127</v>
      </c>
      <c r="AR118" s="150" t="s">
        <v>159</v>
      </c>
      <c r="AS118" s="69" t="s">
        <v>128</v>
      </c>
      <c r="AT118" s="107" t="s">
        <v>129</v>
      </c>
      <c r="AU118" s="114" t="s">
        <v>128</v>
      </c>
      <c r="AV118" s="107" t="s">
        <v>129</v>
      </c>
      <c r="BD118" s="34"/>
      <c r="BE118" s="64" t="s">
        <v>149</v>
      </c>
      <c r="BF118" s="64" t="s">
        <v>87</v>
      </c>
      <c r="BG118" s="96" t="s">
        <v>150</v>
      </c>
      <c r="BH118" s="64" t="s">
        <v>123</v>
      </c>
      <c r="BI118" s="64" t="s">
        <v>151</v>
      </c>
      <c r="BJ118" s="33" t="s">
        <v>152</v>
      </c>
      <c r="BK118" s="34" t="s">
        <v>153</v>
      </c>
      <c r="BL118" s="92" t="s">
        <v>154</v>
      </c>
      <c r="BM118" s="35" t="s">
        <v>155</v>
      </c>
      <c r="BN118" s="35" t="s">
        <v>156</v>
      </c>
      <c r="BO118" s="92" t="s">
        <v>157</v>
      </c>
      <c r="BP118" s="35" t="s">
        <v>70</v>
      </c>
      <c r="BQ118" s="35" t="s">
        <v>158</v>
      </c>
      <c r="BR118" s="107" t="s">
        <v>127</v>
      </c>
      <c r="BS118" s="150" t="s">
        <v>159</v>
      </c>
      <c r="BT118" s="69" t="s">
        <v>128</v>
      </c>
      <c r="BU118" s="107" t="s">
        <v>129</v>
      </c>
      <c r="BV118" s="114" t="s">
        <v>128</v>
      </c>
      <c r="BW118" s="107" t="s">
        <v>129</v>
      </c>
      <c r="CG118" s="35"/>
    </row>
    <row r="119" spans="2:85">
      <c r="B119" s="2" t="s">
        <v>86</v>
      </c>
      <c r="C119" s="7">
        <v>203</v>
      </c>
      <c r="D119" s="38">
        <v>6</v>
      </c>
      <c r="E119" s="93">
        <v>61651.230458506849</v>
      </c>
      <c r="F119" s="37">
        <f t="shared" ref="F119:F131" si="264">E119/$C$10</f>
        <v>0.66007741390264296</v>
      </c>
      <c r="G119" s="38">
        <v>28328.52</v>
      </c>
      <c r="H119" s="37">
        <f t="shared" ref="H119:H125" si="265">G119/$C$10</f>
        <v>0.30330321199143467</v>
      </c>
      <c r="I119" s="37">
        <f t="shared" ref="I119:I125" si="266">1-G119/(E119*$C$8)</f>
        <v>0.5005473639988216</v>
      </c>
      <c r="J119" s="38">
        <v>24462.239000000001</v>
      </c>
      <c r="K119" s="37">
        <f t="shared" ref="K119:K125" si="267">J119/G119</f>
        <v>0.86351983795835441</v>
      </c>
      <c r="L119" s="7">
        <f t="shared" ref="L119:L125" si="268">J119/(PI()*$C$18^2)</f>
        <v>568.77812358587914</v>
      </c>
      <c r="M119" s="38">
        <v>22107.993900000001</v>
      </c>
      <c r="N119" s="37">
        <f t="shared" ref="N119:N125" si="269">M119/J119</f>
        <v>0.90376003194147514</v>
      </c>
      <c r="O119" s="50">
        <f t="shared" ref="O119:O125" si="270">M119/(PI()*$C$19^2)</f>
        <v>1526.6355610770763</v>
      </c>
      <c r="P119" s="98">
        <f t="shared" ref="P119:P125" si="271">M119/$C$10</f>
        <v>0.23670229014989294</v>
      </c>
      <c r="Q119" s="110">
        <f>INDEX(Daggett!$B$7:$M$21, MATCH(D119,Daggett!$A$7:$A$21,0), MATCH(B$120,Daggett!$B$6:$M$6,0))</f>
        <v>297.22580645161293</v>
      </c>
      <c r="R119" s="4">
        <f t="shared" ref="R119:R131" si="272">IF(1-$H$7*(($H$5+273)^4-298^4)*(PI()*$C$19^2)*1000/(M119*Q119*1000)&lt;0,#N/A,1-$H$7*(($H$5+273)^4-298^4)*(PI()*$C$19^2)*1000/(M119*Q119*1000))</f>
        <v>0.13387681428765374</v>
      </c>
      <c r="S119" s="98">
        <f>R119*P119</f>
        <v>3.1688948539859547E-2</v>
      </c>
      <c r="T119" s="111">
        <f>IF(1-$H$7*(($H$5+273)^4-298^4)/(O119*1000)&lt;0,#N/A,1-$H$7*(($H$5+273)^4-298^4)/(O119*1000))</f>
        <v>0.74256583764020778</v>
      </c>
      <c r="U119" s="98">
        <f>T119*P119</f>
        <v>0.17576703435651075</v>
      </c>
      <c r="AC119" s="2" t="s">
        <v>86</v>
      </c>
      <c r="AD119" s="7">
        <v>203</v>
      </c>
      <c r="AE119" s="38">
        <v>6</v>
      </c>
      <c r="AF119" s="93">
        <v>51528.423381125023</v>
      </c>
      <c r="AG119" s="37">
        <f t="shared" ref="AG119:AG131" si="273">AF119/$C$10</f>
        <v>0.55169618181076041</v>
      </c>
      <c r="AH119" s="38">
        <v>27789.79</v>
      </c>
      <c r="AI119" s="37">
        <f t="shared" ref="AI119:AI131" si="274">AH119/$C$10</f>
        <v>0.29753522483940043</v>
      </c>
      <c r="AJ119" s="37">
        <f t="shared" ref="AJ119:AJ131" si="275">1-AH119/(AF119*$C$8)</f>
        <v>0.41379356292656333</v>
      </c>
      <c r="AK119" s="38">
        <v>22892.697700000001</v>
      </c>
      <c r="AL119" s="37">
        <f t="shared" ref="AL119:AL131" si="276">AK119/AH119</f>
        <v>0.82378088139564931</v>
      </c>
      <c r="AM119" s="7">
        <f t="shared" ref="AM119:AM131" si="277">AK119/(PI()*$C$18^2)</f>
        <v>532.28429505675138</v>
      </c>
      <c r="AN119" s="38">
        <v>21101.136999999999</v>
      </c>
      <c r="AO119" s="37">
        <f t="shared" ref="AO119:AO131" si="278">AN119/AK119</f>
        <v>0.9217409532298152</v>
      </c>
      <c r="AP119" s="50">
        <f t="shared" ref="AP119:AP131" si="279">AN119/(PI()*$C$19^2)</f>
        <v>1457.108513285742</v>
      </c>
      <c r="AQ119" s="98">
        <f>AN119/$C$10</f>
        <v>0.22592223768736616</v>
      </c>
      <c r="AR119" s="110">
        <f>INDEX(Daggett!$B$7:$M$21, MATCH(AE119,Daggett!$A$7:$A$21,0), MATCH(AC$120,Daggett!$B$6:$M$6,0))</f>
        <v>297.22580645161293</v>
      </c>
      <c r="AS119" s="4">
        <f t="shared" ref="AS119:AS131" si="280">IF(1-$H$7*(($H$5+273)^4-298^4)*(PI()*$C$19^2)*1000/(AN119*AR119*1000)&lt;0,#N/A,1-$H$7*(($H$5+273)^4-298^4)*(PI()*$C$19^2)*1000/(AN119*AR119*1000))</f>
        <v>9.2549083664206333E-2</v>
      </c>
      <c r="AT119" s="98">
        <f>AS119*AQ119</f>
        <v>2.0908896077332761E-2</v>
      </c>
      <c r="AU119" s="111">
        <f>IF(1-$H$7*(($H$5+273)^4-298^4)/(AP119*1000)&lt;0,#N/A,1-$H$7*(($H$5+273)^4-298^4)/(AP119*1000))</f>
        <v>0.73028216957683856</v>
      </c>
      <c r="AV119" s="98">
        <f>AU119*AQ119</f>
        <v>0.16498698189398397</v>
      </c>
      <c r="BD119" s="2" t="s">
        <v>86</v>
      </c>
      <c r="BE119" s="7">
        <v>203</v>
      </c>
      <c r="BF119" s="38">
        <v>6</v>
      </c>
      <c r="BG119" s="93">
        <f>AF131</f>
        <v>87877.302882866716</v>
      </c>
      <c r="BH119" s="37">
        <f>BG119/$C$10</f>
        <v>0.94087048054461153</v>
      </c>
      <c r="BI119" s="38">
        <f t="shared" ref="BI119:BQ119" si="281">AH131</f>
        <v>28976.738000000001</v>
      </c>
      <c r="BJ119" s="37">
        <f t="shared" si="281"/>
        <v>0.31024344753747324</v>
      </c>
      <c r="BK119" s="37">
        <f t="shared" si="281"/>
        <v>0.6415860146526311</v>
      </c>
      <c r="BL119" s="38">
        <f t="shared" si="281"/>
        <v>27435.624454000001</v>
      </c>
      <c r="BM119" s="37">
        <f t="shared" si="281"/>
        <v>0.94681549227521744</v>
      </c>
      <c r="BN119" s="7">
        <f t="shared" si="281"/>
        <v>637.91311156566564</v>
      </c>
      <c r="BO119" s="38">
        <f t="shared" si="281"/>
        <v>24434.241160000001</v>
      </c>
      <c r="BP119" s="37">
        <f t="shared" si="281"/>
        <v>0.89060269799828051</v>
      </c>
      <c r="BQ119" s="50">
        <f t="shared" si="281"/>
        <v>1687.2712029646975</v>
      </c>
      <c r="BR119" s="98">
        <f t="shared" ref="BR119:BR131" si="282">BO119/$C$10</f>
        <v>0.26160857773019275</v>
      </c>
      <c r="BS119" s="110">
        <f>INDEX(Daggett!$B$7:$M$21, MATCH(BF119,Daggett!$A$7:$A$21,0), MATCH(BD$120,Daggett!$B$6:$M$6,0))</f>
        <v>297.22580645161293</v>
      </c>
      <c r="BT119" s="4">
        <f t="shared" ref="BT119:BT131" si="283">IF(1-$H$7*(($H$5+273)^4-298^4)*(PI()*$C$19^2)*1000/(BO119*BS119*1000)&lt;0,#N/A,1-$H$7*(($H$5+273)^4-298^4)*(PI()*$C$19^2)*1000/(BO119*BS119*1000))</f>
        <v>0.21633555218716205</v>
      </c>
      <c r="BU119" s="98">
        <f>BT119*BR119</f>
        <v>5.6595236120159355E-2</v>
      </c>
      <c r="BV119" s="111">
        <f>IF(1-$H$7*(($H$5+273)^4-298^4)/(BQ119*1000)&lt;0,#N/A,1-$H$7*(($H$5+273)^4-298^4)/(BQ119*1000))</f>
        <v>0.76707470251137133</v>
      </c>
      <c r="BW119" s="98">
        <f>BV119*BR119</f>
        <v>0.20067332193681056</v>
      </c>
    </row>
    <row r="120" spans="2:85">
      <c r="B120" s="2">
        <v>7</v>
      </c>
      <c r="D120" s="38">
        <v>7</v>
      </c>
      <c r="E120" s="93">
        <v>68848.465199787737</v>
      </c>
      <c r="F120" s="37">
        <f t="shared" si="264"/>
        <v>0.73713560171078951</v>
      </c>
      <c r="G120" s="38">
        <v>42831.96</v>
      </c>
      <c r="H120" s="37">
        <f t="shared" si="265"/>
        <v>0.458586295503212</v>
      </c>
      <c r="I120" s="37">
        <f t="shared" si="266"/>
        <v>0.32378335340127384</v>
      </c>
      <c r="J120" s="38">
        <v>39057.32</v>
      </c>
      <c r="K120" s="37">
        <f t="shared" si="267"/>
        <v>0.91187328340799723</v>
      </c>
      <c r="L120" s="7">
        <f t="shared" si="268"/>
        <v>908.13229246485673</v>
      </c>
      <c r="M120" s="38">
        <v>35439.019999999997</v>
      </c>
      <c r="N120" s="37">
        <f t="shared" si="269"/>
        <v>0.90735923509344718</v>
      </c>
      <c r="O120" s="50">
        <f t="shared" si="270"/>
        <v>2447.1902980632594</v>
      </c>
      <c r="P120" s="98">
        <f t="shared" si="271"/>
        <v>0.37943276231263379</v>
      </c>
      <c r="Q120" s="110">
        <f>INDEX(Daggett!$B$7:$M$21, MATCH(D120,Daggett!$A$7:$A$21,0), MATCH(B$120,Daggett!$B$6:$M$6,0))</f>
        <v>543.12903225806451</v>
      </c>
      <c r="R120" s="4">
        <f t="shared" si="272"/>
        <v>0.70431397910133486</v>
      </c>
      <c r="S120" s="98">
        <f t="shared" ref="S120:S131" si="284">R120*P120</f>
        <v>0.26723979862582209</v>
      </c>
      <c r="T120" s="111">
        <f t="shared" ref="T120:T131" si="285">IF(1-$H$7*(($H$5+273)^4-298^4)/(O120*1000)&lt;0,#N/A,1-$H$7*(($H$5+273)^4-298^4)/(O120*1000))</f>
        <v>0.83940433761707012</v>
      </c>
      <c r="U120" s="98">
        <f t="shared" ref="U120:U131" si="286">T120*P120</f>
        <v>0.31849750651925157</v>
      </c>
      <c r="AC120" s="2">
        <v>7</v>
      </c>
      <c r="AE120" s="38">
        <v>7</v>
      </c>
      <c r="AF120" s="93">
        <v>55802.941411720676</v>
      </c>
      <c r="AG120" s="37">
        <f t="shared" si="273"/>
        <v>0.5974618994830907</v>
      </c>
      <c r="AH120" s="38">
        <v>44423.696000000004</v>
      </c>
      <c r="AI120" s="37">
        <f t="shared" si="274"/>
        <v>0.47562843683083517</v>
      </c>
      <c r="AJ120" s="37">
        <f t="shared" si="275"/>
        <v>0.13469389130060183</v>
      </c>
      <c r="AK120" s="38">
        <v>38164.218999999997</v>
      </c>
      <c r="AL120" s="37">
        <f t="shared" si="276"/>
        <v>0.85909598787097752</v>
      </c>
      <c r="AM120" s="7">
        <f t="shared" si="277"/>
        <v>887.36655998416791</v>
      </c>
      <c r="AN120" s="38">
        <v>35354.684000000001</v>
      </c>
      <c r="AO120" s="37">
        <f t="shared" si="278"/>
        <v>0.92638300812601471</v>
      </c>
      <c r="AP120" s="50">
        <f t="shared" si="279"/>
        <v>2441.3665974931691</v>
      </c>
      <c r="AQ120" s="98">
        <f t="shared" ref="AQ120:AQ131" si="287">AN120/$C$10</f>
        <v>0.37852980728051394</v>
      </c>
      <c r="AR120" s="110">
        <f>INDEX(Daggett!$B$7:$M$21, MATCH(AE120,Daggett!$A$7:$A$21,0), MATCH(AC$120,Daggett!$B$6:$M$6,0))</f>
        <v>543.12903225806451</v>
      </c>
      <c r="AS120" s="4">
        <f t="shared" si="280"/>
        <v>0.7036086418323465</v>
      </c>
      <c r="AT120" s="98">
        <f t="shared" ref="AT120:AT131" si="288">AS120*AQ120</f>
        <v>0.2663368435937023</v>
      </c>
      <c r="AU120" s="111">
        <f t="shared" ref="AU120:AU131" si="289">IF(1-$H$7*(($H$5+273)^4-298^4)/(AP120*1000)&lt;0,#N/A,1-$H$7*(($H$5+273)^4-298^4)/(AP120*1000))</f>
        <v>0.83902124846874893</v>
      </c>
      <c r="AV120" s="98">
        <f t="shared" ref="AV120:AV131" si="290">AU120*AQ120</f>
        <v>0.31759455148713173</v>
      </c>
      <c r="BD120" s="2">
        <v>7</v>
      </c>
      <c r="BF120" s="38">
        <v>7</v>
      </c>
      <c r="BG120" s="93">
        <f>AF130</f>
        <v>89477.662547194806</v>
      </c>
      <c r="BH120" s="37">
        <f t="shared" ref="BH120:BH131" si="291">BG120/$C$10</f>
        <v>0.95800495232542615</v>
      </c>
      <c r="BI120" s="38">
        <f t="shared" ref="BI120:BQ120" si="292">AH130</f>
        <v>52598.329299999998</v>
      </c>
      <c r="BJ120" s="37">
        <f t="shared" si="292"/>
        <v>0.56315127730192716</v>
      </c>
      <c r="BK120" s="37">
        <f t="shared" si="292"/>
        <v>0.36104614897531451</v>
      </c>
      <c r="BL120" s="38">
        <f t="shared" si="292"/>
        <v>49938.5429</v>
      </c>
      <c r="BM120" s="37">
        <f t="shared" si="292"/>
        <v>0.94943211247586157</v>
      </c>
      <c r="BN120" s="7">
        <f t="shared" si="292"/>
        <v>1161.1345439505731</v>
      </c>
      <c r="BO120" s="38">
        <f t="shared" si="292"/>
        <v>45176.707199999997</v>
      </c>
      <c r="BP120" s="37">
        <f t="shared" si="292"/>
        <v>0.90464608249513012</v>
      </c>
      <c r="BQ120" s="50">
        <f t="shared" si="292"/>
        <v>3119.6122115759581</v>
      </c>
      <c r="BR120" s="98">
        <f t="shared" si="282"/>
        <v>0.48369065524625265</v>
      </c>
      <c r="BS120" s="110">
        <f>INDEX(Daggett!$B$7:$M$21, MATCH(BF120,Daggett!$A$7:$A$21,0), MATCH(BD$120,Daggett!$B$6:$M$6,0))</f>
        <v>543.12903225806451</v>
      </c>
      <c r="BT120" s="4">
        <f t="shared" si="283"/>
        <v>0.76804810580908811</v>
      </c>
      <c r="BU120" s="98">
        <f t="shared" ref="BU120:BU131" si="293">BT120*BR120</f>
        <v>0.37149769155944101</v>
      </c>
      <c r="BV120" s="111">
        <f t="shared" ref="BV120:BV131" si="294">IF(1-$H$7*(($H$5+273)^4-298^4)/(BQ120*1000)&lt;0,#N/A,1-$H$7*(($H$5+273)^4-298^4)/(BQ120*1000))</f>
        <v>0.87402019217766502</v>
      </c>
      <c r="BW120" s="98">
        <f t="shared" ref="BW120:BW131" si="295">BV120*BR120</f>
        <v>0.42275539945287044</v>
      </c>
    </row>
    <row r="121" spans="2:85">
      <c r="D121" s="38">
        <v>8</v>
      </c>
      <c r="E121" s="93">
        <v>74936.988836526565</v>
      </c>
      <c r="F121" s="37">
        <f t="shared" si="264"/>
        <v>0.80232322094782194</v>
      </c>
      <c r="G121" s="38">
        <v>58749.131000000001</v>
      </c>
      <c r="H121" s="37">
        <f t="shared" si="265"/>
        <v>0.62900568522483946</v>
      </c>
      <c r="I121" s="37">
        <f t="shared" si="266"/>
        <v>0.14784738380319984</v>
      </c>
      <c r="J121" s="38">
        <v>54650.97</v>
      </c>
      <c r="K121" s="37">
        <f t="shared" si="267"/>
        <v>0.93024303627571958</v>
      </c>
      <c r="L121" s="7">
        <f t="shared" si="268"/>
        <v>1270.7044587679882</v>
      </c>
      <c r="M121" s="38">
        <v>49989.01</v>
      </c>
      <c r="N121" s="37">
        <f t="shared" si="269"/>
        <v>0.91469575013947602</v>
      </c>
      <c r="O121" s="50">
        <f t="shared" si="270"/>
        <v>3451.9188251195233</v>
      </c>
      <c r="P121" s="98">
        <f t="shared" si="271"/>
        <v>0.53521423982869376</v>
      </c>
      <c r="Q121" s="110">
        <f>INDEX(Daggett!$B$7:$M$21, MATCH(D121,Daggett!$A$7:$A$21,0), MATCH(B$120,Daggett!$B$6:$M$6,0))</f>
        <v>667.12903225806451</v>
      </c>
      <c r="R121" s="4">
        <f t="shared" si="272"/>
        <v>0.82934023703868376</v>
      </c>
      <c r="S121" s="98">
        <f t="shared" si="284"/>
        <v>0.4438747045260078</v>
      </c>
      <c r="T121" s="111">
        <f t="shared" si="285"/>
        <v>0.88614791749022648</v>
      </c>
      <c r="U121" s="98">
        <f t="shared" si="286"/>
        <v>0.4742789840353116</v>
      </c>
      <c r="AE121" s="38">
        <v>8</v>
      </c>
      <c r="AF121" s="93">
        <v>60942.666984972857</v>
      </c>
      <c r="AG121" s="37">
        <f t="shared" si="273"/>
        <v>0.65249108120955945</v>
      </c>
      <c r="AH121" s="38">
        <v>52522.841</v>
      </c>
      <c r="AI121" s="37">
        <f t="shared" si="274"/>
        <v>0.56234305139186291</v>
      </c>
      <c r="AJ121" s="37">
        <f t="shared" si="275"/>
        <v>6.3217161479090511E-2</v>
      </c>
      <c r="AK121" s="38">
        <v>46449.716099999998</v>
      </c>
      <c r="AL121" s="37">
        <f t="shared" si="276"/>
        <v>0.88437173647937284</v>
      </c>
      <c r="AM121" s="7">
        <f t="shared" si="277"/>
        <v>1080.0148900701524</v>
      </c>
      <c r="AN121" s="38">
        <v>43165.392</v>
      </c>
      <c r="AO121" s="37">
        <f t="shared" si="278"/>
        <v>0.92929291337477093</v>
      </c>
      <c r="AP121" s="50">
        <f t="shared" si="279"/>
        <v>2980.7237478490501</v>
      </c>
      <c r="AQ121" s="98">
        <f t="shared" si="287"/>
        <v>0.46215623126338329</v>
      </c>
      <c r="AR121" s="110">
        <f>INDEX(Daggett!$B$7:$M$21, MATCH(AE121,Daggett!$A$7:$A$21,0), MATCH(AC$120,Daggett!$B$6:$M$6,0))</f>
        <v>667.12903225806451</v>
      </c>
      <c r="AS121" s="4">
        <f t="shared" si="280"/>
        <v>0.80236221190182011</v>
      </c>
      <c r="AT121" s="98">
        <f t="shared" si="288"/>
        <v>0.37081669596069733</v>
      </c>
      <c r="AU121" s="111">
        <f t="shared" si="289"/>
        <v>0.86815009368843687</v>
      </c>
      <c r="AV121" s="98">
        <f t="shared" si="290"/>
        <v>0.40122097547000107</v>
      </c>
      <c r="BF121" s="38">
        <v>8</v>
      </c>
      <c r="BG121" s="93">
        <f>AF129</f>
        <v>89992.01382173544</v>
      </c>
      <c r="BH121" s="37">
        <f t="shared" si="291"/>
        <v>0.96351192528624663</v>
      </c>
      <c r="BI121" s="38">
        <f t="shared" ref="BI121:BQ121" si="296">AH129</f>
        <v>64360.29</v>
      </c>
      <c r="BJ121" s="37">
        <f t="shared" si="296"/>
        <v>0.68908233404710917</v>
      </c>
      <c r="BK121" s="37">
        <f t="shared" si="296"/>
        <v>0.22263283167438885</v>
      </c>
      <c r="BL121" s="38">
        <f t="shared" si="296"/>
        <v>61178.391000000003</v>
      </c>
      <c r="BM121" s="37">
        <f t="shared" si="296"/>
        <v>0.95056114570024475</v>
      </c>
      <c r="BN121" s="7">
        <f t="shared" si="296"/>
        <v>1422.4752867872492</v>
      </c>
      <c r="BO121" s="38">
        <f t="shared" si="296"/>
        <v>56371.2958</v>
      </c>
      <c r="BP121" s="37">
        <f t="shared" si="296"/>
        <v>0.92142494888432092</v>
      </c>
      <c r="BQ121" s="50">
        <f t="shared" si="296"/>
        <v>3892.6383452763134</v>
      </c>
      <c r="BR121" s="98">
        <f t="shared" si="282"/>
        <v>0.60354706423982873</v>
      </c>
      <c r="BS121" s="110">
        <f>INDEX(Daggett!$B$7:$M$21, MATCH(BF121,Daggett!$A$7:$A$21,0), MATCH(BD$120,Daggett!$B$6:$M$6,0))</f>
        <v>667.12903225806451</v>
      </c>
      <c r="BT121" s="4">
        <f t="shared" si="283"/>
        <v>0.84866211648675871</v>
      </c>
      <c r="BU121" s="98">
        <f t="shared" si="293"/>
        <v>0.51220752893714283</v>
      </c>
      <c r="BV121" s="111">
        <f t="shared" si="294"/>
        <v>0.89903810422782771</v>
      </c>
      <c r="BW121" s="98">
        <f t="shared" si="295"/>
        <v>0.54261180844644652</v>
      </c>
    </row>
    <row r="122" spans="2:85">
      <c r="D122" s="38">
        <v>9</v>
      </c>
      <c r="E122" s="93">
        <v>79796.023533024461</v>
      </c>
      <c r="F122" s="37">
        <f t="shared" si="264"/>
        <v>0.85434714703452319</v>
      </c>
      <c r="G122" s="38">
        <v>66443.937999999995</v>
      </c>
      <c r="H122" s="37">
        <f t="shared" si="265"/>
        <v>0.71139119914346893</v>
      </c>
      <c r="I122" s="37">
        <f t="shared" si="266"/>
        <v>9.4921419120080786E-2</v>
      </c>
      <c r="J122" s="38">
        <v>62334.39</v>
      </c>
      <c r="K122" s="37">
        <f t="shared" si="267"/>
        <v>0.93815014396046192</v>
      </c>
      <c r="L122" s="7">
        <f t="shared" si="268"/>
        <v>1449.3537316461664</v>
      </c>
      <c r="M122" s="38">
        <v>56892.5</v>
      </c>
      <c r="N122" s="37">
        <f t="shared" si="269"/>
        <v>0.91269843179663745</v>
      </c>
      <c r="O122" s="50">
        <f t="shared" si="270"/>
        <v>3928.629347892916</v>
      </c>
      <c r="P122" s="98">
        <f t="shared" si="271"/>
        <v>0.60912740899357598</v>
      </c>
      <c r="Q122" s="110">
        <f>INDEX(Daggett!$B$7:$M$21, MATCH(D122,Daggett!$A$7:$A$21,0), MATCH(B$120,Daggett!$B$6:$M$6,0))</f>
        <v>731.77419354838707</v>
      </c>
      <c r="R122" s="4">
        <f t="shared" si="272"/>
        <v>0.86329531238138557</v>
      </c>
      <c r="S122" s="98">
        <f t="shared" si="284"/>
        <v>0.52585683682717321</v>
      </c>
      <c r="T122" s="111">
        <f t="shared" si="285"/>
        <v>0.89996303746360418</v>
      </c>
      <c r="U122" s="98">
        <f t="shared" si="286"/>
        <v>0.54819215320019377</v>
      </c>
      <c r="AE122" s="38">
        <v>9</v>
      </c>
      <c r="AF122" s="93">
        <v>66438.879225666475</v>
      </c>
      <c r="AG122" s="37">
        <f t="shared" si="273"/>
        <v>0.71133703667737125</v>
      </c>
      <c r="AH122" s="38">
        <v>59264.989399999999</v>
      </c>
      <c r="AI122" s="37">
        <f t="shared" si="274"/>
        <v>0.63452879443254817</v>
      </c>
      <c r="AJ122" s="37">
        <f t="shared" si="275"/>
        <v>3.0410092856526183E-2</v>
      </c>
      <c r="AK122" s="38">
        <v>53367.869317999997</v>
      </c>
      <c r="AL122" s="37">
        <f t="shared" si="276"/>
        <v>0.90049572029451841</v>
      </c>
      <c r="AM122" s="7">
        <f t="shared" si="277"/>
        <v>1240.8707383845135</v>
      </c>
      <c r="AN122" s="38">
        <v>49567.324000000001</v>
      </c>
      <c r="AO122" s="37">
        <f t="shared" si="278"/>
        <v>0.92878588996397982</v>
      </c>
      <c r="AP122" s="50">
        <f t="shared" si="279"/>
        <v>3422.7999079477418</v>
      </c>
      <c r="AQ122" s="98">
        <f t="shared" si="287"/>
        <v>0.53069940042826558</v>
      </c>
      <c r="AR122" s="110">
        <f>INDEX(Daggett!$B$7:$M$21, MATCH(AE122,Daggett!$A$7:$A$21,0), MATCH(AC$120,Daggett!$B$6:$M$6,0))</f>
        <v>731.77419354838707</v>
      </c>
      <c r="AS122" s="4">
        <f t="shared" si="280"/>
        <v>0.84309277135190874</v>
      </c>
      <c r="AT122" s="98">
        <f t="shared" si="288"/>
        <v>0.44742882826186275</v>
      </c>
      <c r="AU122" s="111">
        <f t="shared" si="289"/>
        <v>0.88517933929413062</v>
      </c>
      <c r="AV122" s="98">
        <f t="shared" si="290"/>
        <v>0.46976414463488336</v>
      </c>
      <c r="BF122" s="38">
        <v>9</v>
      </c>
      <c r="BG122" s="93">
        <f>AF128</f>
        <v>89403.666741955953</v>
      </c>
      <c r="BH122" s="37">
        <f t="shared" si="291"/>
        <v>0.95721270601665898</v>
      </c>
      <c r="BI122" s="38">
        <f t="shared" ref="BI122:BQ122" si="297">AH128</f>
        <v>71758.317999999999</v>
      </c>
      <c r="BJ122" s="37">
        <f t="shared" si="297"/>
        <v>0.76829034261241969</v>
      </c>
      <c r="BK122" s="37">
        <f t="shared" si="297"/>
        <v>0.12757301147105049</v>
      </c>
      <c r="BL122" s="38">
        <f t="shared" si="297"/>
        <v>68164.865000000005</v>
      </c>
      <c r="BM122" s="37">
        <f t="shared" si="297"/>
        <v>0.94992283682011613</v>
      </c>
      <c r="BN122" s="7">
        <f t="shared" si="297"/>
        <v>1584.9196800499237</v>
      </c>
      <c r="BO122" s="38">
        <f t="shared" si="297"/>
        <v>62935.428</v>
      </c>
      <c r="BP122" s="37">
        <f t="shared" si="297"/>
        <v>0.9232825151197761</v>
      </c>
      <c r="BQ122" s="50">
        <f t="shared" si="297"/>
        <v>4345.9150057213437</v>
      </c>
      <c r="BR122" s="98">
        <f t="shared" si="282"/>
        <v>0.673826852248394</v>
      </c>
      <c r="BS122" s="110">
        <f>INDEX(Daggett!$B$7:$M$21, MATCH(BF122,Daggett!$A$7:$A$21,0), MATCH(BD$120,Daggett!$B$6:$M$6,0))</f>
        <v>731.77419354838707</v>
      </c>
      <c r="BT122" s="4">
        <f t="shared" si="283"/>
        <v>0.87642141020567899</v>
      </c>
      <c r="BU122" s="98">
        <f t="shared" si="293"/>
        <v>0.59055628008199113</v>
      </c>
      <c r="BV122" s="111">
        <f t="shared" si="294"/>
        <v>0.90956837711341376</v>
      </c>
      <c r="BW122" s="98">
        <f t="shared" si="295"/>
        <v>0.61289159645501179</v>
      </c>
    </row>
    <row r="123" spans="2:85">
      <c r="D123" s="38">
        <v>10</v>
      </c>
      <c r="E123" s="93">
        <v>83332.840937163244</v>
      </c>
      <c r="F123" s="37">
        <f t="shared" si="264"/>
        <v>0.89221457106170499</v>
      </c>
      <c r="G123" s="38">
        <v>68831.16</v>
      </c>
      <c r="H123" s="37">
        <f t="shared" si="265"/>
        <v>0.7369503211991435</v>
      </c>
      <c r="I123" s="37">
        <f t="shared" si="266"/>
        <v>0.10219695597220069</v>
      </c>
      <c r="J123" s="38">
        <v>65100.6</v>
      </c>
      <c r="K123" s="37">
        <f t="shared" si="267"/>
        <v>0.94580129115941092</v>
      </c>
      <c r="L123" s="7">
        <f t="shared" si="268"/>
        <v>1513.671627209385</v>
      </c>
      <c r="M123" s="38">
        <v>59571.44</v>
      </c>
      <c r="N123" s="37">
        <f t="shared" si="269"/>
        <v>0.91506744945515106</v>
      </c>
      <c r="O123" s="50">
        <f t="shared" si="270"/>
        <v>4113.6196771145933</v>
      </c>
      <c r="P123" s="98">
        <f t="shared" si="271"/>
        <v>0.63780985010706637</v>
      </c>
      <c r="Q123" s="110">
        <f>INDEX(Daggett!$B$7:$M$21, MATCH(D123,Daggett!$A$7:$A$21,0), MATCH(B$120,Daggett!$B$6:$M$6,0))</f>
        <v>782.48387096774195</v>
      </c>
      <c r="R123" s="4">
        <f t="shared" si="272"/>
        <v>0.87790383527609095</v>
      </c>
      <c r="S123" s="98">
        <f t="shared" si="284"/>
        <v>0.55993571358586225</v>
      </c>
      <c r="T123" s="111">
        <f t="shared" si="285"/>
        <v>0.90446172039652062</v>
      </c>
      <c r="U123" s="98">
        <f t="shared" si="286"/>
        <v>0.57687459431368415</v>
      </c>
      <c r="AE123" s="38">
        <v>10</v>
      </c>
      <c r="AF123" s="93">
        <v>71879.042359793486</v>
      </c>
      <c r="AG123" s="37">
        <f t="shared" si="273"/>
        <v>0.76958289464446983</v>
      </c>
      <c r="AH123" s="38">
        <v>63752.53</v>
      </c>
      <c r="AI123" s="37">
        <f t="shared" si="274"/>
        <v>0.68257526766595289</v>
      </c>
      <c r="AJ123" s="37">
        <f t="shared" si="275"/>
        <v>3.5932783939935375E-2</v>
      </c>
      <c r="AK123" s="38">
        <v>58573.557999999997</v>
      </c>
      <c r="AL123" s="37">
        <f t="shared" si="276"/>
        <v>0.91876444746584951</v>
      </c>
      <c r="AM123" s="7">
        <f t="shared" si="277"/>
        <v>1361.9096114214506</v>
      </c>
      <c r="AN123" s="38">
        <v>54519.444799999997</v>
      </c>
      <c r="AO123" s="37">
        <f t="shared" si="278"/>
        <v>0.93078594952350346</v>
      </c>
      <c r="AP123" s="50">
        <f t="shared" si="279"/>
        <v>3764.7614513707049</v>
      </c>
      <c r="AQ123" s="98">
        <f t="shared" si="287"/>
        <v>0.58371996573875795</v>
      </c>
      <c r="AR123" s="110">
        <f>INDEX(Daggett!$B$7:$M$21, MATCH(AE123,Daggett!$A$7:$A$21,0), MATCH(AC$120,Daggett!$B$6:$M$6,0))</f>
        <v>782.48387096774195</v>
      </c>
      <c r="AS123" s="4">
        <f t="shared" si="280"/>
        <v>0.86658990424861293</v>
      </c>
      <c r="AT123" s="98">
        <f t="shared" si="288"/>
        <v>0.50584582921755383</v>
      </c>
      <c r="AU123" s="111">
        <f t="shared" si="289"/>
        <v>0.89560875185027755</v>
      </c>
      <c r="AV123" s="98">
        <f t="shared" si="290"/>
        <v>0.52278470994537574</v>
      </c>
      <c r="BF123" s="38">
        <v>10</v>
      </c>
      <c r="BG123" s="93">
        <f>AF127</f>
        <v>87731.017856478822</v>
      </c>
      <c r="BH123" s="37">
        <f t="shared" si="291"/>
        <v>0.93930425970534071</v>
      </c>
      <c r="BI123" s="38">
        <f t="shared" ref="BI123:BQ123" si="298">AH127</f>
        <v>71388.339640000006</v>
      </c>
      <c r="BJ123" s="37">
        <f t="shared" si="298"/>
        <v>0.76432911820128491</v>
      </c>
      <c r="BK123" s="37">
        <f t="shared" si="298"/>
        <v>0.11552352584387882</v>
      </c>
      <c r="BL123" s="38">
        <f t="shared" si="298"/>
        <v>67858.666500000007</v>
      </c>
      <c r="BM123" s="37">
        <f t="shared" si="298"/>
        <v>0.9505567273619252</v>
      </c>
      <c r="BN123" s="7">
        <f t="shared" si="298"/>
        <v>1577.800176055428</v>
      </c>
      <c r="BO123" s="38">
        <f t="shared" si="298"/>
        <v>62105.439345999999</v>
      </c>
      <c r="BP123" s="37">
        <f t="shared" si="298"/>
        <v>0.91521750351519204</v>
      </c>
      <c r="BQ123" s="50">
        <f t="shared" si="298"/>
        <v>4288.6013389898326</v>
      </c>
      <c r="BR123" s="98">
        <f t="shared" si="282"/>
        <v>0.66494046408993579</v>
      </c>
      <c r="BS123" s="110">
        <f>INDEX(Daggett!$B$7:$M$21, MATCH(BF123,Daggett!$A$7:$A$21,0), MATCH(BD$120,Daggett!$B$6:$M$6,0))</f>
        <v>782.48387096774195</v>
      </c>
      <c r="BT123" s="4">
        <f t="shared" si="283"/>
        <v>0.88288555032098137</v>
      </c>
      <c r="BU123" s="98">
        <f t="shared" si="293"/>
        <v>0.58706632756873167</v>
      </c>
      <c r="BV123" s="111">
        <f t="shared" si="294"/>
        <v>0.90835983206890469</v>
      </c>
      <c r="BW123" s="98">
        <f t="shared" si="295"/>
        <v>0.60400520829655358</v>
      </c>
    </row>
    <row r="124" spans="2:85">
      <c r="D124" s="38">
        <v>11</v>
      </c>
      <c r="E124" s="93">
        <v>85481.379217571113</v>
      </c>
      <c r="F124" s="37">
        <f t="shared" si="264"/>
        <v>0.91521819290761364</v>
      </c>
      <c r="G124" s="38">
        <v>70726.37</v>
      </c>
      <c r="H124" s="37">
        <f t="shared" si="265"/>
        <v>0.75724164882226974</v>
      </c>
      <c r="I124" s="37">
        <f t="shared" si="266"/>
        <v>0.1006639126076192</v>
      </c>
      <c r="J124" s="38">
        <v>67189.88</v>
      </c>
      <c r="K124" s="37">
        <f t="shared" si="267"/>
        <v>0.94999757516185279</v>
      </c>
      <c r="L124" s="7">
        <f t="shared" si="268"/>
        <v>1562.25004057725</v>
      </c>
      <c r="M124" s="38">
        <v>61425.95</v>
      </c>
      <c r="N124" s="37">
        <f t="shared" si="269"/>
        <v>0.91421431322693225</v>
      </c>
      <c r="O124" s="50">
        <f t="shared" si="270"/>
        <v>4241.680184421547</v>
      </c>
      <c r="P124" s="98">
        <f t="shared" si="271"/>
        <v>0.65766541755888652</v>
      </c>
      <c r="Q124" s="110">
        <f>INDEX(Daggett!$B$7:$M$21, MATCH(D124,Daggett!$A$7:$A$21,0), MATCH(B$120,Daggett!$B$6:$M$6,0))</f>
        <v>798.35483870967744</v>
      </c>
      <c r="R124" s="4">
        <f t="shared" si="272"/>
        <v>0.88394398049144163</v>
      </c>
      <c r="S124" s="98">
        <f t="shared" si="284"/>
        <v>0.58133938702856824</v>
      </c>
      <c r="T124" s="111">
        <f t="shared" si="285"/>
        <v>0.9073461152639577</v>
      </c>
      <c r="U124" s="98">
        <f t="shared" si="286"/>
        <v>0.59673016176550431</v>
      </c>
      <c r="AE124" s="38">
        <v>11</v>
      </c>
      <c r="AF124" s="93">
        <v>76943.268150582677</v>
      </c>
      <c r="AG124" s="37">
        <f t="shared" si="273"/>
        <v>0.82380372752229847</v>
      </c>
      <c r="AH124" s="38">
        <v>66901.495500000005</v>
      </c>
      <c r="AI124" s="37">
        <f t="shared" si="274"/>
        <v>0.71629010171306218</v>
      </c>
      <c r="AJ124" s="37">
        <f t="shared" si="275"/>
        <v>5.4900856232015904E-2</v>
      </c>
      <c r="AK124" s="38">
        <v>62507.292999999998</v>
      </c>
      <c r="AL124" s="37">
        <f t="shared" si="276"/>
        <v>0.93431832177802354</v>
      </c>
      <c r="AM124" s="7">
        <f t="shared" si="277"/>
        <v>1453.3739459815085</v>
      </c>
      <c r="AN124" s="38">
        <v>57774.364999999998</v>
      </c>
      <c r="AO124" s="37">
        <f t="shared" si="278"/>
        <v>0.92428198738345624</v>
      </c>
      <c r="AP124" s="50">
        <f t="shared" si="279"/>
        <v>3989.5252607088332</v>
      </c>
      <c r="AQ124" s="98">
        <f t="shared" si="287"/>
        <v>0.61856921841541757</v>
      </c>
      <c r="AR124" s="110">
        <f>INDEX(Daggett!$B$7:$M$21, MATCH(AE124,Daggett!$A$7:$A$21,0), MATCH(AC$120,Daggett!$B$6:$M$6,0))</f>
        <v>798.35483870967744</v>
      </c>
      <c r="AS124" s="4">
        <f t="shared" si="280"/>
        <v>0.87660874764211205</v>
      </c>
      <c r="AT124" s="98">
        <f t="shared" si="288"/>
        <v>0.54224318788509929</v>
      </c>
      <c r="AU124" s="111">
        <f t="shared" si="289"/>
        <v>0.90148999662563323</v>
      </c>
      <c r="AV124" s="98">
        <f t="shared" si="290"/>
        <v>0.55763396262203535</v>
      </c>
      <c r="BF124" s="38">
        <v>11</v>
      </c>
      <c r="BG124" s="93">
        <f>AF126</f>
        <v>85028.2556282484</v>
      </c>
      <c r="BH124" s="37">
        <f t="shared" si="291"/>
        <v>0.91036676261507921</v>
      </c>
      <c r="BI124" s="38">
        <f t="shared" ref="BI124:BQ124" si="299">AH126</f>
        <v>70157.695129999993</v>
      </c>
      <c r="BJ124" s="37">
        <f t="shared" si="299"/>
        <v>0.75115305278372579</v>
      </c>
      <c r="BK124" s="37">
        <f t="shared" si="299"/>
        <v>0.103140906416475</v>
      </c>
      <c r="BL124" s="38">
        <f t="shared" si="299"/>
        <v>66386.39</v>
      </c>
      <c r="BM124" s="37">
        <f t="shared" si="299"/>
        <v>0.94624531032537651</v>
      </c>
      <c r="BN124" s="7">
        <f t="shared" si="299"/>
        <v>1543.5678776517705</v>
      </c>
      <c r="BO124" s="38">
        <f t="shared" si="299"/>
        <v>61389.68</v>
      </c>
      <c r="BP124" s="37">
        <f t="shared" si="299"/>
        <v>0.92473291588833195</v>
      </c>
      <c r="BQ124" s="50">
        <f t="shared" si="299"/>
        <v>4239.1756120007876</v>
      </c>
      <c r="BR124" s="98">
        <f t="shared" si="282"/>
        <v>0.6572770877944325</v>
      </c>
      <c r="BS124" s="110">
        <f>INDEX(Daggett!$B$7:$M$21, MATCH(BF124,Daggett!$A$7:$A$21,0), MATCH(BD$120,Daggett!$B$6:$M$6,0))</f>
        <v>798.35483870967744</v>
      </c>
      <c r="BT124" s="4">
        <f t="shared" si="283"/>
        <v>0.88387541274801029</v>
      </c>
      <c r="BU124" s="98">
        <f t="shared" si="293"/>
        <v>0.58095105726411422</v>
      </c>
      <c r="BV124" s="111">
        <f t="shared" si="294"/>
        <v>0.90729137387420988</v>
      </c>
      <c r="BW124" s="98">
        <f t="shared" si="295"/>
        <v>0.59634183200105029</v>
      </c>
    </row>
    <row r="125" spans="2:85">
      <c r="D125" s="38">
        <v>12</v>
      </c>
      <c r="E125" s="93">
        <v>86201.970612319186</v>
      </c>
      <c r="F125" s="37">
        <f t="shared" si="264"/>
        <v>0.92293330420041952</v>
      </c>
      <c r="G125" s="38">
        <v>70899.56</v>
      </c>
      <c r="H125" s="37">
        <f t="shared" si="265"/>
        <v>0.75909593147751608</v>
      </c>
      <c r="I125" s="37">
        <f t="shared" si="266"/>
        <v>0.10599794200735591</v>
      </c>
      <c r="J125" s="38">
        <v>67331.559500000003</v>
      </c>
      <c r="K125" s="37">
        <f t="shared" si="267"/>
        <v>0.9496752800722601</v>
      </c>
      <c r="L125" s="7">
        <f t="shared" si="268"/>
        <v>1565.5442688840124</v>
      </c>
      <c r="M125" s="38">
        <v>61683.93</v>
      </c>
      <c r="N125" s="37">
        <f t="shared" si="269"/>
        <v>0.91612210467217825</v>
      </c>
      <c r="O125" s="50">
        <f t="shared" si="270"/>
        <v>4259.4946204046628</v>
      </c>
      <c r="P125" s="98">
        <f t="shared" si="271"/>
        <v>0.6604275160599572</v>
      </c>
      <c r="Q125" s="110">
        <f>INDEX(Daggett!$B$7:$M$21, MATCH(D125,Daggett!$A$7:$A$21,0), MATCH(B$120,Daggett!$B$6:$M$6,0))</f>
        <v>806.58064516129036</v>
      </c>
      <c r="R125" s="4">
        <f t="shared" si="272"/>
        <v>0.88560799220817865</v>
      </c>
      <c r="S125" s="98">
        <f t="shared" si="284"/>
        <v>0.58487988649689338</v>
      </c>
      <c r="T125" s="111">
        <f t="shared" si="285"/>
        <v>0.90773362055397744</v>
      </c>
      <c r="U125" s="98">
        <f t="shared" si="286"/>
        <v>0.59949226026657498</v>
      </c>
      <c r="AE125" s="38">
        <v>12</v>
      </c>
      <c r="AF125" s="93">
        <v>81387.593167432206</v>
      </c>
      <c r="AG125" s="37">
        <f t="shared" si="273"/>
        <v>0.87138750714595514</v>
      </c>
      <c r="AH125" s="38">
        <v>68441.6495</v>
      </c>
      <c r="AI125" s="37">
        <f t="shared" si="274"/>
        <v>0.73277997323340471</v>
      </c>
      <c r="AJ125" s="37">
        <f t="shared" si="275"/>
        <v>8.5940566769609372E-2</v>
      </c>
      <c r="AK125" s="38">
        <v>64525.680059999999</v>
      </c>
      <c r="AL125" s="37">
        <f t="shared" si="276"/>
        <v>0.94278382434368413</v>
      </c>
      <c r="AM125" s="7">
        <f t="shared" si="277"/>
        <v>1500.3040084609415</v>
      </c>
      <c r="AN125" s="38">
        <v>59803.098910000001</v>
      </c>
      <c r="AO125" s="37">
        <f t="shared" si="278"/>
        <v>0.92681082716821195</v>
      </c>
      <c r="AP125" s="50">
        <f t="shared" si="279"/>
        <v>4129.6165482755878</v>
      </c>
      <c r="AQ125" s="98">
        <f t="shared" si="287"/>
        <v>0.64029013822269809</v>
      </c>
      <c r="AR125" s="110">
        <f>INDEX(Daggett!$B$7:$M$21, MATCH(AE125,Daggett!$A$7:$A$21,0), MATCH(AC$120,Daggett!$B$6:$M$6,0))</f>
        <v>806.58064516129036</v>
      </c>
      <c r="AS125" s="4">
        <f t="shared" si="280"/>
        <v>0.88201031836478516</v>
      </c>
      <c r="AT125" s="98">
        <f t="shared" si="288"/>
        <v>0.56474250865963427</v>
      </c>
      <c r="AU125" s="111">
        <f t="shared" si="289"/>
        <v>0.90483180646429318</v>
      </c>
      <c r="AV125" s="98">
        <f t="shared" si="290"/>
        <v>0.57935488242931588</v>
      </c>
      <c r="BF125" s="38">
        <v>12</v>
      </c>
      <c r="BG125" s="93">
        <f>AF125</f>
        <v>81387.593167432206</v>
      </c>
      <c r="BH125" s="37">
        <f t="shared" si="291"/>
        <v>0.87138750714595514</v>
      </c>
      <c r="BI125" s="38">
        <f t="shared" ref="BI125:BQ125" si="300">AH125</f>
        <v>68441.6495</v>
      </c>
      <c r="BJ125" s="37">
        <f t="shared" si="300"/>
        <v>0.73277997323340471</v>
      </c>
      <c r="BK125" s="37">
        <f t="shared" si="300"/>
        <v>8.5940566769609372E-2</v>
      </c>
      <c r="BL125" s="38">
        <f t="shared" si="300"/>
        <v>64525.680059999999</v>
      </c>
      <c r="BM125" s="37">
        <f t="shared" si="300"/>
        <v>0.94278382434368413</v>
      </c>
      <c r="BN125" s="7">
        <f t="shared" si="300"/>
        <v>1500.3040084609415</v>
      </c>
      <c r="BO125" s="38">
        <f t="shared" si="300"/>
        <v>59803.098910000001</v>
      </c>
      <c r="BP125" s="37">
        <f t="shared" si="300"/>
        <v>0.92681082716821195</v>
      </c>
      <c r="BQ125" s="50">
        <f t="shared" si="300"/>
        <v>4129.6165482755878</v>
      </c>
      <c r="BR125" s="98">
        <f t="shared" si="282"/>
        <v>0.64029013822269809</v>
      </c>
      <c r="BS125" s="110">
        <f>INDEX(Daggett!$B$7:$M$21, MATCH(BF125,Daggett!$A$7:$A$21,0), MATCH(BD$120,Daggett!$B$6:$M$6,0))</f>
        <v>806.58064516129036</v>
      </c>
      <c r="BT125" s="4">
        <f t="shared" si="283"/>
        <v>0.88201031836478516</v>
      </c>
      <c r="BU125" s="98">
        <f t="shared" si="293"/>
        <v>0.56474250865963427</v>
      </c>
      <c r="BV125" s="111">
        <f t="shared" si="294"/>
        <v>0.90483180646429318</v>
      </c>
      <c r="BW125" s="98">
        <f t="shared" si="295"/>
        <v>0.57935488242931588</v>
      </c>
    </row>
    <row r="126" spans="2:85">
      <c r="D126" s="38">
        <v>13</v>
      </c>
      <c r="E126" s="93">
        <f>E124</f>
        <v>85481.379217571113</v>
      </c>
      <c r="F126" s="37">
        <f t="shared" si="264"/>
        <v>0.91521819290761364</v>
      </c>
      <c r="G126" s="38">
        <f t="shared" ref="G126:P126" si="301">G124</f>
        <v>70726.37</v>
      </c>
      <c r="H126" s="37">
        <f t="shared" si="301"/>
        <v>0.75724164882226974</v>
      </c>
      <c r="I126" s="37">
        <f t="shared" si="301"/>
        <v>0.1006639126076192</v>
      </c>
      <c r="J126" s="38">
        <f t="shared" si="301"/>
        <v>67189.88</v>
      </c>
      <c r="K126" s="37">
        <f t="shared" si="301"/>
        <v>0.94999757516185279</v>
      </c>
      <c r="L126" s="7">
        <f t="shared" si="301"/>
        <v>1562.25004057725</v>
      </c>
      <c r="M126" s="38">
        <f t="shared" si="301"/>
        <v>61425.95</v>
      </c>
      <c r="N126" s="37">
        <f t="shared" si="301"/>
        <v>0.91421431322693225</v>
      </c>
      <c r="O126" s="50">
        <f t="shared" si="301"/>
        <v>4241.680184421547</v>
      </c>
      <c r="P126" s="98">
        <f t="shared" si="301"/>
        <v>0.65766541755888652</v>
      </c>
      <c r="Q126" s="110">
        <f>INDEX(Daggett!$B$7:$M$21, MATCH(D126,Daggett!$A$7:$A$21,0), MATCH(B$120,Daggett!$B$6:$M$6,0))</f>
        <v>821.32258064516134</v>
      </c>
      <c r="R126" s="4">
        <f t="shared" si="272"/>
        <v>0.88718941020316122</v>
      </c>
      <c r="S126" s="98">
        <f t="shared" si="284"/>
        <v>0.58347379391508425</v>
      </c>
      <c r="T126" s="111">
        <f t="shared" si="285"/>
        <v>0.9073461152639577</v>
      </c>
      <c r="U126" s="98">
        <f t="shared" si="286"/>
        <v>0.59673016176550431</v>
      </c>
      <c r="AE126" s="38">
        <v>13</v>
      </c>
      <c r="AF126" s="93">
        <v>85028.2556282484</v>
      </c>
      <c r="AG126" s="37">
        <f t="shared" si="273"/>
        <v>0.91036676261507921</v>
      </c>
      <c r="AH126" s="38">
        <v>70157.695129999993</v>
      </c>
      <c r="AI126" s="37">
        <f t="shared" si="274"/>
        <v>0.75115305278372579</v>
      </c>
      <c r="AJ126" s="37">
        <f t="shared" si="275"/>
        <v>0.103140906416475</v>
      </c>
      <c r="AK126" s="38">
        <v>66386.39</v>
      </c>
      <c r="AL126" s="37">
        <f t="shared" si="276"/>
        <v>0.94624531032537651</v>
      </c>
      <c r="AM126" s="7">
        <f t="shared" si="277"/>
        <v>1543.5678776517705</v>
      </c>
      <c r="AN126" s="38">
        <v>61389.68</v>
      </c>
      <c r="AO126" s="37">
        <f t="shared" si="278"/>
        <v>0.92473291588833195</v>
      </c>
      <c r="AP126" s="50">
        <f t="shared" si="279"/>
        <v>4239.1756120007876</v>
      </c>
      <c r="AQ126" s="98">
        <f t="shared" si="287"/>
        <v>0.6572770877944325</v>
      </c>
      <c r="AR126" s="110">
        <f>INDEX(Daggett!$B$7:$M$21, MATCH(AE126,Daggett!$A$7:$A$21,0), MATCH(AC$120,Daggett!$B$6:$M$6,0))</f>
        <v>821.32258064516134</v>
      </c>
      <c r="AS126" s="4">
        <f t="shared" si="280"/>
        <v>0.88712275991125666</v>
      </c>
      <c r="AT126" s="98">
        <f t="shared" si="288"/>
        <v>0.58308546415063034</v>
      </c>
      <c r="AU126" s="111">
        <f t="shared" si="289"/>
        <v>0.90729137387420988</v>
      </c>
      <c r="AV126" s="98">
        <f t="shared" si="290"/>
        <v>0.59634183200105029</v>
      </c>
      <c r="BF126" s="38">
        <v>13</v>
      </c>
      <c r="BG126" s="93">
        <f>AF124</f>
        <v>76943.268150582677</v>
      </c>
      <c r="BH126" s="37">
        <f t="shared" si="291"/>
        <v>0.82380372752229847</v>
      </c>
      <c r="BI126" s="38">
        <f t="shared" ref="BI126:BQ126" si="302">AH124</f>
        <v>66901.495500000005</v>
      </c>
      <c r="BJ126" s="37">
        <f t="shared" si="302"/>
        <v>0.71629010171306218</v>
      </c>
      <c r="BK126" s="37">
        <f t="shared" si="302"/>
        <v>5.4900856232015904E-2</v>
      </c>
      <c r="BL126" s="38">
        <f t="shared" si="302"/>
        <v>62507.292999999998</v>
      </c>
      <c r="BM126" s="37">
        <f t="shared" si="302"/>
        <v>0.93431832177802354</v>
      </c>
      <c r="BN126" s="7">
        <f t="shared" si="302"/>
        <v>1453.3739459815085</v>
      </c>
      <c r="BO126" s="38">
        <f t="shared" si="302"/>
        <v>57774.364999999998</v>
      </c>
      <c r="BP126" s="37">
        <f t="shared" si="302"/>
        <v>0.92428198738345624</v>
      </c>
      <c r="BQ126" s="50">
        <f t="shared" si="302"/>
        <v>3989.5252607088332</v>
      </c>
      <c r="BR126" s="98">
        <f t="shared" si="282"/>
        <v>0.61856921841541757</v>
      </c>
      <c r="BS126" s="110">
        <f>INDEX(Daggett!$B$7:$M$21, MATCH(BF126,Daggett!$A$7:$A$21,0), MATCH(BD$120,Daggett!$B$6:$M$6,0))</f>
        <v>821.32258064516134</v>
      </c>
      <c r="BT126" s="4">
        <f t="shared" si="283"/>
        <v>0.88005930228171048</v>
      </c>
      <c r="BU126" s="98">
        <f t="shared" si="293"/>
        <v>0.5443775947716154</v>
      </c>
      <c r="BV126" s="111">
        <f t="shared" si="294"/>
        <v>0.90148999662563323</v>
      </c>
      <c r="BW126" s="98">
        <f t="shared" si="295"/>
        <v>0.55763396262203535</v>
      </c>
    </row>
    <row r="127" spans="2:85">
      <c r="D127" s="38">
        <v>14</v>
      </c>
      <c r="E127" s="93">
        <f>E123</f>
        <v>83332.840937163244</v>
      </c>
      <c r="F127" s="37">
        <f t="shared" si="264"/>
        <v>0.89221457106170499</v>
      </c>
      <c r="G127" s="38">
        <f t="shared" ref="G127:P127" si="303">G123</f>
        <v>68831.16</v>
      </c>
      <c r="H127" s="37">
        <f t="shared" si="303"/>
        <v>0.7369503211991435</v>
      </c>
      <c r="I127" s="37">
        <f t="shared" si="303"/>
        <v>0.10219695597220069</v>
      </c>
      <c r="J127" s="38">
        <f t="shared" si="303"/>
        <v>65100.6</v>
      </c>
      <c r="K127" s="37">
        <f t="shared" si="303"/>
        <v>0.94580129115941092</v>
      </c>
      <c r="L127" s="7">
        <f t="shared" si="303"/>
        <v>1513.671627209385</v>
      </c>
      <c r="M127" s="38">
        <f t="shared" si="303"/>
        <v>59571.44</v>
      </c>
      <c r="N127" s="37">
        <f t="shared" si="303"/>
        <v>0.91506744945515106</v>
      </c>
      <c r="O127" s="50">
        <f t="shared" si="303"/>
        <v>4113.6196771145933</v>
      </c>
      <c r="P127" s="98">
        <f t="shared" si="303"/>
        <v>0.63780985010706637</v>
      </c>
      <c r="Q127" s="110">
        <f>INDEX(Daggett!$B$7:$M$21, MATCH(D127,Daggett!$A$7:$A$21,0), MATCH(B$120,Daggett!$B$6:$M$6,0))</f>
        <v>801.80645161290317</v>
      </c>
      <c r="R127" s="4">
        <f t="shared" si="272"/>
        <v>0.88084620744657782</v>
      </c>
      <c r="S127" s="98">
        <f t="shared" si="284"/>
        <v>0.56181238753887974</v>
      </c>
      <c r="T127" s="111">
        <f t="shared" si="285"/>
        <v>0.90446172039652062</v>
      </c>
      <c r="U127" s="98">
        <f t="shared" si="286"/>
        <v>0.57687459431368415</v>
      </c>
      <c r="AE127" s="38">
        <v>14</v>
      </c>
      <c r="AF127" s="93">
        <v>87731.017856478822</v>
      </c>
      <c r="AG127" s="37">
        <f t="shared" si="273"/>
        <v>0.93930425970534071</v>
      </c>
      <c r="AH127" s="38">
        <v>71388.339640000006</v>
      </c>
      <c r="AI127" s="37">
        <f t="shared" si="274"/>
        <v>0.76432911820128491</v>
      </c>
      <c r="AJ127" s="37">
        <f t="shared" si="275"/>
        <v>0.11552352584387882</v>
      </c>
      <c r="AK127" s="38">
        <v>67858.666500000007</v>
      </c>
      <c r="AL127" s="37">
        <f t="shared" si="276"/>
        <v>0.9505567273619252</v>
      </c>
      <c r="AM127" s="7">
        <f t="shared" si="277"/>
        <v>1577.800176055428</v>
      </c>
      <c r="AN127" s="38">
        <v>62105.439345999999</v>
      </c>
      <c r="AO127" s="37">
        <f t="shared" si="278"/>
        <v>0.91521750351519204</v>
      </c>
      <c r="AP127" s="50">
        <f t="shared" si="279"/>
        <v>4288.6013389898326</v>
      </c>
      <c r="AQ127" s="98">
        <f t="shared" si="287"/>
        <v>0.66494046408993579</v>
      </c>
      <c r="AR127" s="110">
        <f>INDEX(Daggett!$B$7:$M$21, MATCH(AE127,Daggett!$A$7:$A$21,0), MATCH(AC$120,Daggett!$B$6:$M$6,0))</f>
        <v>801.80645161290317</v>
      </c>
      <c r="AS127" s="4">
        <f t="shared" si="280"/>
        <v>0.88570786909140831</v>
      </c>
      <c r="AT127" s="98">
        <f t="shared" si="288"/>
        <v>0.58894300152174917</v>
      </c>
      <c r="AU127" s="111">
        <f t="shared" si="289"/>
        <v>0.90835983206890469</v>
      </c>
      <c r="AV127" s="98">
        <f t="shared" si="290"/>
        <v>0.60400520829655358</v>
      </c>
      <c r="BF127" s="38">
        <v>14</v>
      </c>
      <c r="BG127" s="93">
        <f>AF123</f>
        <v>71879.042359793486</v>
      </c>
      <c r="BH127" s="37">
        <f t="shared" si="291"/>
        <v>0.76958289464446983</v>
      </c>
      <c r="BI127" s="38">
        <f t="shared" ref="BI127:BQ127" si="304">AH123</f>
        <v>63752.53</v>
      </c>
      <c r="BJ127" s="37">
        <f t="shared" si="304"/>
        <v>0.68257526766595289</v>
      </c>
      <c r="BK127" s="37">
        <f t="shared" si="304"/>
        <v>3.5932783939935375E-2</v>
      </c>
      <c r="BL127" s="38">
        <f t="shared" si="304"/>
        <v>58573.557999999997</v>
      </c>
      <c r="BM127" s="37">
        <f t="shared" si="304"/>
        <v>0.91876444746584951</v>
      </c>
      <c r="BN127" s="7">
        <f t="shared" si="304"/>
        <v>1361.9096114214506</v>
      </c>
      <c r="BO127" s="38">
        <f t="shared" si="304"/>
        <v>54519.444799999997</v>
      </c>
      <c r="BP127" s="37">
        <f t="shared" si="304"/>
        <v>0.93078594952350346</v>
      </c>
      <c r="BQ127" s="50">
        <f t="shared" si="304"/>
        <v>3764.7614513707049</v>
      </c>
      <c r="BR127" s="98">
        <f t="shared" si="282"/>
        <v>0.58371996573875795</v>
      </c>
      <c r="BS127" s="110">
        <f>INDEX(Daggett!$B$7:$M$21, MATCH(BF127,Daggett!$A$7:$A$21,0), MATCH(BD$120,Daggett!$B$6:$M$6,0))</f>
        <v>801.80645161290317</v>
      </c>
      <c r="BT127" s="4">
        <f t="shared" si="283"/>
        <v>0.86980492868356141</v>
      </c>
      <c r="BU127" s="98">
        <f t="shared" si="293"/>
        <v>0.50772250317057122</v>
      </c>
      <c r="BV127" s="111">
        <f t="shared" si="294"/>
        <v>0.89560875185027755</v>
      </c>
      <c r="BW127" s="98">
        <f t="shared" si="295"/>
        <v>0.52278470994537574</v>
      </c>
    </row>
    <row r="128" spans="2:85">
      <c r="D128" s="38">
        <v>15</v>
      </c>
      <c r="E128" s="93">
        <f>E122</f>
        <v>79796.023533024461</v>
      </c>
      <c r="F128" s="37">
        <f t="shared" si="264"/>
        <v>0.85434714703452319</v>
      </c>
      <c r="G128" s="38">
        <f t="shared" ref="G128:P128" si="305">G122</f>
        <v>66443.937999999995</v>
      </c>
      <c r="H128" s="37">
        <f t="shared" si="305"/>
        <v>0.71139119914346893</v>
      </c>
      <c r="I128" s="37">
        <f t="shared" si="305"/>
        <v>9.4921419120080786E-2</v>
      </c>
      <c r="J128" s="38">
        <f t="shared" si="305"/>
        <v>62334.39</v>
      </c>
      <c r="K128" s="37">
        <f t="shared" si="305"/>
        <v>0.93815014396046192</v>
      </c>
      <c r="L128" s="7">
        <f t="shared" si="305"/>
        <v>1449.3537316461664</v>
      </c>
      <c r="M128" s="38">
        <f t="shared" si="305"/>
        <v>56892.5</v>
      </c>
      <c r="N128" s="37">
        <f t="shared" si="305"/>
        <v>0.91269843179663745</v>
      </c>
      <c r="O128" s="50">
        <f t="shared" si="305"/>
        <v>3928.629347892916</v>
      </c>
      <c r="P128" s="98">
        <f t="shared" si="305"/>
        <v>0.60912740899357598</v>
      </c>
      <c r="Q128" s="110">
        <f>INDEX(Daggett!$B$7:$M$21, MATCH(D128,Daggett!$A$7:$A$21,0), MATCH(B$120,Daggett!$B$6:$M$6,0))</f>
        <v>796.93548387096769</v>
      </c>
      <c r="R128" s="4">
        <f t="shared" si="272"/>
        <v>0.87447294723220925</v>
      </c>
      <c r="S128" s="98">
        <f t="shared" si="284"/>
        <v>0.53266544058253174</v>
      </c>
      <c r="T128" s="111">
        <f t="shared" si="285"/>
        <v>0.89996303746360418</v>
      </c>
      <c r="U128" s="98">
        <f t="shared" si="286"/>
        <v>0.54819215320019377</v>
      </c>
      <c r="AE128" s="38">
        <v>15</v>
      </c>
      <c r="AF128" s="93">
        <v>89403.666741955953</v>
      </c>
      <c r="AG128" s="37">
        <f t="shared" si="273"/>
        <v>0.95721270601665898</v>
      </c>
      <c r="AH128" s="38">
        <v>71758.317999999999</v>
      </c>
      <c r="AI128" s="37">
        <f t="shared" si="274"/>
        <v>0.76829034261241969</v>
      </c>
      <c r="AJ128" s="37">
        <f t="shared" si="275"/>
        <v>0.12757301147105049</v>
      </c>
      <c r="AK128" s="38">
        <v>68164.865000000005</v>
      </c>
      <c r="AL128" s="37">
        <f t="shared" si="276"/>
        <v>0.94992283682011613</v>
      </c>
      <c r="AM128" s="7">
        <f t="shared" si="277"/>
        <v>1584.9196800499237</v>
      </c>
      <c r="AN128" s="38">
        <v>62935.428</v>
      </c>
      <c r="AO128" s="37">
        <f t="shared" si="278"/>
        <v>0.9232825151197761</v>
      </c>
      <c r="AP128" s="50">
        <f t="shared" si="279"/>
        <v>4345.9150057213437</v>
      </c>
      <c r="AQ128" s="98">
        <f t="shared" si="287"/>
        <v>0.673826852248394</v>
      </c>
      <c r="AR128" s="110">
        <f>INDEX(Daggett!$B$7:$M$21, MATCH(AE128,Daggett!$A$7:$A$21,0), MATCH(AC$120,Daggett!$B$6:$M$6,0))</f>
        <v>796.93548387096769</v>
      </c>
      <c r="AS128" s="4">
        <f t="shared" si="280"/>
        <v>0.88652579196582992</v>
      </c>
      <c r="AT128" s="98">
        <f t="shared" si="288"/>
        <v>0.59736488383734976</v>
      </c>
      <c r="AU128" s="111">
        <f t="shared" si="289"/>
        <v>0.90956837711341376</v>
      </c>
      <c r="AV128" s="98">
        <f t="shared" si="290"/>
        <v>0.61289159645501179</v>
      </c>
      <c r="BF128" s="38">
        <v>15</v>
      </c>
      <c r="BG128" s="93">
        <f>AF122</f>
        <v>66438.879225666475</v>
      </c>
      <c r="BH128" s="37">
        <f t="shared" si="291"/>
        <v>0.71133703667737125</v>
      </c>
      <c r="BI128" s="38">
        <f t="shared" ref="BI128:BQ128" si="306">AH122</f>
        <v>59264.989399999999</v>
      </c>
      <c r="BJ128" s="37">
        <f t="shared" si="306"/>
        <v>0.63452879443254817</v>
      </c>
      <c r="BK128" s="37">
        <f t="shared" si="306"/>
        <v>3.0410092856526183E-2</v>
      </c>
      <c r="BL128" s="38">
        <f t="shared" si="306"/>
        <v>53367.869317999997</v>
      </c>
      <c r="BM128" s="37">
        <f t="shared" si="306"/>
        <v>0.90049572029451841</v>
      </c>
      <c r="BN128" s="7">
        <f t="shared" si="306"/>
        <v>1240.8707383845135</v>
      </c>
      <c r="BO128" s="38">
        <f t="shared" si="306"/>
        <v>49567.324000000001</v>
      </c>
      <c r="BP128" s="37">
        <f t="shared" si="306"/>
        <v>0.92878588996397982</v>
      </c>
      <c r="BQ128" s="50">
        <f t="shared" si="306"/>
        <v>3422.7999079477418</v>
      </c>
      <c r="BR128" s="98">
        <f t="shared" si="282"/>
        <v>0.53069940042826558</v>
      </c>
      <c r="BS128" s="110">
        <f>INDEX(Daggett!$B$7:$M$21, MATCH(BF128,Daggett!$A$7:$A$21,0), MATCH(BD$120,Daggett!$B$6:$M$6,0))</f>
        <v>796.93548387096769</v>
      </c>
      <c r="BT128" s="4">
        <f t="shared" si="283"/>
        <v>0.85592226343323408</v>
      </c>
      <c r="BU128" s="98">
        <f t="shared" si="293"/>
        <v>0.45423743201722133</v>
      </c>
      <c r="BV128" s="111">
        <f t="shared" si="294"/>
        <v>0.88517933929413062</v>
      </c>
      <c r="BW128" s="98">
        <f t="shared" si="295"/>
        <v>0.46976414463488336</v>
      </c>
    </row>
    <row r="129" spans="2:83">
      <c r="D129" s="38">
        <v>16</v>
      </c>
      <c r="E129" s="93">
        <f>E121</f>
        <v>74936.988836526565</v>
      </c>
      <c r="F129" s="37">
        <f t="shared" si="264"/>
        <v>0.80232322094782194</v>
      </c>
      <c r="G129" s="38">
        <f t="shared" ref="G129:P129" si="307">G121</f>
        <v>58749.131000000001</v>
      </c>
      <c r="H129" s="37">
        <f t="shared" si="307"/>
        <v>0.62900568522483946</v>
      </c>
      <c r="I129" s="37">
        <f t="shared" si="307"/>
        <v>0.14784738380319984</v>
      </c>
      <c r="J129" s="38">
        <f t="shared" si="307"/>
        <v>54650.97</v>
      </c>
      <c r="K129" s="37">
        <f t="shared" si="307"/>
        <v>0.93024303627571958</v>
      </c>
      <c r="L129" s="7">
        <f t="shared" si="307"/>
        <v>1270.7044587679882</v>
      </c>
      <c r="M129" s="38">
        <f t="shared" si="307"/>
        <v>49989.01</v>
      </c>
      <c r="N129" s="37">
        <f t="shared" si="307"/>
        <v>0.91469575013947602</v>
      </c>
      <c r="O129" s="50">
        <f t="shared" si="307"/>
        <v>3451.9188251195233</v>
      </c>
      <c r="P129" s="98">
        <f t="shared" si="307"/>
        <v>0.53521423982869376</v>
      </c>
      <c r="Q129" s="110">
        <f>INDEX(Daggett!$B$7:$M$21, MATCH(D129,Daggett!$A$7:$A$21,0), MATCH(B$120,Daggett!$B$6:$M$6,0))</f>
        <v>749.29032258064512</v>
      </c>
      <c r="R129" s="4">
        <f t="shared" si="272"/>
        <v>0.84805344593581111</v>
      </c>
      <c r="S129" s="98">
        <f t="shared" si="284"/>
        <v>0.45389028040063939</v>
      </c>
      <c r="T129" s="111">
        <f t="shared" si="285"/>
        <v>0.88614791749022648</v>
      </c>
      <c r="U129" s="98">
        <f t="shared" si="286"/>
        <v>0.4742789840353116</v>
      </c>
      <c r="AE129" s="38">
        <v>16</v>
      </c>
      <c r="AF129" s="93">
        <v>89992.01382173544</v>
      </c>
      <c r="AG129" s="37">
        <f t="shared" si="273"/>
        <v>0.96351192528624663</v>
      </c>
      <c r="AH129" s="38">
        <v>64360.29</v>
      </c>
      <c r="AI129" s="37">
        <f t="shared" si="274"/>
        <v>0.68908233404710917</v>
      </c>
      <c r="AJ129" s="37">
        <f t="shared" si="275"/>
        <v>0.22263283167438885</v>
      </c>
      <c r="AK129" s="38">
        <v>61178.391000000003</v>
      </c>
      <c r="AL129" s="37">
        <f t="shared" si="276"/>
        <v>0.95056114570024475</v>
      </c>
      <c r="AM129" s="7">
        <f t="shared" si="277"/>
        <v>1422.4752867872492</v>
      </c>
      <c r="AN129" s="38">
        <v>56371.2958</v>
      </c>
      <c r="AO129" s="37">
        <f t="shared" si="278"/>
        <v>0.92142494888432092</v>
      </c>
      <c r="AP129" s="50">
        <f t="shared" si="279"/>
        <v>3892.6383452763134</v>
      </c>
      <c r="AQ129" s="98">
        <f t="shared" si="287"/>
        <v>0.60354706423982873</v>
      </c>
      <c r="AR129" s="110">
        <f>INDEX(Daggett!$B$7:$M$21, MATCH(AE129,Daggett!$A$7:$A$21,0), MATCH(AC$120,Daggett!$B$6:$M$6,0))</f>
        <v>749.29032258064512</v>
      </c>
      <c r="AS129" s="4">
        <f t="shared" si="280"/>
        <v>0.8652566398769872</v>
      </c>
      <c r="AT129" s="98">
        <f t="shared" si="288"/>
        <v>0.52222310481177436</v>
      </c>
      <c r="AU129" s="111">
        <f t="shared" si="289"/>
        <v>0.89903810422782771</v>
      </c>
      <c r="AV129" s="98">
        <f t="shared" si="290"/>
        <v>0.54261180844644652</v>
      </c>
      <c r="BF129" s="38">
        <v>16</v>
      </c>
      <c r="BG129" s="93">
        <f>AF121</f>
        <v>60942.666984972857</v>
      </c>
      <c r="BH129" s="37">
        <f t="shared" si="291"/>
        <v>0.65249108120955945</v>
      </c>
      <c r="BI129" s="38">
        <f t="shared" ref="BI129:BQ129" si="308">AH121</f>
        <v>52522.841</v>
      </c>
      <c r="BJ129" s="37">
        <f t="shared" si="308"/>
        <v>0.56234305139186291</v>
      </c>
      <c r="BK129" s="37">
        <f t="shared" si="308"/>
        <v>6.3217161479090511E-2</v>
      </c>
      <c r="BL129" s="38">
        <f t="shared" si="308"/>
        <v>46449.716099999998</v>
      </c>
      <c r="BM129" s="37">
        <f t="shared" si="308"/>
        <v>0.88437173647937284</v>
      </c>
      <c r="BN129" s="7">
        <f t="shared" si="308"/>
        <v>1080.0148900701524</v>
      </c>
      <c r="BO129" s="38">
        <f t="shared" si="308"/>
        <v>43165.392</v>
      </c>
      <c r="BP129" s="37">
        <f t="shared" si="308"/>
        <v>0.92929291337477093</v>
      </c>
      <c r="BQ129" s="50">
        <f t="shared" si="308"/>
        <v>2980.7237478490501</v>
      </c>
      <c r="BR129" s="98">
        <f t="shared" si="282"/>
        <v>0.46215623126338329</v>
      </c>
      <c r="BS129" s="110">
        <f>INDEX(Daggett!$B$7:$M$21, MATCH(BF129,Daggett!$A$7:$A$21,0), MATCH(BD$120,Daggett!$B$6:$M$6,0))</f>
        <v>749.29032258064512</v>
      </c>
      <c r="BT129" s="4">
        <f t="shared" si="283"/>
        <v>0.82403361909512407</v>
      </c>
      <c r="BU129" s="98">
        <f t="shared" si="293"/>
        <v>0.38083227183532886</v>
      </c>
      <c r="BV129" s="111">
        <f t="shared" si="294"/>
        <v>0.86815009368843687</v>
      </c>
      <c r="BW129" s="98">
        <f t="shared" si="295"/>
        <v>0.40122097547000107</v>
      </c>
    </row>
    <row r="130" spans="2:83">
      <c r="C130" s="7" t="s">
        <v>160</v>
      </c>
      <c r="D130" s="38">
        <v>17</v>
      </c>
      <c r="E130" s="93">
        <f>E120</f>
        <v>68848.465199787737</v>
      </c>
      <c r="F130" s="37">
        <f t="shared" si="264"/>
        <v>0.73713560171078951</v>
      </c>
      <c r="G130" s="38">
        <f t="shared" ref="G130:P130" si="309">G120</f>
        <v>42831.96</v>
      </c>
      <c r="H130" s="37">
        <f t="shared" si="309"/>
        <v>0.458586295503212</v>
      </c>
      <c r="I130" s="37">
        <f t="shared" si="309"/>
        <v>0.32378335340127384</v>
      </c>
      <c r="J130" s="38">
        <f t="shared" si="309"/>
        <v>39057.32</v>
      </c>
      <c r="K130" s="37">
        <f t="shared" si="309"/>
        <v>0.91187328340799723</v>
      </c>
      <c r="L130" s="7">
        <f t="shared" si="309"/>
        <v>908.13229246485673</v>
      </c>
      <c r="M130" s="38">
        <f t="shared" si="309"/>
        <v>35439.019999999997</v>
      </c>
      <c r="N130" s="37">
        <f t="shared" si="309"/>
        <v>0.90735923509344718</v>
      </c>
      <c r="O130" s="50">
        <f t="shared" si="309"/>
        <v>2447.1902980632594</v>
      </c>
      <c r="P130" s="98">
        <f t="shared" si="309"/>
        <v>0.37943276231263379</v>
      </c>
      <c r="Q130" s="110">
        <f>INDEX(Daggett!$B$7:$M$21, MATCH(D130,Daggett!$A$7:$A$21,0), MATCH(B$120,Daggett!$B$6:$M$6,0))</f>
        <v>658.83870967741939</v>
      </c>
      <c r="R130" s="4">
        <f t="shared" si="272"/>
        <v>0.75624434322998324</v>
      </c>
      <c r="S130" s="98">
        <f t="shared" si="284"/>
        <v>0.28694388013505606</v>
      </c>
      <c r="T130" s="111">
        <f t="shared" si="285"/>
        <v>0.83940433761707012</v>
      </c>
      <c r="U130" s="98">
        <f t="shared" si="286"/>
        <v>0.31849750651925157</v>
      </c>
      <c r="AD130" s="7" t="s">
        <v>160</v>
      </c>
      <c r="AE130" s="38">
        <v>17</v>
      </c>
      <c r="AF130" s="93">
        <v>89477.662547194806</v>
      </c>
      <c r="AG130" s="37">
        <f t="shared" si="273"/>
        <v>0.95800495232542615</v>
      </c>
      <c r="AH130" s="38">
        <v>52598.329299999998</v>
      </c>
      <c r="AI130" s="37">
        <f t="shared" si="274"/>
        <v>0.56315127730192716</v>
      </c>
      <c r="AJ130" s="37">
        <f t="shared" si="275"/>
        <v>0.36104614897531451</v>
      </c>
      <c r="AK130" s="38">
        <v>49938.5429</v>
      </c>
      <c r="AL130" s="37">
        <f t="shared" si="276"/>
        <v>0.94943211247586157</v>
      </c>
      <c r="AM130" s="7">
        <f t="shared" si="277"/>
        <v>1161.1345439505731</v>
      </c>
      <c r="AN130" s="38">
        <v>45176.707199999997</v>
      </c>
      <c r="AO130" s="37">
        <f t="shared" si="278"/>
        <v>0.90464608249513012</v>
      </c>
      <c r="AP130" s="50">
        <f t="shared" si="279"/>
        <v>3119.6122115759581</v>
      </c>
      <c r="AQ130" s="98">
        <f t="shared" si="287"/>
        <v>0.48369065524625265</v>
      </c>
      <c r="AR130" s="110">
        <f>INDEX(Daggett!$B$7:$M$21, MATCH(AE130,Daggett!$A$7:$A$21,0), MATCH(AC$120,Daggett!$B$6:$M$6,0))</f>
        <v>658.83870967741939</v>
      </c>
      <c r="AS130" s="4">
        <f t="shared" si="280"/>
        <v>0.80878505471541406</v>
      </c>
      <c r="AT130" s="98">
        <f t="shared" si="288"/>
        <v>0.39120177306867493</v>
      </c>
      <c r="AU130" s="111">
        <f t="shared" si="289"/>
        <v>0.87402019217766502</v>
      </c>
      <c r="AV130" s="98">
        <f t="shared" si="290"/>
        <v>0.42275539945287044</v>
      </c>
      <c r="BE130" s="7" t="s">
        <v>160</v>
      </c>
      <c r="BF130" s="38">
        <v>17</v>
      </c>
      <c r="BG130" s="93">
        <f>AF120</f>
        <v>55802.941411720676</v>
      </c>
      <c r="BH130" s="37">
        <f t="shared" si="291"/>
        <v>0.5974618994830907</v>
      </c>
      <c r="BI130" s="38">
        <f t="shared" ref="BI130:BQ130" si="310">AH120</f>
        <v>44423.696000000004</v>
      </c>
      <c r="BJ130" s="37">
        <f t="shared" si="310"/>
        <v>0.47562843683083517</v>
      </c>
      <c r="BK130" s="37">
        <f t="shared" si="310"/>
        <v>0.13469389130060183</v>
      </c>
      <c r="BL130" s="38">
        <f t="shared" si="310"/>
        <v>38164.218999999997</v>
      </c>
      <c r="BM130" s="37">
        <f t="shared" si="310"/>
        <v>0.85909598787097752</v>
      </c>
      <c r="BN130" s="7">
        <f t="shared" si="310"/>
        <v>887.36655998416791</v>
      </c>
      <c r="BO130" s="38">
        <f t="shared" si="310"/>
        <v>35354.684000000001</v>
      </c>
      <c r="BP130" s="37">
        <f t="shared" si="310"/>
        <v>0.92638300812601471</v>
      </c>
      <c r="BQ130" s="50">
        <f t="shared" si="310"/>
        <v>2441.3665974931691</v>
      </c>
      <c r="BR130" s="98">
        <f t="shared" si="282"/>
        <v>0.37852980728051394</v>
      </c>
      <c r="BS130" s="110">
        <f>INDEX(Daggett!$B$7:$M$21, MATCH(BF130,Daggett!$A$7:$A$21,0), MATCH(BD$120,Daggett!$B$6:$M$6,0))</f>
        <v>658.83870967741939</v>
      </c>
      <c r="BT130" s="4">
        <f t="shared" si="283"/>
        <v>0.75566288202757625</v>
      </c>
      <c r="BU130" s="98">
        <f t="shared" si="293"/>
        <v>0.28604092510293616</v>
      </c>
      <c r="BV130" s="111">
        <f t="shared" si="294"/>
        <v>0.83902124846874893</v>
      </c>
      <c r="BW130" s="98">
        <f t="shared" si="295"/>
        <v>0.31759455148713173</v>
      </c>
    </row>
    <row r="131" spans="2:83">
      <c r="C131" s="7">
        <f>ROW(D131)-ROW(D119)+1</f>
        <v>13</v>
      </c>
      <c r="D131" s="38">
        <v>18</v>
      </c>
      <c r="E131" s="93">
        <f>E119</f>
        <v>61651.230458506849</v>
      </c>
      <c r="F131" s="37">
        <f t="shared" si="264"/>
        <v>0.66007741390264296</v>
      </c>
      <c r="G131" s="38">
        <f t="shared" ref="G131:P131" si="311">G119</f>
        <v>28328.52</v>
      </c>
      <c r="H131" s="37">
        <f t="shared" si="311"/>
        <v>0.30330321199143467</v>
      </c>
      <c r="I131" s="37">
        <f t="shared" si="311"/>
        <v>0.5005473639988216</v>
      </c>
      <c r="J131" s="38">
        <f t="shared" si="311"/>
        <v>24462.239000000001</v>
      </c>
      <c r="K131" s="37">
        <f t="shared" si="311"/>
        <v>0.86351983795835441</v>
      </c>
      <c r="L131" s="7">
        <f t="shared" si="311"/>
        <v>568.77812358587914</v>
      </c>
      <c r="M131" s="38">
        <f t="shared" si="311"/>
        <v>22107.993900000001</v>
      </c>
      <c r="N131" s="37">
        <f t="shared" si="311"/>
        <v>0.90376003194147514</v>
      </c>
      <c r="O131" s="50">
        <f t="shared" si="311"/>
        <v>1526.6355610770763</v>
      </c>
      <c r="P131" s="98">
        <f t="shared" si="311"/>
        <v>0.23670229014989294</v>
      </c>
      <c r="Q131" s="110">
        <f>INDEX(Daggett!$B$7:$M$21, MATCH(D131,Daggett!$A$7:$A$21,0), MATCH(B$120,Daggett!$B$6:$M$6,0))</f>
        <v>519.06451612903231</v>
      </c>
      <c r="R131" s="4">
        <f t="shared" si="272"/>
        <v>0.50404207114824695</v>
      </c>
      <c r="S131" s="98">
        <f t="shared" si="284"/>
        <v>0.11930791257268533</v>
      </c>
      <c r="T131" s="111">
        <f t="shared" si="285"/>
        <v>0.74256583764020778</v>
      </c>
      <c r="U131" s="98">
        <f t="shared" si="286"/>
        <v>0.17576703435651075</v>
      </c>
      <c r="AD131" s="7">
        <f>ROW(AE131)-ROW(AE119)+1</f>
        <v>13</v>
      </c>
      <c r="AE131" s="38">
        <v>18</v>
      </c>
      <c r="AF131" s="93">
        <v>87877.302882866716</v>
      </c>
      <c r="AG131" s="37">
        <f t="shared" si="273"/>
        <v>0.94087048054461153</v>
      </c>
      <c r="AH131" s="38">
        <v>28976.738000000001</v>
      </c>
      <c r="AI131" s="37">
        <f t="shared" si="274"/>
        <v>0.31024344753747324</v>
      </c>
      <c r="AJ131" s="37">
        <f t="shared" si="275"/>
        <v>0.6415860146526311</v>
      </c>
      <c r="AK131" s="38">
        <v>27435.624454000001</v>
      </c>
      <c r="AL131" s="37">
        <f t="shared" si="276"/>
        <v>0.94681549227521744</v>
      </c>
      <c r="AM131" s="7">
        <f t="shared" si="277"/>
        <v>637.91311156566564</v>
      </c>
      <c r="AN131" s="38">
        <v>24434.241160000001</v>
      </c>
      <c r="AO131" s="37">
        <f t="shared" si="278"/>
        <v>0.89060269799828051</v>
      </c>
      <c r="AP131" s="50">
        <f t="shared" si="279"/>
        <v>1687.2712029646975</v>
      </c>
      <c r="AQ131" s="98">
        <f t="shared" si="287"/>
        <v>0.26160857773019275</v>
      </c>
      <c r="AR131" s="110">
        <f>INDEX(Daggett!$B$7:$M$21, MATCH(AE131,Daggett!$A$7:$A$21,0), MATCH(AC$120,Daggett!$B$6:$M$6,0))</f>
        <v>519.06451612903231</v>
      </c>
      <c r="AS131" s="4">
        <f t="shared" si="280"/>
        <v>0.55125944800525206</v>
      </c>
      <c r="AT131" s="98">
        <f t="shared" si="288"/>
        <v>0.14421420015298514</v>
      </c>
      <c r="AU131" s="111">
        <f t="shared" si="289"/>
        <v>0.76707470251137133</v>
      </c>
      <c r="AV131" s="98">
        <f t="shared" si="290"/>
        <v>0.20067332193681056</v>
      </c>
      <c r="BE131" s="7">
        <f>ROW(BF131)-ROW(BF119)+1</f>
        <v>13</v>
      </c>
      <c r="BF131" s="38">
        <v>18</v>
      </c>
      <c r="BG131" s="93">
        <f>AF119</f>
        <v>51528.423381125023</v>
      </c>
      <c r="BH131" s="37">
        <f t="shared" si="291"/>
        <v>0.55169618181076041</v>
      </c>
      <c r="BI131" s="38">
        <f t="shared" ref="BI131:BQ131" si="312">AH119</f>
        <v>27789.79</v>
      </c>
      <c r="BJ131" s="37">
        <f t="shared" si="312"/>
        <v>0.29753522483940043</v>
      </c>
      <c r="BK131" s="37">
        <f t="shared" si="312"/>
        <v>0.41379356292656333</v>
      </c>
      <c r="BL131" s="38">
        <f t="shared" si="312"/>
        <v>22892.697700000001</v>
      </c>
      <c r="BM131" s="37">
        <f t="shared" si="312"/>
        <v>0.82378088139564931</v>
      </c>
      <c r="BN131" s="7">
        <f t="shared" si="312"/>
        <v>532.28429505675138</v>
      </c>
      <c r="BO131" s="38">
        <f t="shared" si="312"/>
        <v>21101.136999999999</v>
      </c>
      <c r="BP131" s="37">
        <f t="shared" si="312"/>
        <v>0.9217409532298152</v>
      </c>
      <c r="BQ131" s="50">
        <f t="shared" si="312"/>
        <v>1457.108513285742</v>
      </c>
      <c r="BR131" s="98">
        <f t="shared" si="282"/>
        <v>0.22592223768736616</v>
      </c>
      <c r="BS131" s="110">
        <f>INDEX(Daggett!$B$7:$M$21, MATCH(BF131,Daggett!$A$7:$A$21,0), MATCH(BD$120,Daggett!$B$6:$M$6,0))</f>
        <v>519.06451612903231</v>
      </c>
      <c r="BT131" s="4">
        <f t="shared" si="283"/>
        <v>0.48037705903188099</v>
      </c>
      <c r="BU131" s="98">
        <f t="shared" si="293"/>
        <v>0.10852786011015854</v>
      </c>
      <c r="BV131" s="111">
        <f t="shared" si="294"/>
        <v>0.73028216957683856</v>
      </c>
      <c r="BW131" s="98">
        <f t="shared" si="295"/>
        <v>0.16498698189398397</v>
      </c>
    </row>
    <row r="132" spans="2:83">
      <c r="E132" s="94"/>
      <c r="P132" s="95"/>
      <c r="Q132" s="94"/>
      <c r="S132" s="95"/>
      <c r="T132" s="94"/>
      <c r="U132" s="95"/>
      <c r="AF132" s="94"/>
      <c r="AQ132" s="95"/>
      <c r="AR132" s="94"/>
      <c r="AT132" s="95"/>
      <c r="AU132" s="94"/>
      <c r="AV132" s="95"/>
      <c r="BG132" s="94"/>
      <c r="BR132" s="95"/>
      <c r="BS132" s="94"/>
      <c r="BU132" s="95"/>
      <c r="BV132" s="94"/>
      <c r="BW132" s="95"/>
    </row>
    <row r="133" spans="2:83" ht="49.5">
      <c r="B133" s="34"/>
      <c r="C133" s="64" t="s">
        <v>149</v>
      </c>
      <c r="D133" s="64" t="s">
        <v>87</v>
      </c>
      <c r="E133" s="96" t="s">
        <v>150</v>
      </c>
      <c r="F133" s="64" t="s">
        <v>123</v>
      </c>
      <c r="G133" s="64" t="s">
        <v>151</v>
      </c>
      <c r="H133" s="33" t="s">
        <v>152</v>
      </c>
      <c r="I133" s="34" t="s">
        <v>153</v>
      </c>
      <c r="J133" s="92" t="s">
        <v>154</v>
      </c>
      <c r="K133" s="35" t="s">
        <v>155</v>
      </c>
      <c r="L133" s="35" t="s">
        <v>156</v>
      </c>
      <c r="M133" s="92" t="s">
        <v>157</v>
      </c>
      <c r="N133" s="35" t="s">
        <v>70</v>
      </c>
      <c r="O133" s="35" t="s">
        <v>158</v>
      </c>
      <c r="P133" s="107" t="s">
        <v>127</v>
      </c>
      <c r="Q133" s="150" t="s">
        <v>159</v>
      </c>
      <c r="R133" s="69" t="s">
        <v>128</v>
      </c>
      <c r="S133" s="107" t="s">
        <v>129</v>
      </c>
      <c r="T133" s="114" t="s">
        <v>128</v>
      </c>
      <c r="U133" s="107" t="s">
        <v>129</v>
      </c>
      <c r="AC133" s="34"/>
      <c r="AD133" s="64" t="s">
        <v>149</v>
      </c>
      <c r="AE133" s="64" t="s">
        <v>87</v>
      </c>
      <c r="AF133" s="96" t="s">
        <v>150</v>
      </c>
      <c r="AG133" s="64" t="s">
        <v>123</v>
      </c>
      <c r="AH133" s="64" t="s">
        <v>151</v>
      </c>
      <c r="AI133" s="33" t="s">
        <v>152</v>
      </c>
      <c r="AJ133" s="34" t="s">
        <v>153</v>
      </c>
      <c r="AK133" s="92" t="s">
        <v>154</v>
      </c>
      <c r="AL133" s="35" t="s">
        <v>155</v>
      </c>
      <c r="AM133" s="35" t="s">
        <v>156</v>
      </c>
      <c r="AN133" s="92" t="s">
        <v>157</v>
      </c>
      <c r="AO133" s="35" t="s">
        <v>70</v>
      </c>
      <c r="AP133" s="35" t="s">
        <v>158</v>
      </c>
      <c r="AQ133" s="107" t="s">
        <v>127</v>
      </c>
      <c r="AR133" s="150" t="s">
        <v>159</v>
      </c>
      <c r="AS133" s="69" t="s">
        <v>128</v>
      </c>
      <c r="AT133" s="107" t="s">
        <v>129</v>
      </c>
      <c r="AU133" s="114" t="s">
        <v>128</v>
      </c>
      <c r="AV133" s="107" t="s">
        <v>129</v>
      </c>
      <c r="BD133" s="34"/>
      <c r="BE133" s="64" t="s">
        <v>149</v>
      </c>
      <c r="BF133" s="64" t="s">
        <v>87</v>
      </c>
      <c r="BG133" s="96" t="s">
        <v>150</v>
      </c>
      <c r="BH133" s="64" t="s">
        <v>123</v>
      </c>
      <c r="BI133" s="64" t="s">
        <v>151</v>
      </c>
      <c r="BJ133" s="33" t="s">
        <v>152</v>
      </c>
      <c r="BK133" s="34" t="s">
        <v>153</v>
      </c>
      <c r="BL133" s="92" t="s">
        <v>154</v>
      </c>
      <c r="BM133" s="35" t="s">
        <v>155</v>
      </c>
      <c r="BN133" s="35" t="s">
        <v>156</v>
      </c>
      <c r="BO133" s="92" t="s">
        <v>157</v>
      </c>
      <c r="BP133" s="35" t="s">
        <v>70</v>
      </c>
      <c r="BQ133" s="35" t="s">
        <v>158</v>
      </c>
      <c r="BR133" s="107" t="s">
        <v>127</v>
      </c>
      <c r="BS133" s="150" t="s">
        <v>159</v>
      </c>
      <c r="BT133" s="69" t="s">
        <v>128</v>
      </c>
      <c r="BU133" s="107" t="s">
        <v>129</v>
      </c>
      <c r="BV133" s="114" t="s">
        <v>128</v>
      </c>
      <c r="BW133" s="107" t="s">
        <v>129</v>
      </c>
    </row>
    <row r="134" spans="2:83">
      <c r="B134" s="2" t="s">
        <v>86</v>
      </c>
      <c r="C134" s="7">
        <v>234</v>
      </c>
      <c r="D134" s="38">
        <v>7</v>
      </c>
      <c r="E134" s="93">
        <f>E76</f>
        <v>70553.508144956606</v>
      </c>
      <c r="F134" s="37">
        <f t="shared" ref="F134:O134" si="313">F76</f>
        <v>0.75539087949632344</v>
      </c>
      <c r="G134" s="38">
        <f t="shared" si="313"/>
        <v>36975</v>
      </c>
      <c r="H134" s="37">
        <f t="shared" si="313"/>
        <v>0.39587794432548179</v>
      </c>
      <c r="I134" s="37">
        <f t="shared" si="313"/>
        <v>0.43035834151958785</v>
      </c>
      <c r="J134" s="38">
        <f t="shared" si="313"/>
        <v>33574.82</v>
      </c>
      <c r="K134" s="37">
        <f t="shared" si="313"/>
        <v>0.90804110885733602</v>
      </c>
      <c r="L134" s="7">
        <f t="shared" si="313"/>
        <v>780.65720473639567</v>
      </c>
      <c r="M134" s="38">
        <f t="shared" si="313"/>
        <v>30551.144</v>
      </c>
      <c r="N134" s="37">
        <f t="shared" si="313"/>
        <v>0.90994215307781245</v>
      </c>
      <c r="O134" s="50">
        <f t="shared" si="313"/>
        <v>2109.6650864367462</v>
      </c>
      <c r="P134" s="98">
        <f t="shared" ref="P134:P139" si="314">M134/$C$10</f>
        <v>0.32710004282655247</v>
      </c>
      <c r="Q134" s="110">
        <f>INDEX(Daggett!$B$7:$M$21, MATCH(D134,Daggett!$A$7:$A$21,0), MATCH(B$135,Daggett!$B$6:$M$6,0))</f>
        <v>504.64516129032256</v>
      </c>
      <c r="R134" s="4">
        <f t="shared" ref="R134:R144" si="315">IF(1-$H$7*(($H$5+273)^4-298^4)*(PI()*$C$19^2)*1000/(M134*Q134*1000)&lt;0,#N/A,1-$H$7*(($H$5+273)^4-298^4)*(PI()*$C$19^2)*1000/(M134*Q134*1000))</f>
        <v>0.63085080634440494</v>
      </c>
      <c r="S134" s="98">
        <f>R134*P134</f>
        <v>0.20635132577242002</v>
      </c>
      <c r="T134" s="111">
        <f>IF(1-$H$7*(($H$5+273)^4-298^4)/(O134*1000)&lt;0,#N/A,1-$H$7*(($H$5+273)^4-298^4)/(O134*1000))</f>
        <v>0.81371064562747975</v>
      </c>
      <c r="U134" s="98">
        <f>T134*P134</f>
        <v>0.26616478703317031</v>
      </c>
      <c r="AC134" s="2" t="s">
        <v>86</v>
      </c>
      <c r="AD134" s="7">
        <v>234</v>
      </c>
      <c r="AE134" s="38">
        <v>7</v>
      </c>
      <c r="AF134" s="93">
        <f>AF76</f>
        <v>51357.305623100983</v>
      </c>
      <c r="AG134" s="37">
        <f t="shared" ref="AG134:AP134" si="316">AG76</f>
        <v>0.54986408590043878</v>
      </c>
      <c r="AH134" s="38">
        <f t="shared" si="316"/>
        <v>36112.660000000003</v>
      </c>
      <c r="AI134" s="37">
        <f t="shared" si="316"/>
        <v>0.38664518201284798</v>
      </c>
      <c r="AJ134" s="37">
        <f t="shared" si="316"/>
        <v>0.23569021333760309</v>
      </c>
      <c r="AK134" s="38">
        <f t="shared" si="316"/>
        <v>30059.07</v>
      </c>
      <c r="AL134" s="37">
        <f t="shared" si="316"/>
        <v>0.83236931314392226</v>
      </c>
      <c r="AM134" s="7">
        <f t="shared" si="316"/>
        <v>698.91155226373962</v>
      </c>
      <c r="AN134" s="38">
        <f t="shared" si="316"/>
        <v>27936.46</v>
      </c>
      <c r="AO134" s="37">
        <f t="shared" si="316"/>
        <v>0.92938537353284711</v>
      </c>
      <c r="AP134" s="50">
        <f t="shared" si="316"/>
        <v>1929.111862411329</v>
      </c>
      <c r="AQ134" s="98">
        <f>AN134/$C$10</f>
        <v>0.2991055674518201</v>
      </c>
      <c r="AR134" s="110">
        <f>INDEX(Daggett!$B$7:$M$21, MATCH(AE134,Daggett!$A$7:$A$21,0), MATCH(AC$135,Daggett!$B$6:$M$6,0))</f>
        <v>504.64516129032256</v>
      </c>
      <c r="AS134" s="4">
        <f t="shared" ref="AS134:AS144" si="317">IF(1-$H$7*(($H$5+273)^4-298^4)*(PI()*$C$19^2)*1000/(AN134*AR134*1000)&lt;0,#N/A,1-$H$7*(($H$5+273)^4-298^4)*(PI()*$C$19^2)*1000/(AN134*AR134*1000))</f>
        <v>0.59630067041937418</v>
      </c>
      <c r="AT134" s="98">
        <f>AS134*AQ134</f>
        <v>0.17835685039768767</v>
      </c>
      <c r="AU134" s="111">
        <f>IF(1-$H$7*(($H$5+273)^4-298^4)/(AP134*1000)&lt;0,#N/A,1-$H$7*(($H$5+273)^4-298^4)/(AP134*1000))</f>
        <v>0.79627508671099001</v>
      </c>
      <c r="AV134" s="98">
        <f>AU134*AQ134</f>
        <v>0.23817031165843791</v>
      </c>
      <c r="AW134" s="38"/>
      <c r="AX134" s="37"/>
      <c r="AY134" s="38"/>
      <c r="AZ134" s="37"/>
      <c r="BA134" s="37"/>
      <c r="BB134" s="38"/>
      <c r="BC134" s="37"/>
      <c r="BD134" s="2" t="s">
        <v>86</v>
      </c>
      <c r="BE134" s="7">
        <v>234</v>
      </c>
      <c r="BF134" s="38">
        <v>7</v>
      </c>
      <c r="BG134" s="93">
        <f>BG76</f>
        <v>87985.346709364938</v>
      </c>
      <c r="BH134" s="37">
        <f t="shared" ref="BH134:BQ134" si="318">BH76</f>
        <v>0.94202726669555603</v>
      </c>
      <c r="BI134" s="38">
        <f t="shared" si="318"/>
        <v>42101.48</v>
      </c>
      <c r="BJ134" s="37">
        <f t="shared" si="318"/>
        <v>0.4507653104925054</v>
      </c>
      <c r="BK134" s="37">
        <f t="shared" si="318"/>
        <v>0.47988523120749693</v>
      </c>
      <c r="BL134" s="38">
        <f t="shared" si="318"/>
        <v>39875.580499999996</v>
      </c>
      <c r="BM134" s="37">
        <f t="shared" si="318"/>
        <v>0.94713013651776601</v>
      </c>
      <c r="BN134" s="7">
        <f t="shared" si="318"/>
        <v>927.15788827374581</v>
      </c>
      <c r="BO134" s="38">
        <f t="shared" si="318"/>
        <v>36463.56</v>
      </c>
      <c r="BP134" s="37">
        <f t="shared" si="318"/>
        <v>0.91443333345328981</v>
      </c>
      <c r="BQ134" s="50">
        <f t="shared" si="318"/>
        <v>2517.938426763707</v>
      </c>
      <c r="BR134" s="98">
        <f t="shared" ref="BR134:BR144" si="319">BO134/$C$10</f>
        <v>0.39040214132762308</v>
      </c>
      <c r="BS134" s="110">
        <f>INDEX(Daggett!$B$7:$M$21, MATCH(BF134,Daggett!$A$7:$A$21,0), MATCH(BD$135,Daggett!$B$6:$M$6,0))</f>
        <v>504.64516129032256</v>
      </c>
      <c r="BT134" s="4">
        <f t="shared" ref="BT134:BT144" si="320">IF(1-$H$7*(($H$5+273)^4-298^4)*(PI()*$C$19^2)*1000/(BO134*BS134*1000)&lt;0,#N/A,1-$H$7*(($H$5+273)^4-298^4)*(PI()*$C$19^2)*1000/(BO134*BS134*1000))</f>
        <v>0.69070682695666652</v>
      </c>
      <c r="BU134" s="98">
        <f>BT134*BR134</f>
        <v>0.26965342427349059</v>
      </c>
      <c r="BV134" s="111">
        <f>IF(1-$H$7*(($H$5+273)^4-298^4)/(BQ134*1000)&lt;0,#N/A,1-$H$7*(($H$5+273)^4-298^4)/(BQ134*1000))</f>
        <v>0.8439166968035513</v>
      </c>
      <c r="BW134" s="98">
        <f>BV134*BR134</f>
        <v>0.32946688553424086</v>
      </c>
      <c r="BX134" s="38"/>
      <c r="BY134" s="37"/>
      <c r="BZ134" s="37"/>
      <c r="CA134" s="38"/>
      <c r="CB134" s="37"/>
      <c r="CC134" s="7"/>
      <c r="CD134" s="41"/>
      <c r="CE134" s="37"/>
    </row>
    <row r="135" spans="2:83">
      <c r="B135" s="2">
        <v>8</v>
      </c>
      <c r="D135" s="38">
        <v>8</v>
      </c>
      <c r="E135" s="93">
        <f t="shared" ref="E135:O144" si="321">E77</f>
        <v>76753.263206747331</v>
      </c>
      <c r="F135" s="37">
        <f t="shared" si="321"/>
        <v>0.82176941334847253</v>
      </c>
      <c r="G135" s="38">
        <f t="shared" si="321"/>
        <v>57191.5</v>
      </c>
      <c r="H135" s="37">
        <f t="shared" si="321"/>
        <v>0.61232869379014987</v>
      </c>
      <c r="I135" s="37">
        <f t="shared" si="321"/>
        <v>0.19007125800511093</v>
      </c>
      <c r="J135" s="38">
        <f t="shared" si="321"/>
        <v>53176.472000000002</v>
      </c>
      <c r="K135" s="37">
        <f t="shared" si="321"/>
        <v>0.92979677049911269</v>
      </c>
      <c r="L135" s="7">
        <f t="shared" si="321"/>
        <v>1236.4205076680446</v>
      </c>
      <c r="M135" s="38">
        <f t="shared" si="321"/>
        <v>48674.91</v>
      </c>
      <c r="N135" s="37">
        <f t="shared" si="321"/>
        <v>0.91534673454831683</v>
      </c>
      <c r="O135" s="50">
        <f t="shared" si="321"/>
        <v>3361.1755491856816</v>
      </c>
      <c r="P135" s="98">
        <f t="shared" si="314"/>
        <v>0.52114464668094218</v>
      </c>
      <c r="Q135" s="110">
        <f>INDEX(Daggett!$B$7:$M$21, MATCH(D135,Daggett!$A$7:$A$21,0), MATCH(B$135,Daggett!$B$6:$M$6,0))</f>
        <v>669.32258064516134</v>
      </c>
      <c r="R135" s="4">
        <f t="shared" si="315"/>
        <v>0.82530725030984942</v>
      </c>
      <c r="S135" s="98">
        <f t="shared" ref="S135:S144" si="322">R135*P135</f>
        <v>0.43010445536594638</v>
      </c>
      <c r="T135" s="111">
        <f t="shared" ref="T135:T144" si="323">IF(1-$H$7*(($H$5+273)^4-298^4)/(O135*1000)&lt;0,#N/A,1-$H$7*(($H$5+273)^4-298^4)/(O135*1000))</f>
        <v>0.88307419795738917</v>
      </c>
      <c r="U135" s="98">
        <f t="shared" ref="U135:U144" si="324">T135*P135</f>
        <v>0.46020939088755997</v>
      </c>
      <c r="AC135" s="2">
        <v>8</v>
      </c>
      <c r="AE135" s="38">
        <v>8</v>
      </c>
      <c r="AF135" s="93">
        <f t="shared" ref="AF135:AP135" si="325">AF77</f>
        <v>57127.779229957436</v>
      </c>
      <c r="AG135" s="37">
        <f t="shared" si="325"/>
        <v>0.61164645856485478</v>
      </c>
      <c r="AH135" s="38">
        <f t="shared" si="325"/>
        <v>48823.566189999998</v>
      </c>
      <c r="AI135" s="37">
        <f t="shared" si="325"/>
        <v>0.52273625471092078</v>
      </c>
      <c r="AJ135" s="37">
        <f t="shared" si="325"/>
        <v>7.104574341735459E-2</v>
      </c>
      <c r="AK135" s="38">
        <f t="shared" si="325"/>
        <v>42340.887000000002</v>
      </c>
      <c r="AL135" s="37">
        <f t="shared" si="325"/>
        <v>0.86722233347780786</v>
      </c>
      <c r="AM135" s="7">
        <f t="shared" si="325"/>
        <v>984.47939531707391</v>
      </c>
      <c r="AN135" s="38">
        <f t="shared" si="325"/>
        <v>38764.085700000003</v>
      </c>
      <c r="AO135" s="37">
        <f t="shared" si="325"/>
        <v>0.91552370407355899</v>
      </c>
      <c r="AP135" s="50">
        <f t="shared" si="325"/>
        <v>2676.797903506721</v>
      </c>
      <c r="AQ135" s="98">
        <f t="shared" ref="AQ135:AQ144" si="326">AN135/$C$10</f>
        <v>0.41503303747323345</v>
      </c>
      <c r="AR135" s="110">
        <f>INDEX(Daggett!$B$7:$M$21, MATCH(AE135,Daggett!$A$7:$A$21,0), MATCH(AC$135,Daggett!$B$6:$M$6,0))</f>
        <v>669.32258064516134</v>
      </c>
      <c r="AS135" s="4">
        <f t="shared" si="317"/>
        <v>0.78064350763674517</v>
      </c>
      <c r="AT135" s="98">
        <f t="shared" ref="AT135:AT144" si="327">AS135*AQ135</f>
        <v>0.32399284615823765</v>
      </c>
      <c r="AU135" s="111">
        <f t="shared" ref="AU135:AU144" si="328">IF(1-$H$7*(($H$5+273)^4-298^4)/(AP135*1000)&lt;0,#N/A,1-$H$7*(($H$5+273)^4-298^4)/(AP135*1000))</f>
        <v>0.8531797464501556</v>
      </c>
      <c r="AV135" s="98">
        <f t="shared" ref="AV135:AV144" si="329">AU135*AQ135</f>
        <v>0.35409778167985123</v>
      </c>
      <c r="AW135" s="38"/>
      <c r="AX135" s="37"/>
      <c r="AY135" s="38"/>
      <c r="AZ135" s="37"/>
      <c r="BA135" s="37"/>
      <c r="BB135" s="38"/>
      <c r="BC135" s="37"/>
      <c r="BD135" s="2">
        <v>8</v>
      </c>
      <c r="BF135" s="38">
        <v>8</v>
      </c>
      <c r="BG135" s="93">
        <f t="shared" ref="BG135:BQ135" si="330">BG77</f>
        <v>88530.375909501512</v>
      </c>
      <c r="BH135" s="37">
        <f t="shared" si="330"/>
        <v>0.94786269710387061</v>
      </c>
      <c r="BI135" s="38">
        <f t="shared" si="330"/>
        <v>59869.544999999998</v>
      </c>
      <c r="BJ135" s="37">
        <f t="shared" si="330"/>
        <v>0.64100155246252677</v>
      </c>
      <c r="BK135" s="37">
        <f t="shared" si="330"/>
        <v>0.26493486870736171</v>
      </c>
      <c r="BL135" s="38">
        <f t="shared" si="330"/>
        <v>56819.754999999997</v>
      </c>
      <c r="BM135" s="37">
        <f t="shared" si="330"/>
        <v>0.94905940908687381</v>
      </c>
      <c r="BN135" s="7">
        <f t="shared" si="330"/>
        <v>1321.1314643565279</v>
      </c>
      <c r="BO135" s="38">
        <f t="shared" si="330"/>
        <v>51776.73</v>
      </c>
      <c r="BP135" s="37">
        <f t="shared" si="330"/>
        <v>0.9112452174424196</v>
      </c>
      <c r="BQ135" s="50">
        <f t="shared" si="330"/>
        <v>3575.3672455231813</v>
      </c>
      <c r="BR135" s="98">
        <f t="shared" si="319"/>
        <v>0.55435471092077093</v>
      </c>
      <c r="BS135" s="110">
        <f>INDEX(Daggett!$B$7:$M$21, MATCH(BF135,Daggett!$A$7:$A$21,0), MATCH(BD$135,Daggett!$B$6:$M$6,0))</f>
        <v>669.32258064516134</v>
      </c>
      <c r="BT135" s="4">
        <f t="shared" si="320"/>
        <v>0.83577267492905394</v>
      </c>
      <c r="BU135" s="98">
        <f t="shared" ref="BU135:BU144" si="331">BT135*BR135</f>
        <v>0.46331451960577513</v>
      </c>
      <c r="BV135" s="111">
        <f t="shared" ref="BV135:BV144" si="332">IF(1-$H$7*(($H$5+273)^4-298^4)/(BQ135*1000)&lt;0,#N/A,1-$H$7*(($H$5+273)^4-298^4)/(BQ135*1000))</f>
        <v>0.89007894297106249</v>
      </c>
      <c r="BW135" s="98">
        <f t="shared" ref="BW135:BW144" si="333">BV135*BR135</f>
        <v>0.49341945512738872</v>
      </c>
      <c r="BX135" s="38"/>
      <c r="BY135" s="37"/>
      <c r="BZ135" s="37"/>
      <c r="CA135" s="38"/>
      <c r="CB135" s="37"/>
      <c r="CC135" s="7"/>
      <c r="CD135" s="41"/>
      <c r="CE135" s="37"/>
    </row>
    <row r="136" spans="2:83">
      <c r="D136" s="38">
        <v>9</v>
      </c>
      <c r="E136" s="93">
        <f t="shared" si="321"/>
        <v>81703.284635417207</v>
      </c>
      <c r="F136" s="37">
        <f t="shared" si="321"/>
        <v>0.87476750144986304</v>
      </c>
      <c r="G136" s="38">
        <f t="shared" si="321"/>
        <v>66390.298999999999</v>
      </c>
      <c r="H136" s="37">
        <f t="shared" si="321"/>
        <v>0.71081690578158452</v>
      </c>
      <c r="I136" s="37">
        <f t="shared" si="321"/>
        <v>0.11676294532987386</v>
      </c>
      <c r="J136" s="38">
        <f t="shared" si="321"/>
        <v>62625.15</v>
      </c>
      <c r="K136" s="37">
        <f t="shared" si="321"/>
        <v>0.94328766315693202</v>
      </c>
      <c r="L136" s="7">
        <f t="shared" si="321"/>
        <v>1456.1142709088981</v>
      </c>
      <c r="M136" s="38">
        <f t="shared" si="321"/>
        <v>57461.8</v>
      </c>
      <c r="N136" s="37">
        <f t="shared" si="321"/>
        <v>0.91755149488663901</v>
      </c>
      <c r="O136" s="50">
        <f t="shared" si="321"/>
        <v>3967.9415364547731</v>
      </c>
      <c r="P136" s="98">
        <f t="shared" si="314"/>
        <v>0.61522269807280516</v>
      </c>
      <c r="Q136" s="110">
        <f>INDEX(Daggett!$B$7:$M$21, MATCH(D136,Daggett!$A$7:$A$21,0), MATCH(B$135,Daggett!$B$6:$M$6,0))</f>
        <v>745.93548387096769</v>
      </c>
      <c r="R136" s="4">
        <f t="shared" si="315"/>
        <v>0.86721927925729614</v>
      </c>
      <c r="S136" s="98">
        <f t="shared" si="322"/>
        <v>0.53353298480542721</v>
      </c>
      <c r="T136" s="111">
        <f t="shared" si="323"/>
        <v>0.90095414882405533</v>
      </c>
      <c r="U136" s="98">
        <f t="shared" si="324"/>
        <v>0.55428744227942295</v>
      </c>
      <c r="AE136" s="38">
        <v>9</v>
      </c>
      <c r="AF136" s="93">
        <f t="shared" ref="AF136:AP136" si="334">AF78</f>
        <v>63197.675198209414</v>
      </c>
      <c r="AG136" s="37">
        <f t="shared" si="334"/>
        <v>0.67663463809646052</v>
      </c>
      <c r="AH136" s="38">
        <f t="shared" si="334"/>
        <v>56674.603999999999</v>
      </c>
      <c r="AI136" s="37">
        <f t="shared" si="334"/>
        <v>0.6067944753747323</v>
      </c>
      <c r="AJ136" s="37">
        <f t="shared" si="334"/>
        <v>2.5235813792593431E-2</v>
      </c>
      <c r="AK136" s="38">
        <f t="shared" si="334"/>
        <v>50520.569000000003</v>
      </c>
      <c r="AL136" s="37">
        <f t="shared" si="334"/>
        <v>0.89141459197491713</v>
      </c>
      <c r="AM136" s="7">
        <f t="shared" si="334"/>
        <v>1174.6673899437797</v>
      </c>
      <c r="AN136" s="38">
        <f t="shared" si="334"/>
        <v>46431.324000000001</v>
      </c>
      <c r="AO136" s="37">
        <f t="shared" si="334"/>
        <v>0.91905781979613088</v>
      </c>
      <c r="AP136" s="50">
        <f t="shared" si="334"/>
        <v>3206.2479611183321</v>
      </c>
      <c r="AQ136" s="98">
        <f t="shared" si="326"/>
        <v>0.49712338329764455</v>
      </c>
      <c r="AR136" s="110">
        <f>INDEX(Daggett!$B$7:$M$21, MATCH(AE136,Daggett!$A$7:$A$21,0), MATCH(AC$135,Daggett!$B$6:$M$6,0))</f>
        <v>745.93548387096769</v>
      </c>
      <c r="AS136" s="4">
        <f t="shared" si="317"/>
        <v>0.83567517438931738</v>
      </c>
      <c r="AT136" s="98">
        <f t="shared" si="327"/>
        <v>0.4154336700302666</v>
      </c>
      <c r="AU136" s="111">
        <f t="shared" si="328"/>
        <v>0.87742428169608311</v>
      </c>
      <c r="AV136" s="98">
        <f t="shared" si="329"/>
        <v>0.43618812750426239</v>
      </c>
      <c r="AW136" s="38"/>
      <c r="AX136" s="37"/>
      <c r="AY136" s="38"/>
      <c r="AZ136" s="37"/>
      <c r="BA136" s="37"/>
      <c r="BB136" s="38"/>
      <c r="BC136" s="37"/>
      <c r="BF136" s="38">
        <v>9</v>
      </c>
      <c r="BG136" s="93">
        <f t="shared" ref="BG136:BQ136" si="335">BG78</f>
        <v>87905.958803609727</v>
      </c>
      <c r="BH136" s="37">
        <f t="shared" si="335"/>
        <v>0.94117728911787712</v>
      </c>
      <c r="BI136" s="38">
        <f t="shared" si="335"/>
        <v>70350.945999999996</v>
      </c>
      <c r="BJ136" s="37">
        <f t="shared" si="335"/>
        <v>0.75322211991434684</v>
      </c>
      <c r="BK136" s="37">
        <f t="shared" si="335"/>
        <v>0.1301110800002182</v>
      </c>
      <c r="BL136" s="38">
        <f t="shared" si="335"/>
        <v>66931.693994885994</v>
      </c>
      <c r="BM136" s="37">
        <f t="shared" si="335"/>
        <v>0.95139721354828688</v>
      </c>
      <c r="BN136" s="7">
        <f t="shared" si="335"/>
        <v>1556.2468880643144</v>
      </c>
      <c r="BO136" s="38">
        <f t="shared" si="335"/>
        <v>61167.409800000001</v>
      </c>
      <c r="BP136" s="37">
        <f t="shared" si="335"/>
        <v>0.91387810690513194</v>
      </c>
      <c r="BQ136" s="50">
        <f t="shared" si="335"/>
        <v>4223.8270646372148</v>
      </c>
      <c r="BR136" s="98">
        <f t="shared" si="319"/>
        <v>0.65489732119914346</v>
      </c>
      <c r="BS136" s="110">
        <f>INDEX(Daggett!$B$7:$M$21, MATCH(BF136,Daggett!$A$7:$A$21,0), MATCH(BD$135,Daggett!$B$6:$M$6,0))</f>
        <v>745.93548387096769</v>
      </c>
      <c r="BT136" s="4">
        <f t="shared" si="320"/>
        <v>0.87526332659629635</v>
      </c>
      <c r="BU136" s="98">
        <f t="shared" si="331"/>
        <v>0.57320760793176551</v>
      </c>
      <c r="BV136" s="111">
        <f t="shared" si="332"/>
        <v>0.90695448916815347</v>
      </c>
      <c r="BW136" s="98">
        <f t="shared" si="333"/>
        <v>0.59396206540576124</v>
      </c>
      <c r="BX136" s="38"/>
      <c r="BY136" s="37"/>
      <c r="BZ136" s="37"/>
      <c r="CA136" s="38"/>
      <c r="CB136" s="37"/>
      <c r="CC136" s="7"/>
      <c r="CD136" s="41"/>
      <c r="CE136" s="37"/>
    </row>
    <row r="137" spans="2:83">
      <c r="D137" s="38">
        <v>10</v>
      </c>
      <c r="E137" s="93">
        <f t="shared" si="321"/>
        <v>85307.338440262509</v>
      </c>
      <c r="F137" s="37">
        <f t="shared" si="321"/>
        <v>0.91335480128760715</v>
      </c>
      <c r="G137" s="38">
        <f t="shared" si="321"/>
        <v>69764.88</v>
      </c>
      <c r="H137" s="37">
        <f t="shared" si="321"/>
        <v>0.74694732334047109</v>
      </c>
      <c r="I137" s="37">
        <f t="shared" si="321"/>
        <v>0.11108009356721782</v>
      </c>
      <c r="J137" s="38">
        <f t="shared" si="321"/>
        <v>66027.17</v>
      </c>
      <c r="K137" s="37">
        <f t="shared" si="321"/>
        <v>0.94642418936289996</v>
      </c>
      <c r="L137" s="7">
        <f t="shared" si="321"/>
        <v>1535.2155564454197</v>
      </c>
      <c r="M137" s="38">
        <f t="shared" si="321"/>
        <v>60347.49</v>
      </c>
      <c r="N137" s="37">
        <f t="shared" si="321"/>
        <v>0.91397965413329085</v>
      </c>
      <c r="O137" s="50">
        <f t="shared" si="321"/>
        <v>4167.2086880638799</v>
      </c>
      <c r="P137" s="98">
        <f t="shared" si="314"/>
        <v>0.64611873661670238</v>
      </c>
      <c r="Q137" s="110">
        <f>INDEX(Daggett!$B$7:$M$21, MATCH(D137,Daggett!$A$7:$A$21,0), MATCH(B$135,Daggett!$B$6:$M$6,0))</f>
        <v>809.35483870967744</v>
      </c>
      <c r="R137" s="4">
        <f t="shared" si="315"/>
        <v>0.88347547644658075</v>
      </c>
      <c r="S137" s="98">
        <f t="shared" si="322"/>
        <v>0.570830058673504</v>
      </c>
      <c r="T137" s="111">
        <f t="shared" si="323"/>
        <v>0.9056903130337004</v>
      </c>
      <c r="U137" s="98">
        <f t="shared" si="324"/>
        <v>0.58518348082332017</v>
      </c>
      <c r="AE137" s="38">
        <v>10</v>
      </c>
      <c r="AF137" s="93">
        <f t="shared" ref="AF137:AP137" si="336">AF79</f>
        <v>69129.607154758196</v>
      </c>
      <c r="AG137" s="37">
        <f t="shared" si="336"/>
        <v>0.7401456868817794</v>
      </c>
      <c r="AH137" s="38">
        <f t="shared" si="336"/>
        <v>62109.235999999997</v>
      </c>
      <c r="AI137" s="37">
        <f t="shared" si="336"/>
        <v>0.66498111349036404</v>
      </c>
      <c r="AJ137" s="37">
        <f t="shared" si="336"/>
        <v>2.3427994038758837E-2</v>
      </c>
      <c r="AK137" s="38">
        <f t="shared" si="336"/>
        <v>56703.834649999997</v>
      </c>
      <c r="AL137" s="37">
        <f t="shared" si="336"/>
        <v>0.91296944386821954</v>
      </c>
      <c r="AM137" s="7">
        <f t="shared" si="336"/>
        <v>1318.4361690011674</v>
      </c>
      <c r="AN137" s="38">
        <f t="shared" si="336"/>
        <v>52102.841099999998</v>
      </c>
      <c r="AO137" s="37">
        <f t="shared" si="336"/>
        <v>0.91885921686955963</v>
      </c>
      <c r="AP137" s="50">
        <f t="shared" si="336"/>
        <v>3597.8863761314974</v>
      </c>
      <c r="AQ137" s="98">
        <f t="shared" si="326"/>
        <v>0.55784626445396146</v>
      </c>
      <c r="AR137" s="110">
        <f>INDEX(Daggett!$B$7:$M$21, MATCH(AE137,Daggett!$A$7:$A$21,0), MATCH(AC$135,Daggett!$B$6:$M$6,0))</f>
        <v>809.35483870967744</v>
      </c>
      <c r="AS137" s="4">
        <f t="shared" si="317"/>
        <v>0.8650368699396177</v>
      </c>
      <c r="AT137" s="98">
        <f t="shared" si="327"/>
        <v>0.48255758651076303</v>
      </c>
      <c r="AU137" s="111">
        <f t="shared" si="328"/>
        <v>0.89076693763822612</v>
      </c>
      <c r="AV137" s="98">
        <f t="shared" si="329"/>
        <v>0.4969110086605793</v>
      </c>
      <c r="AW137" s="38"/>
      <c r="AX137" s="37"/>
      <c r="AY137" s="38"/>
      <c r="AZ137" s="37"/>
      <c r="BA137" s="37"/>
      <c r="BB137" s="38"/>
      <c r="BC137" s="37"/>
      <c r="BF137" s="38">
        <v>10</v>
      </c>
      <c r="BG137" s="93">
        <f t="shared" ref="BG137:BQ137" si="337">BG79</f>
        <v>86129.74247479203</v>
      </c>
      <c r="BH137" s="37">
        <f t="shared" si="337"/>
        <v>0.92215998367015017</v>
      </c>
      <c r="BI137" s="38">
        <f t="shared" si="337"/>
        <v>70303.033899999995</v>
      </c>
      <c r="BJ137" s="37">
        <f t="shared" si="337"/>
        <v>0.7527091423982869</v>
      </c>
      <c r="BK137" s="37">
        <f t="shared" si="337"/>
        <v>0.11277638827241043</v>
      </c>
      <c r="BL137" s="38">
        <f t="shared" si="337"/>
        <v>66765.991240000003</v>
      </c>
      <c r="BM137" s="37">
        <f t="shared" si="337"/>
        <v>0.94968861991032805</v>
      </c>
      <c r="BN137" s="7">
        <f t="shared" si="337"/>
        <v>1552.3940885721229</v>
      </c>
      <c r="BO137" s="38">
        <f t="shared" si="337"/>
        <v>61070.869700000003</v>
      </c>
      <c r="BP137" s="37">
        <f t="shared" si="337"/>
        <v>0.91470026230078627</v>
      </c>
      <c r="BQ137" s="50">
        <f t="shared" si="337"/>
        <v>4217.1606275829727</v>
      </c>
      <c r="BR137" s="98">
        <f t="shared" si="319"/>
        <v>0.65386370128479665</v>
      </c>
      <c r="BS137" s="110">
        <f>INDEX(Daggett!$B$7:$M$21, MATCH(BF137,Daggett!$A$7:$A$21,0), MATCH(BD$135,Daggett!$B$6:$M$6,0))</f>
        <v>809.35483870967744</v>
      </c>
      <c r="BT137" s="4">
        <f t="shared" si="320"/>
        <v>0.88485570036192351</v>
      </c>
      <c r="BU137" s="98">
        <f t="shared" si="331"/>
        <v>0.57857502334159827</v>
      </c>
      <c r="BV137" s="111">
        <f t="shared" si="332"/>
        <v>0.90680740393808579</v>
      </c>
      <c r="BW137" s="98">
        <f t="shared" si="333"/>
        <v>0.59292844549141444</v>
      </c>
      <c r="BX137" s="38"/>
      <c r="BY137" s="37"/>
      <c r="BZ137" s="37"/>
      <c r="CA137" s="38"/>
      <c r="CB137" s="37"/>
      <c r="CC137" s="7"/>
      <c r="CD137" s="41"/>
      <c r="CE137" s="37"/>
    </row>
    <row r="138" spans="2:83">
      <c r="D138" s="38">
        <v>11</v>
      </c>
      <c r="E138" s="93">
        <f t="shared" si="321"/>
        <v>87497.082058333588</v>
      </c>
      <c r="F138" s="37">
        <f t="shared" si="321"/>
        <v>0.93679959377230826</v>
      </c>
      <c r="G138" s="38">
        <f t="shared" si="321"/>
        <v>71564.547000000006</v>
      </c>
      <c r="H138" s="37">
        <f t="shared" si="321"/>
        <v>0.76621570663811567</v>
      </c>
      <c r="I138" s="37">
        <f t="shared" si="321"/>
        <v>0.11096976885359211</v>
      </c>
      <c r="J138" s="38">
        <f t="shared" si="321"/>
        <v>68119.457999999999</v>
      </c>
      <c r="K138" s="37">
        <f t="shared" si="321"/>
        <v>0.95186039534352107</v>
      </c>
      <c r="L138" s="7">
        <f t="shared" si="321"/>
        <v>1583.8639096334189</v>
      </c>
      <c r="M138" s="38">
        <f t="shared" si="321"/>
        <v>62330.86</v>
      </c>
      <c r="N138" s="37">
        <f t="shared" si="321"/>
        <v>0.91502284119759147</v>
      </c>
      <c r="O138" s="50">
        <f t="shared" si="321"/>
        <v>4304.1674364003102</v>
      </c>
      <c r="P138" s="98">
        <f t="shared" si="314"/>
        <v>0.66735396145610282</v>
      </c>
      <c r="Q138" s="110">
        <f>INDEX(Daggett!$B$7:$M$21, MATCH(D138,Daggett!$A$7:$A$21,0), MATCH(B$135,Daggett!$B$6:$M$6,0))</f>
        <v>806.87096774193549</v>
      </c>
      <c r="R138" s="4">
        <f t="shared" si="315"/>
        <v>0.88683599571836114</v>
      </c>
      <c r="S138" s="98">
        <f t="shared" si="322"/>
        <v>0.59183351490451575</v>
      </c>
      <c r="T138" s="111">
        <f t="shared" si="323"/>
        <v>0.90869125035172149</v>
      </c>
      <c r="U138" s="98">
        <f t="shared" si="324"/>
        <v>0.6064187056627206</v>
      </c>
      <c r="AE138" s="38">
        <v>11</v>
      </c>
      <c r="AF138" s="93">
        <f t="shared" ref="AF138:AP138" si="338">AF80</f>
        <v>74599.649460887114</v>
      </c>
      <c r="AG138" s="37">
        <f t="shared" si="338"/>
        <v>0.79871145033069713</v>
      </c>
      <c r="AH138" s="38">
        <f t="shared" si="338"/>
        <v>64433.625</v>
      </c>
      <c r="AI138" s="37">
        <f t="shared" si="338"/>
        <v>0.68986750535331909</v>
      </c>
      <c r="AJ138" s="37">
        <f t="shared" si="338"/>
        <v>6.1167855088060219E-2</v>
      </c>
      <c r="AK138" s="38">
        <f t="shared" si="338"/>
        <v>59803.434000000001</v>
      </c>
      <c r="AL138" s="37">
        <f t="shared" si="338"/>
        <v>0.92814014421817803</v>
      </c>
      <c r="AM138" s="7">
        <f t="shared" si="338"/>
        <v>1390.5057903535308</v>
      </c>
      <c r="AN138" s="38">
        <f t="shared" si="338"/>
        <v>54784.2019</v>
      </c>
      <c r="AO138" s="37">
        <f t="shared" si="338"/>
        <v>0.91607117243467995</v>
      </c>
      <c r="AP138" s="50">
        <f t="shared" si="338"/>
        <v>3783.0438701978442</v>
      </c>
      <c r="AQ138" s="98">
        <f t="shared" si="326"/>
        <v>0.58655462419700211</v>
      </c>
      <c r="AR138" s="110">
        <f>INDEX(Daggett!$B$7:$M$21, MATCH(AE138,Daggett!$A$7:$A$21,0), MATCH(AC$135,Daggett!$B$6:$M$6,0))</f>
        <v>806.87096774193549</v>
      </c>
      <c r="AS138" s="4">
        <f t="shared" si="317"/>
        <v>0.87124737673839814</v>
      </c>
      <c r="AT138" s="98">
        <f t="shared" si="327"/>
        <v>0.51103417764541503</v>
      </c>
      <c r="AU138" s="111">
        <f t="shared" si="328"/>
        <v>0.89611324626959843</v>
      </c>
      <c r="AV138" s="98">
        <f t="shared" si="329"/>
        <v>0.52561936840361989</v>
      </c>
      <c r="AW138" s="38"/>
      <c r="AX138" s="37"/>
      <c r="AY138" s="38"/>
      <c r="AZ138" s="37"/>
      <c r="BA138" s="37"/>
      <c r="BB138" s="38"/>
      <c r="BC138" s="37"/>
      <c r="BF138" s="38">
        <v>11</v>
      </c>
      <c r="BG138" s="93">
        <f t="shared" ref="BG138:BQ138" si="339">BG80</f>
        <v>83253.896441625926</v>
      </c>
      <c r="BH138" s="37">
        <f t="shared" si="339"/>
        <v>0.89136934091676578</v>
      </c>
      <c r="BI138" s="38">
        <f t="shared" si="339"/>
        <v>68570.705199999997</v>
      </c>
      <c r="BJ138" s="37">
        <f t="shared" si="339"/>
        <v>0.73416172591006423</v>
      </c>
      <c r="BK138" s="37">
        <f t="shared" si="339"/>
        <v>0.10474610314904709</v>
      </c>
      <c r="BL138" s="38">
        <f t="shared" si="339"/>
        <v>64831.025999999998</v>
      </c>
      <c r="BM138" s="37">
        <f t="shared" si="339"/>
        <v>0.94546243634081806</v>
      </c>
      <c r="BN138" s="7">
        <f t="shared" si="339"/>
        <v>1507.4036893526932</v>
      </c>
      <c r="BO138" s="38">
        <f t="shared" si="339"/>
        <v>59226.466990000001</v>
      </c>
      <c r="BP138" s="37">
        <f t="shared" si="339"/>
        <v>0.91355128314643674</v>
      </c>
      <c r="BQ138" s="50">
        <f t="shared" si="339"/>
        <v>4089.7980645766143</v>
      </c>
      <c r="BR138" s="98">
        <f t="shared" si="319"/>
        <v>0.63411634892933622</v>
      </c>
      <c r="BS138" s="110">
        <f>INDEX(Daggett!$B$7:$M$21, MATCH(BF138,Daggett!$A$7:$A$21,0), MATCH(BD$135,Daggett!$B$6:$M$6,0))</f>
        <v>806.87096774193549</v>
      </c>
      <c r="BT138" s="4">
        <f t="shared" si="320"/>
        <v>0.88090443231892945</v>
      </c>
      <c r="BU138" s="98">
        <f t="shared" si="331"/>
        <v>0.55859590237774914</v>
      </c>
      <c r="BV138" s="111">
        <f t="shared" si="332"/>
        <v>0.90390524405139949</v>
      </c>
      <c r="BW138" s="98">
        <f t="shared" si="333"/>
        <v>0.573181093135954</v>
      </c>
      <c r="BX138" s="38"/>
      <c r="BY138" s="37"/>
      <c r="BZ138" s="37"/>
      <c r="CA138" s="38"/>
      <c r="CB138" s="37"/>
      <c r="CC138" s="7"/>
      <c r="CD138" s="41"/>
      <c r="CE138" s="37"/>
    </row>
    <row r="139" spans="2:83">
      <c r="D139" s="38">
        <v>12</v>
      </c>
      <c r="E139" s="93">
        <f t="shared" si="321"/>
        <v>88231.549444127217</v>
      </c>
      <c r="F139" s="37">
        <f t="shared" si="321"/>
        <v>0.94466327027973462</v>
      </c>
      <c r="G139" s="38">
        <f t="shared" si="321"/>
        <v>72242.73</v>
      </c>
      <c r="H139" s="37">
        <f t="shared" si="321"/>
        <v>0.77347676659528908</v>
      </c>
      <c r="I139" s="37">
        <f t="shared" si="321"/>
        <v>0.11001555547355513</v>
      </c>
      <c r="J139" s="38">
        <f t="shared" si="321"/>
        <v>68799.23</v>
      </c>
      <c r="K139" s="37">
        <f t="shared" si="321"/>
        <v>0.95233430408845288</v>
      </c>
      <c r="L139" s="7">
        <f t="shared" si="321"/>
        <v>1599.6694719380885</v>
      </c>
      <c r="M139" s="38">
        <f t="shared" si="321"/>
        <v>63255.69</v>
      </c>
      <c r="N139" s="37">
        <f t="shared" si="321"/>
        <v>0.91942438890667821</v>
      </c>
      <c r="O139" s="50">
        <f t="shared" si="321"/>
        <v>4368.0302351841883</v>
      </c>
      <c r="P139" s="98">
        <f t="shared" si="314"/>
        <v>0.67725578158458244</v>
      </c>
      <c r="Q139" s="110">
        <f>INDEX(Daggett!$B$7:$M$21, MATCH(D139,Daggett!$A$7:$A$21,0), MATCH(B$135,Daggett!$B$6:$M$6,0))</f>
        <v>828.90322580645159</v>
      </c>
      <c r="R139" s="4">
        <f t="shared" si="315"/>
        <v>0.89145443399572355</v>
      </c>
      <c r="S139" s="98">
        <f t="shared" si="322"/>
        <v>0.60374266944281529</v>
      </c>
      <c r="T139" s="111">
        <f t="shared" si="323"/>
        <v>0.91002623019206808</v>
      </c>
      <c r="U139" s="98">
        <f t="shared" si="324"/>
        <v>0.61632052579120022</v>
      </c>
      <c r="AE139" s="38">
        <v>12</v>
      </c>
      <c r="AF139" s="93">
        <f t="shared" ref="AF139:AP139" si="340">AF81</f>
        <v>79367.336661805937</v>
      </c>
      <c r="AG139" s="37">
        <f t="shared" si="340"/>
        <v>0.84975735183946399</v>
      </c>
      <c r="AH139" s="38">
        <f t="shared" si="340"/>
        <v>67779.58</v>
      </c>
      <c r="AI139" s="37">
        <f t="shared" si="340"/>
        <v>0.72569143468950748</v>
      </c>
      <c r="AJ139" s="37">
        <f t="shared" si="340"/>
        <v>7.1740849315999333E-2</v>
      </c>
      <c r="AK139" s="38">
        <f t="shared" si="340"/>
        <v>63522.847999999998</v>
      </c>
      <c r="AL139" s="37">
        <f t="shared" si="340"/>
        <v>0.93719742730775257</v>
      </c>
      <c r="AM139" s="7">
        <f t="shared" si="340"/>
        <v>1476.9868894777378</v>
      </c>
      <c r="AN139" s="38">
        <f t="shared" si="340"/>
        <v>58109.530200000001</v>
      </c>
      <c r="AO139" s="37">
        <f t="shared" si="340"/>
        <v>0.91478156332033478</v>
      </c>
      <c r="AP139" s="50">
        <f t="shared" si="340"/>
        <v>4012.6696091047102</v>
      </c>
      <c r="AQ139" s="98">
        <f t="shared" si="326"/>
        <v>0.62215771092077088</v>
      </c>
      <c r="AR139" s="110">
        <f>INDEX(Daggett!$B$7:$M$21, MATCH(AE139,Daggett!$A$7:$A$21,0), MATCH(AC$135,Daggett!$B$6:$M$6,0))</f>
        <v>828.90322580645159</v>
      </c>
      <c r="AS139" s="4">
        <f t="shared" si="317"/>
        <v>0.88184167639267808</v>
      </c>
      <c r="AT139" s="98">
        <f t="shared" si="327"/>
        <v>0.54864459877900373</v>
      </c>
      <c r="AU139" s="111">
        <f t="shared" si="328"/>
        <v>0.90205818440600827</v>
      </c>
      <c r="AV139" s="98">
        <f t="shared" si="329"/>
        <v>0.56122245512738878</v>
      </c>
      <c r="AW139" s="38"/>
      <c r="AX139" s="37"/>
      <c r="AY139" s="38"/>
      <c r="AZ139" s="37"/>
      <c r="BA139" s="37"/>
      <c r="BB139" s="38"/>
      <c r="BC139" s="37"/>
      <c r="BF139" s="38">
        <v>12</v>
      </c>
      <c r="BG139" s="93">
        <f t="shared" ref="BG139:BQ139" si="341">BG81</f>
        <v>79367.336661805937</v>
      </c>
      <c r="BH139" s="37">
        <f t="shared" si="341"/>
        <v>0.84975735183946399</v>
      </c>
      <c r="BI139" s="38">
        <f t="shared" si="341"/>
        <v>67779.58</v>
      </c>
      <c r="BJ139" s="37">
        <f t="shared" si="341"/>
        <v>0.72569143468950748</v>
      </c>
      <c r="BK139" s="37">
        <f t="shared" si="341"/>
        <v>7.1740849315999333E-2</v>
      </c>
      <c r="BL139" s="38">
        <f t="shared" si="341"/>
        <v>63522.847999999998</v>
      </c>
      <c r="BM139" s="37">
        <f t="shared" si="341"/>
        <v>0.93719742730775257</v>
      </c>
      <c r="BN139" s="7">
        <f t="shared" si="341"/>
        <v>1476.9868894777378</v>
      </c>
      <c r="BO139" s="38">
        <f t="shared" si="341"/>
        <v>58109.530200000001</v>
      </c>
      <c r="BP139" s="37">
        <f t="shared" si="341"/>
        <v>0.91478156332033478</v>
      </c>
      <c r="BQ139" s="50">
        <f t="shared" si="341"/>
        <v>4012.6696091047102</v>
      </c>
      <c r="BR139" s="98">
        <f t="shared" si="319"/>
        <v>0.62215771092077088</v>
      </c>
      <c r="BS139" s="110">
        <f>INDEX(Daggett!$B$7:$M$21, MATCH(BF139,Daggett!$A$7:$A$21,0), MATCH(BD$135,Daggett!$B$6:$M$6,0))</f>
        <v>828.90322580645159</v>
      </c>
      <c r="BT139" s="4">
        <f t="shared" si="320"/>
        <v>0.88184167639267808</v>
      </c>
      <c r="BU139" s="98">
        <f t="shared" si="331"/>
        <v>0.54864459877900373</v>
      </c>
      <c r="BV139" s="111">
        <f t="shared" si="332"/>
        <v>0.90205818440600827</v>
      </c>
      <c r="BW139" s="98">
        <f t="shared" si="333"/>
        <v>0.56122245512738878</v>
      </c>
      <c r="BX139" s="38"/>
      <c r="BY139" s="37"/>
      <c r="BZ139" s="37"/>
      <c r="CA139" s="38"/>
      <c r="CB139" s="37"/>
      <c r="CC139" s="7"/>
      <c r="CD139" s="41"/>
      <c r="CE139" s="37"/>
    </row>
    <row r="140" spans="2:83">
      <c r="D140" s="38">
        <v>13</v>
      </c>
      <c r="E140" s="93">
        <f t="shared" si="321"/>
        <v>87497.082058333588</v>
      </c>
      <c r="F140" s="37">
        <f t="shared" si="321"/>
        <v>0.93679959377230826</v>
      </c>
      <c r="G140" s="38">
        <f t="shared" si="321"/>
        <v>71564.547000000006</v>
      </c>
      <c r="H140" s="37">
        <f t="shared" si="321"/>
        <v>0.76621570663811567</v>
      </c>
      <c r="I140" s="37">
        <f t="shared" si="321"/>
        <v>0.11096976885359211</v>
      </c>
      <c r="J140" s="38">
        <f t="shared" si="321"/>
        <v>68119.457999999999</v>
      </c>
      <c r="K140" s="37">
        <f t="shared" si="321"/>
        <v>0.95186039534352107</v>
      </c>
      <c r="L140" s="7">
        <f t="shared" si="321"/>
        <v>1583.8639096334189</v>
      </c>
      <c r="M140" s="38">
        <f t="shared" si="321"/>
        <v>62330.86</v>
      </c>
      <c r="N140" s="37">
        <f t="shared" si="321"/>
        <v>0.91502284119759147</v>
      </c>
      <c r="O140" s="50">
        <f t="shared" si="321"/>
        <v>4304.1674364003102</v>
      </c>
      <c r="P140" s="98">
        <f>P138</f>
        <v>0.66735396145610282</v>
      </c>
      <c r="Q140" s="110">
        <f>INDEX(Daggett!$B$7:$M$21, MATCH(D140,Daggett!$A$7:$A$21,0), MATCH(B$135,Daggett!$B$6:$M$6,0))</f>
        <v>799.22580645161293</v>
      </c>
      <c r="R140" s="4">
        <f t="shared" si="315"/>
        <v>0.88575350181237356</v>
      </c>
      <c r="S140" s="98">
        <f t="shared" si="322"/>
        <v>0.59111110830810287</v>
      </c>
      <c r="T140" s="111">
        <f t="shared" si="323"/>
        <v>0.90869125035172149</v>
      </c>
      <c r="U140" s="98">
        <f t="shared" si="324"/>
        <v>0.6064187056627206</v>
      </c>
      <c r="AE140" s="38">
        <v>13</v>
      </c>
      <c r="AF140" s="93">
        <f t="shared" ref="AF140:AP140" si="342">AF82</f>
        <v>83253.896441625926</v>
      </c>
      <c r="AG140" s="37">
        <f t="shared" si="342"/>
        <v>0.89136934091676578</v>
      </c>
      <c r="AH140" s="38">
        <f t="shared" si="342"/>
        <v>68570.705199999997</v>
      </c>
      <c r="AI140" s="37">
        <f t="shared" si="342"/>
        <v>0.73416172591006423</v>
      </c>
      <c r="AJ140" s="37">
        <f t="shared" si="342"/>
        <v>0.10474610314904709</v>
      </c>
      <c r="AK140" s="38">
        <f t="shared" si="342"/>
        <v>64831.025999999998</v>
      </c>
      <c r="AL140" s="37">
        <f t="shared" si="342"/>
        <v>0.94546243634081806</v>
      </c>
      <c r="AM140" s="7">
        <f t="shared" si="342"/>
        <v>1507.4036893526932</v>
      </c>
      <c r="AN140" s="38">
        <f t="shared" si="342"/>
        <v>59226.466990000001</v>
      </c>
      <c r="AO140" s="37">
        <f t="shared" si="342"/>
        <v>0.91355128314643674</v>
      </c>
      <c r="AP140" s="50">
        <f t="shared" si="342"/>
        <v>4089.7980645766143</v>
      </c>
      <c r="AQ140" s="98">
        <f t="shared" si="326"/>
        <v>0.63411634892933622</v>
      </c>
      <c r="AR140" s="110">
        <f>INDEX(Daggett!$B$7:$M$21, MATCH(AE140,Daggett!$A$7:$A$21,0), MATCH(AC$135,Daggett!$B$6:$M$6,0))</f>
        <v>799.22580645161293</v>
      </c>
      <c r="AS140" s="4">
        <f t="shared" si="317"/>
        <v>0.87976519880502835</v>
      </c>
      <c r="AT140" s="98">
        <f t="shared" si="327"/>
        <v>0.55787349578133616</v>
      </c>
      <c r="AU140" s="111">
        <f t="shared" si="328"/>
        <v>0.90390524405139949</v>
      </c>
      <c r="AV140" s="98">
        <f t="shared" si="329"/>
        <v>0.573181093135954</v>
      </c>
      <c r="AW140" s="38"/>
      <c r="AX140" s="37"/>
      <c r="AY140" s="38"/>
      <c r="AZ140" s="37"/>
      <c r="BA140" s="37"/>
      <c r="BB140" s="38"/>
      <c r="BC140" s="37"/>
      <c r="BF140" s="38">
        <v>13</v>
      </c>
      <c r="BG140" s="93">
        <f t="shared" ref="BG140:BQ140" si="343">BG82</f>
        <v>74599.649460887114</v>
      </c>
      <c r="BH140" s="37">
        <f t="shared" si="343"/>
        <v>0.79871145033069713</v>
      </c>
      <c r="BI140" s="38">
        <f t="shared" si="343"/>
        <v>64433.625</v>
      </c>
      <c r="BJ140" s="37">
        <f t="shared" si="343"/>
        <v>0.68986750535331909</v>
      </c>
      <c r="BK140" s="37">
        <f t="shared" si="343"/>
        <v>6.1167855088060219E-2</v>
      </c>
      <c r="BL140" s="38">
        <f t="shared" si="343"/>
        <v>59803.434000000001</v>
      </c>
      <c r="BM140" s="37">
        <f t="shared" si="343"/>
        <v>0.92814014421817803</v>
      </c>
      <c r="BN140" s="7">
        <f t="shared" si="343"/>
        <v>1390.5057903535308</v>
      </c>
      <c r="BO140" s="38">
        <f t="shared" si="343"/>
        <v>54784.2019</v>
      </c>
      <c r="BP140" s="37">
        <f t="shared" si="343"/>
        <v>0.91607117243467995</v>
      </c>
      <c r="BQ140" s="50">
        <f t="shared" si="343"/>
        <v>3783.0438701978442</v>
      </c>
      <c r="BR140" s="98">
        <f t="shared" si="319"/>
        <v>0.58655462419700211</v>
      </c>
      <c r="BS140" s="110">
        <f>INDEX(Daggett!$B$7:$M$21, MATCH(BF140,Daggett!$A$7:$A$21,0), MATCH(BD$135,Daggett!$B$6:$M$6,0))</f>
        <v>799.22580645161293</v>
      </c>
      <c r="BT140" s="4">
        <f t="shared" si="320"/>
        <v>0.87001576664342717</v>
      </c>
      <c r="BU140" s="98">
        <f t="shared" si="331"/>
        <v>0.51031177104900205</v>
      </c>
      <c r="BV140" s="111">
        <f t="shared" si="332"/>
        <v>0.89611324626959843</v>
      </c>
      <c r="BW140" s="98">
        <f t="shared" si="333"/>
        <v>0.52561936840361989</v>
      </c>
      <c r="BX140" s="38"/>
      <c r="BY140" s="37"/>
      <c r="BZ140" s="37"/>
      <c r="CA140" s="38"/>
      <c r="CB140" s="37"/>
      <c r="CC140" s="7"/>
      <c r="CD140" s="41"/>
      <c r="CE140" s="37"/>
    </row>
    <row r="141" spans="2:83">
      <c r="D141" s="38">
        <v>14</v>
      </c>
      <c r="E141" s="93">
        <f t="shared" si="321"/>
        <v>85307.338440262509</v>
      </c>
      <c r="F141" s="37">
        <f t="shared" si="321"/>
        <v>0.91335480128760715</v>
      </c>
      <c r="G141" s="38">
        <f t="shared" si="321"/>
        <v>69764.88</v>
      </c>
      <c r="H141" s="37">
        <f t="shared" si="321"/>
        <v>0.74694732334047109</v>
      </c>
      <c r="I141" s="37">
        <f t="shared" si="321"/>
        <v>0.11108009356721782</v>
      </c>
      <c r="J141" s="38">
        <f t="shared" si="321"/>
        <v>66027.17</v>
      </c>
      <c r="K141" s="37">
        <f t="shared" si="321"/>
        <v>0.94642418936289996</v>
      </c>
      <c r="L141" s="7">
        <f t="shared" si="321"/>
        <v>1535.2155564454197</v>
      </c>
      <c r="M141" s="38">
        <f t="shared" si="321"/>
        <v>60347.49</v>
      </c>
      <c r="N141" s="37">
        <f t="shared" si="321"/>
        <v>0.91397965413329085</v>
      </c>
      <c r="O141" s="50">
        <f t="shared" si="321"/>
        <v>4167.2086880638799</v>
      </c>
      <c r="P141" s="98">
        <f>P137</f>
        <v>0.64611873661670238</v>
      </c>
      <c r="Q141" s="110">
        <f>INDEX(Daggett!$B$7:$M$21, MATCH(D141,Daggett!$A$7:$A$21,0), MATCH(B$135,Daggett!$B$6:$M$6,0))</f>
        <v>784.87096774193549</v>
      </c>
      <c r="R141" s="4">
        <f t="shared" si="315"/>
        <v>0.87984052049010364</v>
      </c>
      <c r="S141" s="98">
        <f t="shared" si="322"/>
        <v>0.56848144552324764</v>
      </c>
      <c r="T141" s="111">
        <f t="shared" si="323"/>
        <v>0.9056903130337004</v>
      </c>
      <c r="U141" s="98">
        <f t="shared" si="324"/>
        <v>0.58518348082332017</v>
      </c>
      <c r="AE141" s="38">
        <v>14</v>
      </c>
      <c r="AF141" s="93">
        <f t="shared" ref="AF141:AP141" si="344">AF83</f>
        <v>86129.74247479203</v>
      </c>
      <c r="AG141" s="37">
        <f t="shared" si="344"/>
        <v>0.92215998367015017</v>
      </c>
      <c r="AH141" s="38">
        <f t="shared" si="344"/>
        <v>70303.033899999995</v>
      </c>
      <c r="AI141" s="37">
        <f t="shared" si="344"/>
        <v>0.7527091423982869</v>
      </c>
      <c r="AJ141" s="37">
        <f t="shared" si="344"/>
        <v>0.11277638827241043</v>
      </c>
      <c r="AK141" s="38">
        <f t="shared" si="344"/>
        <v>66765.991240000003</v>
      </c>
      <c r="AL141" s="37">
        <f t="shared" si="344"/>
        <v>0.94968861991032805</v>
      </c>
      <c r="AM141" s="7">
        <f t="shared" si="344"/>
        <v>1552.3940885721229</v>
      </c>
      <c r="AN141" s="38">
        <f t="shared" si="344"/>
        <v>61070.869700000003</v>
      </c>
      <c r="AO141" s="37">
        <f t="shared" si="344"/>
        <v>0.91470026230078627</v>
      </c>
      <c r="AP141" s="50">
        <f t="shared" si="344"/>
        <v>4217.1606275829727</v>
      </c>
      <c r="AQ141" s="98">
        <f t="shared" si="326"/>
        <v>0.65386370128479665</v>
      </c>
      <c r="AR141" s="110">
        <f>INDEX(Daggett!$B$7:$M$21, MATCH(AE141,Daggett!$A$7:$A$21,0), MATCH(AC$135,Daggett!$B$6:$M$6,0))</f>
        <v>784.87096774193549</v>
      </c>
      <c r="AS141" s="4">
        <f t="shared" si="317"/>
        <v>0.88126380017593442</v>
      </c>
      <c r="AT141" s="98">
        <f t="shared" si="327"/>
        <v>0.57622641019134191</v>
      </c>
      <c r="AU141" s="111">
        <f t="shared" si="328"/>
        <v>0.90680740393808579</v>
      </c>
      <c r="AV141" s="98">
        <f t="shared" si="329"/>
        <v>0.59292844549141444</v>
      </c>
      <c r="AW141" s="38"/>
      <c r="AX141" s="37"/>
      <c r="AY141" s="38"/>
      <c r="AZ141" s="37"/>
      <c r="BA141" s="37"/>
      <c r="BB141" s="38"/>
      <c r="BC141" s="37"/>
      <c r="BF141" s="38">
        <v>14</v>
      </c>
      <c r="BG141" s="93">
        <f t="shared" ref="BG141:BQ141" si="345">BG83</f>
        <v>69129.607154758196</v>
      </c>
      <c r="BH141" s="37">
        <f t="shared" si="345"/>
        <v>0.7401456868817794</v>
      </c>
      <c r="BI141" s="38">
        <f t="shared" si="345"/>
        <v>62109.235999999997</v>
      </c>
      <c r="BJ141" s="37">
        <f t="shared" si="345"/>
        <v>0.66498111349036404</v>
      </c>
      <c r="BK141" s="37">
        <f t="shared" si="345"/>
        <v>2.3427994038758837E-2</v>
      </c>
      <c r="BL141" s="38">
        <f t="shared" si="345"/>
        <v>56703.834649999997</v>
      </c>
      <c r="BM141" s="37">
        <f t="shared" si="345"/>
        <v>0.91296944386821954</v>
      </c>
      <c r="BN141" s="7">
        <f t="shared" si="345"/>
        <v>1318.4361690011674</v>
      </c>
      <c r="BO141" s="38">
        <f t="shared" si="345"/>
        <v>52102.841099999998</v>
      </c>
      <c r="BP141" s="37">
        <f t="shared" si="345"/>
        <v>0.91885921686955963</v>
      </c>
      <c r="BQ141" s="50">
        <f t="shared" si="345"/>
        <v>3597.8863761314974</v>
      </c>
      <c r="BR141" s="98">
        <f t="shared" si="319"/>
        <v>0.55784626445396146</v>
      </c>
      <c r="BS141" s="110">
        <f>INDEX(Daggett!$B$7:$M$21, MATCH(BF141,Daggett!$A$7:$A$21,0), MATCH(BD$135,Daggett!$B$6:$M$6,0))</f>
        <v>784.87096774193549</v>
      </c>
      <c r="BT141" s="4">
        <f t="shared" si="320"/>
        <v>0.86082672585528786</v>
      </c>
      <c r="BU141" s="98">
        <f t="shared" si="331"/>
        <v>0.48020897336050672</v>
      </c>
      <c r="BV141" s="111">
        <f t="shared" si="332"/>
        <v>0.89076693763822612</v>
      </c>
      <c r="BW141" s="98">
        <f t="shared" si="333"/>
        <v>0.4969110086605793</v>
      </c>
      <c r="BX141" s="38"/>
      <c r="BY141" s="37"/>
      <c r="BZ141" s="37"/>
      <c r="CA141" s="38"/>
      <c r="CB141" s="37"/>
      <c r="CC141" s="7"/>
      <c r="CD141" s="41"/>
      <c r="CE141" s="37"/>
    </row>
    <row r="142" spans="2:83">
      <c r="D142" s="38">
        <v>15</v>
      </c>
      <c r="E142" s="93">
        <f t="shared" si="321"/>
        <v>81703.284635417207</v>
      </c>
      <c r="F142" s="37">
        <f t="shared" si="321"/>
        <v>0.87476750144986304</v>
      </c>
      <c r="G142" s="38">
        <f t="shared" si="321"/>
        <v>66390.298999999999</v>
      </c>
      <c r="H142" s="37">
        <f t="shared" si="321"/>
        <v>0.71081690578158452</v>
      </c>
      <c r="I142" s="37">
        <f t="shared" si="321"/>
        <v>0.11676294532987386</v>
      </c>
      <c r="J142" s="38">
        <f t="shared" si="321"/>
        <v>62625.15</v>
      </c>
      <c r="K142" s="37">
        <f t="shared" si="321"/>
        <v>0.94328766315693202</v>
      </c>
      <c r="L142" s="7">
        <f t="shared" si="321"/>
        <v>1456.1142709088981</v>
      </c>
      <c r="M142" s="38">
        <f t="shared" si="321"/>
        <v>57461.8</v>
      </c>
      <c r="N142" s="37">
        <f t="shared" si="321"/>
        <v>0.91755149488663901</v>
      </c>
      <c r="O142" s="50">
        <f t="shared" si="321"/>
        <v>3967.9415364547731</v>
      </c>
      <c r="P142" s="98">
        <f>P136</f>
        <v>0.61522269807280516</v>
      </c>
      <c r="Q142" s="110">
        <f>INDEX(Daggett!$B$7:$M$21, MATCH(D142,Daggett!$A$7:$A$21,0), MATCH(B$135,Daggett!$B$6:$M$6,0))</f>
        <v>743.32258064516134</v>
      </c>
      <c r="R142" s="4">
        <f t="shared" si="315"/>
        <v>0.86675253281021203</v>
      </c>
      <c r="S142" s="98">
        <f t="shared" si="322"/>
        <v>0.53324583179693619</v>
      </c>
      <c r="T142" s="111">
        <f t="shared" si="323"/>
        <v>0.90095414882405533</v>
      </c>
      <c r="U142" s="98">
        <f t="shared" si="324"/>
        <v>0.55428744227942295</v>
      </c>
      <c r="AE142" s="38">
        <v>15</v>
      </c>
      <c r="AF142" s="93">
        <f t="shared" ref="AF142:AP142" si="346">AF84</f>
        <v>87905.958803609727</v>
      </c>
      <c r="AG142" s="37">
        <f t="shared" si="346"/>
        <v>0.94117728911787712</v>
      </c>
      <c r="AH142" s="38">
        <f t="shared" si="346"/>
        <v>70350.945999999996</v>
      </c>
      <c r="AI142" s="37">
        <f t="shared" si="346"/>
        <v>0.75322211991434684</v>
      </c>
      <c r="AJ142" s="37">
        <f t="shared" si="346"/>
        <v>0.1301110800002182</v>
      </c>
      <c r="AK142" s="38">
        <f t="shared" si="346"/>
        <v>66931.693994885994</v>
      </c>
      <c r="AL142" s="37">
        <f t="shared" si="346"/>
        <v>0.95139721354828688</v>
      </c>
      <c r="AM142" s="7">
        <f t="shared" si="346"/>
        <v>1556.2468880643144</v>
      </c>
      <c r="AN142" s="38">
        <f t="shared" si="346"/>
        <v>61167.409800000001</v>
      </c>
      <c r="AO142" s="37">
        <f t="shared" si="346"/>
        <v>0.91387810690513194</v>
      </c>
      <c r="AP142" s="50">
        <f t="shared" si="346"/>
        <v>4223.8270646372148</v>
      </c>
      <c r="AQ142" s="98">
        <f t="shared" si="326"/>
        <v>0.65489732119914346</v>
      </c>
      <c r="AR142" s="110">
        <f>INDEX(Daggett!$B$7:$M$21, MATCH(AE142,Daggett!$A$7:$A$21,0), MATCH(AC$135,Daggett!$B$6:$M$6,0))</f>
        <v>743.32258064516134</v>
      </c>
      <c r="AS142" s="4">
        <f t="shared" si="317"/>
        <v>0.87482485632134521</v>
      </c>
      <c r="AT142" s="98">
        <f t="shared" si="327"/>
        <v>0.57292045492327459</v>
      </c>
      <c r="AU142" s="111">
        <f t="shared" si="328"/>
        <v>0.90695448916815347</v>
      </c>
      <c r="AV142" s="98">
        <f t="shared" si="329"/>
        <v>0.59396206540576124</v>
      </c>
      <c r="AW142" s="38"/>
      <c r="AX142" s="37"/>
      <c r="AY142" s="38"/>
      <c r="AZ142" s="37"/>
      <c r="BA142" s="37"/>
      <c r="BB142" s="38"/>
      <c r="BC142" s="37"/>
      <c r="BF142" s="38">
        <v>15</v>
      </c>
      <c r="BG142" s="93">
        <f t="shared" ref="BG142:BQ142" si="347">BG84</f>
        <v>63197.675198209414</v>
      </c>
      <c r="BH142" s="37">
        <f t="shared" si="347"/>
        <v>0.67663463809646052</v>
      </c>
      <c r="BI142" s="38">
        <f t="shared" si="347"/>
        <v>56674.603999999999</v>
      </c>
      <c r="BJ142" s="37">
        <f t="shared" si="347"/>
        <v>0.6067944753747323</v>
      </c>
      <c r="BK142" s="37">
        <f t="shared" si="347"/>
        <v>2.5235813792593431E-2</v>
      </c>
      <c r="BL142" s="38">
        <f t="shared" si="347"/>
        <v>50520.569000000003</v>
      </c>
      <c r="BM142" s="37">
        <f t="shared" si="347"/>
        <v>0.89141459197491713</v>
      </c>
      <c r="BN142" s="7">
        <f t="shared" si="347"/>
        <v>1174.6673899437797</v>
      </c>
      <c r="BO142" s="38">
        <f t="shared" si="347"/>
        <v>46431.324000000001</v>
      </c>
      <c r="BP142" s="37">
        <f t="shared" si="347"/>
        <v>0.91905781979613088</v>
      </c>
      <c r="BQ142" s="50">
        <f t="shared" si="347"/>
        <v>3206.2479611183321</v>
      </c>
      <c r="BR142" s="98">
        <f t="shared" si="319"/>
        <v>0.49712338329764455</v>
      </c>
      <c r="BS142" s="110">
        <f>INDEX(Daggett!$B$7:$M$21, MATCH(BF142,Daggett!$A$7:$A$21,0), MATCH(BD$135,Daggett!$B$6:$M$6,0))</f>
        <v>743.32258064516134</v>
      </c>
      <c r="BT142" s="4">
        <f t="shared" si="320"/>
        <v>0.8350975451364222</v>
      </c>
      <c r="BU142" s="98">
        <f t="shared" si="331"/>
        <v>0.41514651702177563</v>
      </c>
      <c r="BV142" s="111">
        <f t="shared" si="332"/>
        <v>0.87742428169608311</v>
      </c>
      <c r="BW142" s="98">
        <f t="shared" si="333"/>
        <v>0.43618812750426239</v>
      </c>
      <c r="BX142" s="38"/>
      <c r="BY142" s="37"/>
      <c r="BZ142" s="37"/>
      <c r="CA142" s="38"/>
      <c r="CB142" s="37"/>
      <c r="CC142" s="7"/>
      <c r="CD142" s="41"/>
      <c r="CE142" s="37"/>
    </row>
    <row r="143" spans="2:83">
      <c r="C143" s="7" t="s">
        <v>160</v>
      </c>
      <c r="D143" s="38">
        <v>16</v>
      </c>
      <c r="E143" s="93">
        <f t="shared" si="321"/>
        <v>76753.263206747331</v>
      </c>
      <c r="F143" s="37">
        <f t="shared" si="321"/>
        <v>0.82176941334847253</v>
      </c>
      <c r="G143" s="38">
        <f t="shared" si="321"/>
        <v>57191.5</v>
      </c>
      <c r="H143" s="37">
        <f t="shared" si="321"/>
        <v>0.61232869379014987</v>
      </c>
      <c r="I143" s="37">
        <f t="shared" si="321"/>
        <v>0.19007125800511093</v>
      </c>
      <c r="J143" s="38">
        <f t="shared" si="321"/>
        <v>53176.472000000002</v>
      </c>
      <c r="K143" s="37">
        <f t="shared" si="321"/>
        <v>0.92979677049911269</v>
      </c>
      <c r="L143" s="7">
        <f t="shared" si="321"/>
        <v>1236.4205076680446</v>
      </c>
      <c r="M143" s="38">
        <f t="shared" si="321"/>
        <v>48674.91</v>
      </c>
      <c r="N143" s="37">
        <f t="shared" si="321"/>
        <v>0.91534673454831683</v>
      </c>
      <c r="O143" s="50">
        <f t="shared" si="321"/>
        <v>3361.1755491856816</v>
      </c>
      <c r="P143" s="98">
        <f>P135</f>
        <v>0.52114464668094218</v>
      </c>
      <c r="Q143" s="110">
        <f>INDEX(Daggett!$B$7:$M$21, MATCH(D143,Daggett!$A$7:$A$21,0), MATCH(B$135,Daggett!$B$6:$M$6,0))</f>
        <v>663.41935483870964</v>
      </c>
      <c r="R143" s="4">
        <f t="shared" si="315"/>
        <v>0.82375280252256466</v>
      </c>
      <c r="S143" s="98">
        <f t="shared" si="322"/>
        <v>0.42929436322305792</v>
      </c>
      <c r="T143" s="111">
        <f t="shared" si="323"/>
        <v>0.88307419795738917</v>
      </c>
      <c r="U143" s="98">
        <f t="shared" si="324"/>
        <v>0.46020939088755997</v>
      </c>
      <c r="AD143" s="7" t="s">
        <v>160</v>
      </c>
      <c r="AE143" s="38">
        <v>16</v>
      </c>
      <c r="AF143" s="93">
        <f t="shared" ref="AF143:AP143" si="348">AF85</f>
        <v>88530.375909501512</v>
      </c>
      <c r="AG143" s="37">
        <f t="shared" si="348"/>
        <v>0.94786269710387061</v>
      </c>
      <c r="AH143" s="38">
        <f t="shared" si="348"/>
        <v>59869.544999999998</v>
      </c>
      <c r="AI143" s="37">
        <f t="shared" si="348"/>
        <v>0.64100155246252677</v>
      </c>
      <c r="AJ143" s="37">
        <f t="shared" si="348"/>
        <v>0.26493486870736171</v>
      </c>
      <c r="AK143" s="38">
        <f t="shared" si="348"/>
        <v>56819.754999999997</v>
      </c>
      <c r="AL143" s="37">
        <f t="shared" si="348"/>
        <v>0.94905940908687381</v>
      </c>
      <c r="AM143" s="7">
        <f t="shared" si="348"/>
        <v>1321.1314643565279</v>
      </c>
      <c r="AN143" s="38">
        <f t="shared" si="348"/>
        <v>51776.73</v>
      </c>
      <c r="AO143" s="37">
        <f t="shared" si="348"/>
        <v>0.9112452174424196</v>
      </c>
      <c r="AP143" s="50">
        <f t="shared" si="348"/>
        <v>3575.3672455231813</v>
      </c>
      <c r="AQ143" s="98">
        <f t="shared" si="326"/>
        <v>0.55435471092077093</v>
      </c>
      <c r="AR143" s="110">
        <f>INDEX(Daggett!$B$7:$M$21, MATCH(AE143,Daggett!$A$7:$A$21,0), MATCH(AC$135,Daggett!$B$6:$M$6,0))</f>
        <v>663.41935483870964</v>
      </c>
      <c r="AS143" s="4">
        <f t="shared" si="317"/>
        <v>0.8343113503891344</v>
      </c>
      <c r="AT143" s="98">
        <f t="shared" si="327"/>
        <v>0.46250442746288661</v>
      </c>
      <c r="AU143" s="111">
        <f t="shared" si="328"/>
        <v>0.89007894297106249</v>
      </c>
      <c r="AV143" s="98">
        <f t="shared" si="329"/>
        <v>0.49341945512738872</v>
      </c>
      <c r="AW143" s="38"/>
      <c r="AX143" s="37"/>
      <c r="AY143" s="38"/>
      <c r="AZ143" s="37"/>
      <c r="BA143" s="37"/>
      <c r="BB143" s="38"/>
      <c r="BC143" s="37"/>
      <c r="BE143" s="7" t="s">
        <v>160</v>
      </c>
      <c r="BF143" s="38">
        <v>16</v>
      </c>
      <c r="BG143" s="93">
        <f t="shared" ref="BG143:BQ143" si="349">BG85</f>
        <v>57127.779229957436</v>
      </c>
      <c r="BH143" s="37">
        <f t="shared" si="349"/>
        <v>0.61164645856485478</v>
      </c>
      <c r="BI143" s="38">
        <f t="shared" si="349"/>
        <v>48823.566189999998</v>
      </c>
      <c r="BJ143" s="37">
        <f t="shared" si="349"/>
        <v>0.52273625471092078</v>
      </c>
      <c r="BK143" s="37">
        <f t="shared" si="349"/>
        <v>7.104574341735459E-2</v>
      </c>
      <c r="BL143" s="38">
        <f t="shared" si="349"/>
        <v>42340.887000000002</v>
      </c>
      <c r="BM143" s="37">
        <f t="shared" si="349"/>
        <v>0.86722233347780786</v>
      </c>
      <c r="BN143" s="7">
        <f t="shared" si="349"/>
        <v>984.47939531707391</v>
      </c>
      <c r="BO143" s="38">
        <f t="shared" si="349"/>
        <v>38764.085700000003</v>
      </c>
      <c r="BP143" s="37">
        <f t="shared" si="349"/>
        <v>0.91552370407355899</v>
      </c>
      <c r="BQ143" s="50">
        <f t="shared" si="349"/>
        <v>2676.797903506721</v>
      </c>
      <c r="BR143" s="98">
        <f t="shared" si="319"/>
        <v>0.41503303747323345</v>
      </c>
      <c r="BS143" s="110">
        <f>INDEX(Daggett!$B$7:$M$21, MATCH(BF143,Daggett!$A$7:$A$21,0), MATCH(BD$135,Daggett!$B$6:$M$6,0))</f>
        <v>663.41935483870964</v>
      </c>
      <c r="BT143" s="4">
        <f t="shared" si="320"/>
        <v>0.77869163376226902</v>
      </c>
      <c r="BU143" s="98">
        <f t="shared" si="331"/>
        <v>0.32318275401534918</v>
      </c>
      <c r="BV143" s="111">
        <f t="shared" si="332"/>
        <v>0.8531797464501556</v>
      </c>
      <c r="BW143" s="98">
        <f t="shared" si="333"/>
        <v>0.35409778167985123</v>
      </c>
      <c r="BX143" s="38"/>
      <c r="BY143" s="37"/>
      <c r="BZ143" s="37"/>
      <c r="CA143" s="38"/>
      <c r="CB143" s="37"/>
      <c r="CC143" s="7"/>
      <c r="CD143" s="41"/>
      <c r="CE143" s="37"/>
    </row>
    <row r="144" spans="2:83">
      <c r="C144" s="7">
        <f>ROW(D144)-ROW(D134)+1</f>
        <v>11</v>
      </c>
      <c r="D144" s="38">
        <v>17</v>
      </c>
      <c r="E144" s="93">
        <f t="shared" si="321"/>
        <v>70553.508144956606</v>
      </c>
      <c r="F144" s="37">
        <f t="shared" si="321"/>
        <v>0.75539087949632344</v>
      </c>
      <c r="G144" s="38">
        <f t="shared" si="321"/>
        <v>36975</v>
      </c>
      <c r="H144" s="37">
        <f t="shared" si="321"/>
        <v>0.39587794432548179</v>
      </c>
      <c r="I144" s="37">
        <f t="shared" si="321"/>
        <v>0.43035834151958785</v>
      </c>
      <c r="J144" s="38">
        <f t="shared" si="321"/>
        <v>33574.82</v>
      </c>
      <c r="K144" s="37">
        <f t="shared" si="321"/>
        <v>0.90804110885733602</v>
      </c>
      <c r="L144" s="7">
        <f t="shared" si="321"/>
        <v>780.65720473639567</v>
      </c>
      <c r="M144" s="38">
        <f t="shared" si="321"/>
        <v>30551.144</v>
      </c>
      <c r="N144" s="37">
        <f t="shared" si="321"/>
        <v>0.90994215307781245</v>
      </c>
      <c r="O144" s="50">
        <f t="shared" si="321"/>
        <v>2109.6650864367462</v>
      </c>
      <c r="P144" s="98">
        <f>P134</f>
        <v>0.32710004282655247</v>
      </c>
      <c r="Q144" s="110">
        <f>INDEX(Daggett!$B$7:$M$21, MATCH(D144,Daggett!$A$7:$A$21,0), MATCH(B$135,Daggett!$B$6:$M$6,0))</f>
        <v>569.51612903225805</v>
      </c>
      <c r="R144" s="4">
        <f t="shared" si="315"/>
        <v>0.67289889631559729</v>
      </c>
      <c r="S144" s="98">
        <f t="shared" si="322"/>
        <v>0.22010525780277176</v>
      </c>
      <c r="T144" s="111">
        <f t="shared" si="323"/>
        <v>0.81371064562747975</v>
      </c>
      <c r="U144" s="98">
        <f t="shared" si="324"/>
        <v>0.26616478703317031</v>
      </c>
      <c r="AD144" s="7">
        <f>ROW(AE144)-ROW(AE134)+1</f>
        <v>11</v>
      </c>
      <c r="AE144" s="38">
        <v>17</v>
      </c>
      <c r="AF144" s="93">
        <f t="shared" ref="AF144:AP144" si="350">AF86</f>
        <v>87985.346709364938</v>
      </c>
      <c r="AG144" s="37">
        <f t="shared" si="350"/>
        <v>0.94202726669555603</v>
      </c>
      <c r="AH144" s="38">
        <f t="shared" si="350"/>
        <v>42101.48</v>
      </c>
      <c r="AI144" s="37">
        <f t="shared" si="350"/>
        <v>0.4507653104925054</v>
      </c>
      <c r="AJ144" s="37">
        <f t="shared" si="350"/>
        <v>0.47988523120749693</v>
      </c>
      <c r="AK144" s="38">
        <f t="shared" si="350"/>
        <v>39875.580499999996</v>
      </c>
      <c r="AL144" s="37">
        <f t="shared" si="350"/>
        <v>0.94713013651776601</v>
      </c>
      <c r="AM144" s="7">
        <f t="shared" si="350"/>
        <v>927.15788827374581</v>
      </c>
      <c r="AN144" s="38">
        <f t="shared" si="350"/>
        <v>36463.56</v>
      </c>
      <c r="AO144" s="37">
        <f t="shared" si="350"/>
        <v>0.91443333345328981</v>
      </c>
      <c r="AP144" s="50">
        <f t="shared" si="350"/>
        <v>2517.938426763707</v>
      </c>
      <c r="AQ144" s="98">
        <f t="shared" si="326"/>
        <v>0.39040214132762308</v>
      </c>
      <c r="AR144" s="110">
        <f>INDEX(Daggett!$B$7:$M$21, MATCH(AE144,Daggett!$A$7:$A$21,0), MATCH(AC$135,Daggett!$B$6:$M$6,0))</f>
        <v>569.51612903225805</v>
      </c>
      <c r="AS144" s="4">
        <f t="shared" si="317"/>
        <v>0.72593699240498966</v>
      </c>
      <c r="AT144" s="98">
        <f t="shared" si="327"/>
        <v>0.28340735630384239</v>
      </c>
      <c r="AU144" s="111">
        <f t="shared" si="328"/>
        <v>0.8439166968035513</v>
      </c>
      <c r="AV144" s="98">
        <f t="shared" si="329"/>
        <v>0.32946688553424086</v>
      </c>
      <c r="AW144" s="38"/>
      <c r="AX144" s="37"/>
      <c r="AY144" s="38"/>
      <c r="AZ144" s="37"/>
      <c r="BA144" s="37"/>
      <c r="BB144" s="38"/>
      <c r="BC144" s="37"/>
      <c r="BE144" s="7">
        <f>ROW(BF144)-ROW(BF134)+1</f>
        <v>11</v>
      </c>
      <c r="BF144" s="38">
        <v>17</v>
      </c>
      <c r="BG144" s="93">
        <f t="shared" ref="BG144:BQ144" si="351">BG86</f>
        <v>51357.305623100983</v>
      </c>
      <c r="BH144" s="37">
        <f t="shared" si="351"/>
        <v>0.54986408590043878</v>
      </c>
      <c r="BI144" s="38">
        <f t="shared" si="351"/>
        <v>36112.660000000003</v>
      </c>
      <c r="BJ144" s="37">
        <f t="shared" si="351"/>
        <v>0.38664518201284798</v>
      </c>
      <c r="BK144" s="37">
        <f t="shared" si="351"/>
        <v>0.23569021333760309</v>
      </c>
      <c r="BL144" s="38">
        <f t="shared" si="351"/>
        <v>30059.07</v>
      </c>
      <c r="BM144" s="37">
        <f t="shared" si="351"/>
        <v>0.83236931314392226</v>
      </c>
      <c r="BN144" s="7">
        <f t="shared" si="351"/>
        <v>698.91155226373962</v>
      </c>
      <c r="BO144" s="38">
        <f t="shared" si="351"/>
        <v>27936.46</v>
      </c>
      <c r="BP144" s="37">
        <f t="shared" si="351"/>
        <v>0.92938537353284711</v>
      </c>
      <c r="BQ144" s="50">
        <f t="shared" si="351"/>
        <v>1929.111862411329</v>
      </c>
      <c r="BR144" s="98">
        <f t="shared" si="319"/>
        <v>0.2991055674518201</v>
      </c>
      <c r="BS144" s="110">
        <f>INDEX(Daggett!$B$7:$M$21, MATCH(BF144,Daggett!$A$7:$A$21,0), MATCH(BD$135,Daggett!$B$6:$M$6,0))</f>
        <v>569.51612903225805</v>
      </c>
      <c r="BT144" s="4">
        <f t="shared" si="320"/>
        <v>0.64228420776214601</v>
      </c>
      <c r="BU144" s="98">
        <f t="shared" si="331"/>
        <v>0.19211078242803939</v>
      </c>
      <c r="BV144" s="111">
        <f t="shared" si="332"/>
        <v>0.79627508671099001</v>
      </c>
      <c r="BW144" s="98">
        <f t="shared" si="333"/>
        <v>0.23817031165843791</v>
      </c>
      <c r="BX144" s="38"/>
      <c r="BY144" s="37"/>
      <c r="BZ144" s="37"/>
      <c r="CA144" s="38"/>
      <c r="CB144" s="37"/>
      <c r="CC144" s="7"/>
      <c r="CD144" s="41"/>
      <c r="CE144" s="37"/>
    </row>
    <row r="145" spans="2:83">
      <c r="C145" s="7"/>
      <c r="D145" s="38"/>
      <c r="E145" s="93"/>
      <c r="F145" s="37"/>
      <c r="G145" s="38"/>
      <c r="H145" s="37"/>
      <c r="I145" s="37"/>
      <c r="J145" s="38"/>
      <c r="K145" s="37"/>
      <c r="L145" s="7"/>
      <c r="M145" s="38"/>
      <c r="N145" s="37"/>
      <c r="O145" s="50"/>
      <c r="P145" s="98"/>
      <c r="Q145" s="111"/>
      <c r="R145" s="4"/>
      <c r="S145" s="98"/>
      <c r="T145" s="111"/>
      <c r="U145" s="98"/>
      <c r="AD145" s="7"/>
      <c r="AE145" s="38"/>
      <c r="AF145" s="93"/>
      <c r="AG145" s="37"/>
      <c r="AH145" s="38"/>
      <c r="AI145" s="37"/>
      <c r="AJ145" s="37"/>
      <c r="AK145" s="38"/>
      <c r="AL145" s="37"/>
      <c r="AM145" s="7"/>
      <c r="AN145" s="38"/>
      <c r="AO145" s="37"/>
      <c r="AP145" s="50"/>
      <c r="AQ145" s="98"/>
      <c r="AR145" s="111"/>
      <c r="AS145" s="4"/>
      <c r="AT145" s="98"/>
      <c r="AU145" s="111"/>
      <c r="AV145" s="98"/>
      <c r="AW145" s="38"/>
      <c r="AX145" s="37"/>
      <c r="AY145" s="38"/>
      <c r="AZ145" s="37"/>
      <c r="BA145" s="37"/>
      <c r="BB145" s="38"/>
      <c r="BC145" s="37"/>
      <c r="BE145" s="7"/>
      <c r="BF145" s="38"/>
      <c r="BG145" s="93"/>
      <c r="BH145" s="37"/>
      <c r="BI145" s="38"/>
      <c r="BJ145" s="37"/>
      <c r="BK145" s="37"/>
      <c r="BL145" s="38"/>
      <c r="BM145" s="37"/>
      <c r="BN145" s="7"/>
      <c r="BO145" s="38"/>
      <c r="BP145" s="37"/>
      <c r="BQ145" s="50"/>
      <c r="BR145" s="98"/>
      <c r="BS145" s="111"/>
      <c r="BT145" s="4"/>
      <c r="BU145" s="98"/>
      <c r="BV145" s="111"/>
      <c r="BW145" s="98"/>
      <c r="BX145" s="38"/>
      <c r="BY145" s="37"/>
      <c r="BZ145" s="37"/>
      <c r="CA145" s="38"/>
      <c r="CB145" s="37"/>
      <c r="CC145" s="7"/>
      <c r="CD145" s="41"/>
      <c r="CE145" s="37"/>
    </row>
    <row r="146" spans="2:83">
      <c r="E146" s="94"/>
      <c r="P146" s="95"/>
      <c r="Q146" s="94"/>
      <c r="S146" s="95"/>
      <c r="T146" s="94"/>
      <c r="U146" s="95"/>
      <c r="AF146" s="94"/>
      <c r="AQ146" s="95"/>
      <c r="AR146" s="94"/>
      <c r="AT146" s="95"/>
      <c r="AU146" s="94"/>
      <c r="AV146" s="95"/>
      <c r="AW146" s="38"/>
      <c r="AX146" s="37"/>
      <c r="AY146" s="38"/>
      <c r="AZ146" s="37"/>
      <c r="BA146" s="37"/>
      <c r="BB146" s="38"/>
      <c r="BC146" s="37"/>
      <c r="BG146" s="94"/>
      <c r="BR146" s="95"/>
      <c r="BS146" s="94"/>
      <c r="BU146" s="95"/>
      <c r="BV146" s="94"/>
      <c r="BW146" s="95"/>
      <c r="BX146" s="38"/>
      <c r="BY146" s="37"/>
      <c r="BZ146" s="37"/>
      <c r="CA146" s="38"/>
      <c r="CB146" s="37"/>
      <c r="CC146" s="7"/>
      <c r="CD146" s="41"/>
      <c r="CE146" s="37"/>
    </row>
    <row r="147" spans="2:83" ht="49.5">
      <c r="B147" s="34"/>
      <c r="C147" s="64" t="s">
        <v>149</v>
      </c>
      <c r="D147" s="64" t="s">
        <v>87</v>
      </c>
      <c r="E147" s="96" t="s">
        <v>150</v>
      </c>
      <c r="F147" s="64" t="s">
        <v>123</v>
      </c>
      <c r="G147" s="64" t="s">
        <v>151</v>
      </c>
      <c r="H147" s="33" t="s">
        <v>152</v>
      </c>
      <c r="I147" s="34" t="s">
        <v>153</v>
      </c>
      <c r="J147" s="92" t="s">
        <v>154</v>
      </c>
      <c r="K147" s="35" t="s">
        <v>155</v>
      </c>
      <c r="L147" s="35" t="s">
        <v>156</v>
      </c>
      <c r="M147" s="92" t="s">
        <v>157</v>
      </c>
      <c r="N147" s="35" t="s">
        <v>70</v>
      </c>
      <c r="O147" s="35" t="s">
        <v>158</v>
      </c>
      <c r="P147" s="107" t="s">
        <v>127</v>
      </c>
      <c r="Q147" s="150" t="s">
        <v>159</v>
      </c>
      <c r="R147" s="69" t="s">
        <v>128</v>
      </c>
      <c r="S147" s="107" t="s">
        <v>129</v>
      </c>
      <c r="T147" s="114" t="s">
        <v>128</v>
      </c>
      <c r="U147" s="107" t="s">
        <v>129</v>
      </c>
      <c r="AC147" s="34"/>
      <c r="AD147" s="64" t="s">
        <v>149</v>
      </c>
      <c r="AE147" s="64" t="s">
        <v>87</v>
      </c>
      <c r="AF147" s="96" t="s">
        <v>150</v>
      </c>
      <c r="AG147" s="64" t="s">
        <v>123</v>
      </c>
      <c r="AH147" s="64" t="s">
        <v>151</v>
      </c>
      <c r="AI147" s="33" t="s">
        <v>152</v>
      </c>
      <c r="AJ147" s="34" t="s">
        <v>153</v>
      </c>
      <c r="AK147" s="92" t="s">
        <v>154</v>
      </c>
      <c r="AL147" s="35" t="s">
        <v>155</v>
      </c>
      <c r="AM147" s="35" t="s">
        <v>156</v>
      </c>
      <c r="AN147" s="92" t="s">
        <v>157</v>
      </c>
      <c r="AO147" s="35" t="s">
        <v>70</v>
      </c>
      <c r="AP147" s="35" t="s">
        <v>158</v>
      </c>
      <c r="AQ147" s="107" t="s">
        <v>127</v>
      </c>
      <c r="AR147" s="150" t="s">
        <v>159</v>
      </c>
      <c r="AS147" s="69" t="s">
        <v>128</v>
      </c>
      <c r="AT147" s="107" t="s">
        <v>129</v>
      </c>
      <c r="AU147" s="114" t="s">
        <v>128</v>
      </c>
      <c r="AV147" s="107" t="s">
        <v>129</v>
      </c>
      <c r="AW147" s="38"/>
      <c r="AX147" s="37"/>
      <c r="AY147" s="38"/>
      <c r="AZ147" s="37"/>
      <c r="BA147" s="37"/>
      <c r="BB147" s="38"/>
      <c r="BC147" s="37"/>
      <c r="BD147" s="34"/>
      <c r="BE147" s="64" t="s">
        <v>149</v>
      </c>
      <c r="BF147" s="64" t="s">
        <v>87</v>
      </c>
      <c r="BG147" s="96" t="s">
        <v>150</v>
      </c>
      <c r="BH147" s="64" t="s">
        <v>123</v>
      </c>
      <c r="BI147" s="64" t="s">
        <v>151</v>
      </c>
      <c r="BJ147" s="33" t="s">
        <v>152</v>
      </c>
      <c r="BK147" s="34" t="s">
        <v>153</v>
      </c>
      <c r="BL147" s="92" t="s">
        <v>154</v>
      </c>
      <c r="BM147" s="35" t="s">
        <v>155</v>
      </c>
      <c r="BN147" s="35" t="s">
        <v>156</v>
      </c>
      <c r="BO147" s="92" t="s">
        <v>157</v>
      </c>
      <c r="BP147" s="35" t="s">
        <v>70</v>
      </c>
      <c r="BQ147" s="35" t="s">
        <v>158</v>
      </c>
      <c r="BR147" s="107" t="s">
        <v>127</v>
      </c>
      <c r="BS147" s="150" t="s">
        <v>159</v>
      </c>
      <c r="BT147" s="69" t="s">
        <v>128</v>
      </c>
      <c r="BU147" s="107" t="s">
        <v>129</v>
      </c>
      <c r="BV147" s="114" t="s">
        <v>128</v>
      </c>
      <c r="BW147" s="107" t="s">
        <v>129</v>
      </c>
      <c r="BX147" s="38"/>
      <c r="BY147" s="37"/>
      <c r="BZ147" s="37"/>
      <c r="CA147" s="38"/>
      <c r="CB147" s="37"/>
      <c r="CC147" s="7"/>
      <c r="CD147" s="41"/>
      <c r="CE147" s="37"/>
    </row>
    <row r="148" spans="2:83">
      <c r="B148" s="2" t="s">
        <v>86</v>
      </c>
      <c r="C148" s="7">
        <v>264</v>
      </c>
      <c r="D148" s="38">
        <v>7</v>
      </c>
      <c r="E148" s="93">
        <f>E61</f>
        <v>72563.325603432488</v>
      </c>
      <c r="F148" s="37">
        <f t="shared" ref="F148:O148" si="352">F61</f>
        <v>0.7769092677027033</v>
      </c>
      <c r="G148" s="38">
        <f t="shared" si="352"/>
        <v>34367.46</v>
      </c>
      <c r="H148" s="37">
        <f t="shared" si="352"/>
        <v>0.36795995717344754</v>
      </c>
      <c r="I148" s="37">
        <f t="shared" si="352"/>
        <v>0.48519538662321682</v>
      </c>
      <c r="J148" s="38">
        <f t="shared" si="352"/>
        <v>31399.86</v>
      </c>
      <c r="K148" s="37">
        <f t="shared" si="352"/>
        <v>0.91365087789438038</v>
      </c>
      <c r="L148" s="7">
        <f t="shared" si="352"/>
        <v>730.08662255565821</v>
      </c>
      <c r="M148" s="38">
        <f t="shared" si="352"/>
        <v>28742.41158</v>
      </c>
      <c r="N148" s="37">
        <f t="shared" si="352"/>
        <v>0.91536750737105199</v>
      </c>
      <c r="O148" s="50">
        <f t="shared" si="352"/>
        <v>1984.7656837439943</v>
      </c>
      <c r="P148" s="98">
        <f t="shared" ref="P148:P153" si="353">M148/$C$10</f>
        <v>0.30773459935760172</v>
      </c>
      <c r="Q148" s="110">
        <f>INDEX(Daggett!$B$7:$M$21, MATCH(D148,Daggett!$A$7:$A$21,0), MATCH(B$149,Daggett!$B$6:$M$6,0))</f>
        <v>475.83870967741933</v>
      </c>
      <c r="R148" s="4">
        <f t="shared" ref="R148:R158" si="354">IF(1-$H$7*(($H$5+273)^4-298^4)*(PI()*$C$19^2)*1000/(M148*Q148*1000)&lt;0,#N/A,1-$H$7*(($H$5+273)^4-298^4)*(PI()*$C$19^2)*1000/(M148*Q148*1000))</f>
        <v>0.58386663187495513</v>
      </c>
      <c r="S148" s="98">
        <f>R148*P148</f>
        <v>0.17967596403831165</v>
      </c>
      <c r="T148" s="111">
        <f>IF(1-$H$7*(($H$5+273)^4-298^4)/(O148*1000)&lt;0,#N/A,1-$H$7*(($H$5+273)^4-298^4)/(O148*1000))</f>
        <v>0.80198763505766002</v>
      </c>
      <c r="U148" s="98">
        <f>T148*P148</f>
        <v>0.24679934356421951</v>
      </c>
      <c r="AC148" s="2" t="s">
        <v>86</v>
      </c>
      <c r="AD148" s="7">
        <v>264</v>
      </c>
      <c r="AE148" s="38">
        <v>7</v>
      </c>
      <c r="AF148" s="93">
        <f>AF61</f>
        <v>45487.114658363287</v>
      </c>
      <c r="AG148" s="37">
        <f t="shared" ref="AG148:AP148" si="355">AG61</f>
        <v>0.48701407557134141</v>
      </c>
      <c r="AH148" s="38">
        <f t="shared" si="355"/>
        <v>25025.050200000001</v>
      </c>
      <c r="AI148" s="37">
        <f t="shared" si="355"/>
        <v>0.26793415631691653</v>
      </c>
      <c r="AJ148" s="37">
        <f t="shared" si="355"/>
        <v>0.4020033645563863</v>
      </c>
      <c r="AK148" s="38">
        <f t="shared" si="355"/>
        <v>19879.028620000001</v>
      </c>
      <c r="AL148" s="37">
        <f t="shared" si="355"/>
        <v>0.79436518453017924</v>
      </c>
      <c r="AM148" s="7">
        <f t="shared" si="355"/>
        <v>462.21266161260166</v>
      </c>
      <c r="AN148" s="38">
        <f t="shared" si="355"/>
        <v>18446.386999999999</v>
      </c>
      <c r="AO148" s="37">
        <f t="shared" si="355"/>
        <v>0.92793201079459975</v>
      </c>
      <c r="AP148" s="50">
        <f t="shared" si="355"/>
        <v>1273.7885895467832</v>
      </c>
      <c r="AQ148" s="98">
        <f>AN148/$C$10</f>
        <v>0.19749879014989291</v>
      </c>
      <c r="AR148" s="110">
        <f>INDEX(Daggett!$B$7:$M$21, MATCH(AE148,Daggett!$A$7:$A$21,0), MATCH(AC$149,Daggett!$B$6:$M$6,0))</f>
        <v>475.83870967741933</v>
      </c>
      <c r="AS148" s="4">
        <f t="shared" ref="AS148:AS158" si="356">IF(1-$H$7*(($H$5+273)^4-298^4)*(PI()*$C$19^2)*1000/(AN148*AR148*1000)&lt;0,#N/A,1-$H$7*(($H$5+273)^4-298^4)*(PI()*$C$19^2)*1000/(AN148*AR148*1000))</f>
        <v>0.35159787448774149</v>
      </c>
      <c r="AT148" s="98">
        <f>AS148*AQ148</f>
        <v>6.944015483060284E-2</v>
      </c>
      <c r="AU148" s="111">
        <f>IF(1-$H$7*(($H$5+273)^4-298^4)/(AP148*1000)&lt;0,#N/A,1-$H$7*(($H$5+273)^4-298^4)/(AP148*1000))</f>
        <v>0.6914651692441508</v>
      </c>
      <c r="AV148" s="98">
        <f>AU148*AQ148</f>
        <v>0.13656353435651072</v>
      </c>
      <c r="AW148" s="38"/>
      <c r="AX148" s="37"/>
      <c r="AY148" s="38"/>
      <c r="AZ148" s="37"/>
      <c r="BA148" s="37"/>
      <c r="BB148" s="38"/>
      <c r="BC148" s="37"/>
      <c r="BD148" s="2" t="s">
        <v>86</v>
      </c>
      <c r="BE148" s="7">
        <v>264</v>
      </c>
      <c r="BF148" s="38">
        <v>7</v>
      </c>
      <c r="BG148" s="93">
        <f>BG61</f>
        <v>85297.646761304408</v>
      </c>
      <c r="BH148" s="37">
        <f t="shared" ref="BH148:BQ148" si="357">BH61</f>
        <v>0.91325103598826984</v>
      </c>
      <c r="BI148" s="38">
        <f t="shared" si="357"/>
        <v>34360.947</v>
      </c>
      <c r="BJ148" s="37">
        <f t="shared" si="357"/>
        <v>0.36789022483940043</v>
      </c>
      <c r="BK148" s="37">
        <f t="shared" si="357"/>
        <v>0.56213498434137277</v>
      </c>
      <c r="BL148" s="38">
        <f t="shared" si="357"/>
        <v>32402.848000000002</v>
      </c>
      <c r="BM148" s="37">
        <f t="shared" si="357"/>
        <v>0.94301382322204341</v>
      </c>
      <c r="BN148" s="7">
        <f t="shared" si="357"/>
        <v>753.40736734190421</v>
      </c>
      <c r="BO148" s="38">
        <f t="shared" si="357"/>
        <v>29173.83</v>
      </c>
      <c r="BP148" s="37">
        <f t="shared" si="357"/>
        <v>0.90034771017658699</v>
      </c>
      <c r="BQ148" s="50">
        <f t="shared" si="357"/>
        <v>2014.5566591104064</v>
      </c>
      <c r="BR148" s="98">
        <f t="shared" ref="BR148:BR158" si="358">BO148/$C$10</f>
        <v>0.31235364025695933</v>
      </c>
      <c r="BS148" s="110">
        <f>INDEX(Daggett!$B$7:$M$21, MATCH(BF148,Daggett!$A$7:$A$21,0), MATCH(BD$149,Daggett!$B$6:$M$6,0))</f>
        <v>475.83870967741933</v>
      </c>
      <c r="BT148" s="4">
        <f t="shared" ref="BT148:BT158" si="359">IF(1-$H$7*(($H$5+273)^4-298^4)*(PI()*$C$19^2)*1000/(BO148*BS148*1000)&lt;0,#N/A,1-$H$7*(($H$5+273)^4-298^4)*(PI()*$C$19^2)*1000/(BO148*BS148*1000))</f>
        <v>0.59002035252753271</v>
      </c>
      <c r="BU148" s="98">
        <f>BT148*BR148</f>
        <v>0.18429500493766929</v>
      </c>
      <c r="BV148" s="111">
        <f>IF(1-$H$7*(($H$5+273)^4-298^4)/(BQ148*1000)&lt;0,#N/A,1-$H$7*(($H$5+273)^4-298^4)/(BQ148*1000))</f>
        <v>0.80491581355269792</v>
      </c>
      <c r="BW148" s="98">
        <f>BV148*BR148</f>
        <v>0.25141838446357717</v>
      </c>
      <c r="BX148" s="38"/>
      <c r="BY148" s="37"/>
      <c r="BZ148" s="37"/>
      <c r="CA148" s="38"/>
      <c r="CB148" s="37"/>
      <c r="CC148" s="7"/>
      <c r="CD148" s="41"/>
      <c r="CE148" s="37"/>
    </row>
    <row r="149" spans="2:83">
      <c r="B149" s="2">
        <v>9</v>
      </c>
      <c r="C149" s="7"/>
      <c r="D149" s="38">
        <v>8</v>
      </c>
      <c r="E149" s="93">
        <f t="shared" ref="E149:O158" si="360">E62</f>
        <v>78720.882669289465</v>
      </c>
      <c r="F149" s="37">
        <f t="shared" si="360"/>
        <v>0.84283600288318483</v>
      </c>
      <c r="G149" s="38">
        <f t="shared" si="360"/>
        <v>55403.5</v>
      </c>
      <c r="H149" s="37">
        <f t="shared" si="360"/>
        <v>0.59318522483940039</v>
      </c>
      <c r="I149" s="37">
        <f t="shared" si="360"/>
        <v>0.2350035516602843</v>
      </c>
      <c r="J149" s="38">
        <f t="shared" si="360"/>
        <v>51748.79</v>
      </c>
      <c r="K149" s="37">
        <f t="shared" si="360"/>
        <v>0.93403467289972653</v>
      </c>
      <c r="L149" s="7">
        <f t="shared" si="360"/>
        <v>1203.2250880240235</v>
      </c>
      <c r="M149" s="38">
        <f t="shared" si="360"/>
        <v>47665.146000000001</v>
      </c>
      <c r="N149" s="37">
        <f t="shared" si="360"/>
        <v>0.92108715971909683</v>
      </c>
      <c r="O149" s="50">
        <f t="shared" si="360"/>
        <v>3291.4477558061367</v>
      </c>
      <c r="P149" s="98">
        <f t="shared" si="353"/>
        <v>0.51033346895074949</v>
      </c>
      <c r="Q149" s="110">
        <f>INDEX(Daggett!$B$7:$M$21, MATCH(D149,Daggett!$A$7:$A$21,0), MATCH(B$149,Daggett!$B$6:$M$6,0))</f>
        <v>673.38709677419354</v>
      </c>
      <c r="R149" s="4">
        <f t="shared" si="354"/>
        <v>0.82268323602589044</v>
      </c>
      <c r="S149" s="98">
        <f t="shared" ref="S149:S158" si="361">R149*P149</f>
        <v>0.41984278968872085</v>
      </c>
      <c r="T149" s="111">
        <f t="shared" ref="T149:T158" si="362">IF(1-$H$7*(($H$5+273)^4-298^4)/(O149*1000)&lt;0,#N/A,1-$H$7*(($H$5+273)^4-298^4)/(O149*1000))</f>
        <v>0.88059717909807944</v>
      </c>
      <c r="U149" s="98">
        <f t="shared" ref="U149:U158" si="363">T149*P149</f>
        <v>0.44939821315736733</v>
      </c>
      <c r="AC149" s="2">
        <v>9</v>
      </c>
      <c r="AD149" s="7"/>
      <c r="AE149" s="38">
        <v>8</v>
      </c>
      <c r="AF149" s="93">
        <f t="shared" ref="AF149:AP149" si="364">AF62</f>
        <v>52034.765759578651</v>
      </c>
      <c r="AG149" s="37">
        <f t="shared" si="364"/>
        <v>0.55711740641947161</v>
      </c>
      <c r="AH149" s="38">
        <f t="shared" si="364"/>
        <v>43321.8</v>
      </c>
      <c r="AI149" s="37">
        <f t="shared" si="364"/>
        <v>0.46383083511777307</v>
      </c>
      <c r="AJ149" s="37">
        <f t="shared" si="364"/>
        <v>9.5049005100785844E-2</v>
      </c>
      <c r="AK149" s="38">
        <f t="shared" si="364"/>
        <v>36332.620000000003</v>
      </c>
      <c r="AL149" s="37">
        <f t="shared" si="364"/>
        <v>0.83866829171456403</v>
      </c>
      <c r="AM149" s="7">
        <f t="shared" si="364"/>
        <v>844.77955711898585</v>
      </c>
      <c r="AN149" s="38">
        <f t="shared" si="364"/>
        <v>33372.247000000003</v>
      </c>
      <c r="AO149" s="37">
        <f t="shared" si="364"/>
        <v>0.91852024434241186</v>
      </c>
      <c r="AP149" s="50">
        <f t="shared" si="364"/>
        <v>2304.4722761230623</v>
      </c>
      <c r="AQ149" s="98">
        <f t="shared" ref="AQ149:AQ158" si="365">AN149/$C$10</f>
        <v>0.35730457173447538</v>
      </c>
      <c r="AR149" s="110">
        <f>INDEX(Daggett!$B$7:$M$21, MATCH(AE149,Daggett!$A$7:$A$21,0), MATCH(AC$149,Daggett!$B$6:$M$6,0))</f>
        <v>673.38709677419354</v>
      </c>
      <c r="AS149" s="4">
        <f t="shared" si="356"/>
        <v>0.74674077406074946</v>
      </c>
      <c r="AT149" s="98">
        <f t="shared" ref="AT149:AT158" si="366">AS149*AQ149</f>
        <v>0.26681389247244675</v>
      </c>
      <c r="AU149" s="111">
        <f t="shared" ref="AU149:AU158" si="367">IF(1-$H$7*(($H$5+273)^4-298^4)/(AP149*1000)&lt;0,#N/A,1-$H$7*(($H$5+273)^4-298^4)/(AP149*1000))</f>
        <v>0.82945850511348862</v>
      </c>
      <c r="AV149" s="98">
        <f t="shared" ref="AV149:AV158" si="368">AU149*AQ149</f>
        <v>0.29636931594109323</v>
      </c>
      <c r="AW149" s="38"/>
      <c r="AX149" s="37"/>
      <c r="AY149" s="38"/>
      <c r="AZ149" s="37"/>
      <c r="BA149" s="37"/>
      <c r="BB149" s="38"/>
      <c r="BC149" s="37"/>
      <c r="BD149" s="2">
        <v>9</v>
      </c>
      <c r="BE149" s="7"/>
      <c r="BF149" s="38">
        <v>8</v>
      </c>
      <c r="BG149" s="93">
        <f t="shared" ref="BG149:BQ149" si="369">BG62</f>
        <v>85870.14748385211</v>
      </c>
      <c r="BH149" s="37">
        <f t="shared" si="369"/>
        <v>0.91938059404552586</v>
      </c>
      <c r="BI149" s="38">
        <f t="shared" si="369"/>
        <v>56572.124689999997</v>
      </c>
      <c r="BJ149" s="37">
        <f t="shared" si="369"/>
        <v>0.60569726648822264</v>
      </c>
      <c r="BK149" s="37">
        <f t="shared" si="369"/>
        <v>0.28390201155764583</v>
      </c>
      <c r="BL149" s="38">
        <f t="shared" si="369"/>
        <v>53581.399429999998</v>
      </c>
      <c r="BM149" s="37">
        <f t="shared" si="369"/>
        <v>0.94713429491311552</v>
      </c>
      <c r="BN149" s="7">
        <f t="shared" si="369"/>
        <v>1245.8355846699433</v>
      </c>
      <c r="BO149" s="38">
        <f t="shared" si="369"/>
        <v>48558.887999999999</v>
      </c>
      <c r="BP149" s="37">
        <f t="shared" si="369"/>
        <v>0.90626389972211296</v>
      </c>
      <c r="BQ149" s="50">
        <f t="shared" si="369"/>
        <v>3353.1638176885381</v>
      </c>
      <c r="BR149" s="98">
        <f t="shared" si="358"/>
        <v>0.51990244111349038</v>
      </c>
      <c r="BS149" s="110">
        <f>INDEX(Daggett!$B$7:$M$21, MATCH(BF149,Daggett!$A$7:$A$21,0), MATCH(BD$149,Daggett!$B$6:$M$6,0))</f>
        <v>673.38709677419354</v>
      </c>
      <c r="BT149" s="4">
        <f t="shared" si="359"/>
        <v>0.82594680827383293</v>
      </c>
      <c r="BU149" s="98">
        <f t="shared" ref="BU149:BU158" si="370">BT149*BR149</f>
        <v>0.42941176185146174</v>
      </c>
      <c r="BV149" s="111">
        <f t="shared" ref="BV149:BV158" si="371">IF(1-$H$7*(($H$5+273)^4-298^4)/(BQ149*1000)&lt;0,#N/A,1-$H$7*(($H$5+273)^4-298^4)/(BQ149*1000))</f>
        <v>0.88279482653923425</v>
      </c>
      <c r="BW149" s="98">
        <f t="shared" ref="BW149:BW158" si="372">BV149*BR149</f>
        <v>0.45896718532010816</v>
      </c>
      <c r="BX149" s="38"/>
      <c r="BY149" s="37"/>
      <c r="BZ149" s="37"/>
      <c r="CA149" s="38"/>
      <c r="CB149" s="37"/>
      <c r="CC149" s="7"/>
      <c r="CD149" s="41"/>
      <c r="CE149" s="37"/>
    </row>
    <row r="150" spans="2:83">
      <c r="C150" s="7"/>
      <c r="D150" s="38">
        <v>9</v>
      </c>
      <c r="E150" s="93">
        <f t="shared" si="360"/>
        <v>83648.561859884285</v>
      </c>
      <c r="F150" s="37">
        <f t="shared" si="360"/>
        <v>0.89559488072681248</v>
      </c>
      <c r="G150" s="38">
        <f t="shared" si="360"/>
        <v>65672.399999999994</v>
      </c>
      <c r="H150" s="37">
        <f t="shared" si="360"/>
        <v>0.70313062098501067</v>
      </c>
      <c r="I150" s="37">
        <f t="shared" si="360"/>
        <v>0.14663155120549243</v>
      </c>
      <c r="J150" s="38">
        <f t="shared" si="360"/>
        <v>62170.387999999999</v>
      </c>
      <c r="K150" s="37">
        <f t="shared" si="360"/>
        <v>0.94667452384867923</v>
      </c>
      <c r="L150" s="7">
        <f t="shared" si="360"/>
        <v>1445.5404768650185</v>
      </c>
      <c r="M150" s="38">
        <f t="shared" si="360"/>
        <v>57505.29</v>
      </c>
      <c r="N150" s="37">
        <f t="shared" si="360"/>
        <v>0.92496270089226407</v>
      </c>
      <c r="O150" s="50">
        <f t="shared" si="360"/>
        <v>3970.9446755388326</v>
      </c>
      <c r="P150" s="98">
        <f t="shared" si="353"/>
        <v>0.61568832976445398</v>
      </c>
      <c r="Q150" s="110">
        <f>INDEX(Daggett!$B$7:$M$21, MATCH(D150,Daggett!$A$7:$A$21,0), MATCH(B$149,Daggett!$B$6:$M$6,0))</f>
        <v>771.41935483870964</v>
      </c>
      <c r="R150" s="4">
        <f t="shared" si="354"/>
        <v>0.87170279779434567</v>
      </c>
      <c r="S150" s="98">
        <f t="shared" si="361"/>
        <v>0.53669723962500226</v>
      </c>
      <c r="T150" s="111">
        <f t="shared" si="362"/>
        <v>0.90102905504690267</v>
      </c>
      <c r="U150" s="98">
        <f t="shared" si="363"/>
        <v>0.55475307397107176</v>
      </c>
      <c r="AD150" s="7"/>
      <c r="AE150" s="38">
        <v>9</v>
      </c>
      <c r="AF150" s="93">
        <f t="shared" ref="AF150:AP150" si="373">AF63</f>
        <v>58758.787215544551</v>
      </c>
      <c r="AG150" s="37">
        <f t="shared" si="373"/>
        <v>0.62910907083024148</v>
      </c>
      <c r="AH150" s="38">
        <f t="shared" si="373"/>
        <v>53492.760999999999</v>
      </c>
      <c r="AI150" s="37">
        <f t="shared" si="373"/>
        <v>0.57272763383297642</v>
      </c>
      <c r="AJ150" s="37">
        <f t="shared" si="373"/>
        <v>1.0457700199084208E-2</v>
      </c>
      <c r="AK150" s="38">
        <f t="shared" si="373"/>
        <v>46637.245699999999</v>
      </c>
      <c r="AL150" s="37">
        <f t="shared" si="373"/>
        <v>0.87184218627264354</v>
      </c>
      <c r="AM150" s="7">
        <f t="shared" si="373"/>
        <v>1084.3751914311526</v>
      </c>
      <c r="AN150" s="38">
        <f t="shared" si="373"/>
        <v>42757.07</v>
      </c>
      <c r="AO150" s="37">
        <f t="shared" si="373"/>
        <v>0.91680092505977473</v>
      </c>
      <c r="AP150" s="50">
        <f t="shared" si="373"/>
        <v>2952.5276623792547</v>
      </c>
      <c r="AQ150" s="98">
        <f t="shared" si="365"/>
        <v>0.45778447537473232</v>
      </c>
      <c r="AR150" s="110">
        <f>INDEX(Daggett!$B$7:$M$21, MATCH(AE150,Daggett!$A$7:$A$21,0), MATCH(AC$149,Daggett!$B$6:$M$6,0))</f>
        <v>771.41935483870964</v>
      </c>
      <c r="AS150" s="4">
        <f t="shared" si="356"/>
        <v>0.82744917228835402</v>
      </c>
      <c r="AT150" s="98">
        <f t="shared" si="366"/>
        <v>0.37879338523528067</v>
      </c>
      <c r="AU150" s="111">
        <f t="shared" si="367"/>
        <v>0.86689095180979669</v>
      </c>
      <c r="AV150" s="98">
        <f t="shared" si="368"/>
        <v>0.39684921958135017</v>
      </c>
      <c r="AW150" s="38"/>
      <c r="AX150" s="37"/>
      <c r="AY150" s="38"/>
      <c r="AZ150" s="37"/>
      <c r="BA150" s="37"/>
      <c r="BB150" s="38"/>
      <c r="BC150" s="37"/>
      <c r="BE150" s="7"/>
      <c r="BF150" s="38">
        <v>9</v>
      </c>
      <c r="BG150" s="93">
        <f t="shared" ref="BG150:BQ150" si="374">BG63</f>
        <v>85212.629097835685</v>
      </c>
      <c r="BH150" s="37">
        <f t="shared" si="374"/>
        <v>0.91234078263207374</v>
      </c>
      <c r="BI150" s="38">
        <f t="shared" si="374"/>
        <v>67220.964000000007</v>
      </c>
      <c r="BJ150" s="37">
        <f t="shared" si="374"/>
        <v>0.71971053533190588</v>
      </c>
      <c r="BK150" s="37">
        <f t="shared" si="374"/>
        <v>0.14254182753238021</v>
      </c>
      <c r="BL150" s="38">
        <f t="shared" si="374"/>
        <v>63692.947999999997</v>
      </c>
      <c r="BM150" s="37">
        <f t="shared" si="374"/>
        <v>0.94751613499621923</v>
      </c>
      <c r="BN150" s="7">
        <f t="shared" si="374"/>
        <v>1480.9419305032939</v>
      </c>
      <c r="BO150" s="38">
        <f t="shared" si="374"/>
        <v>58410.851000000002</v>
      </c>
      <c r="BP150" s="37">
        <f t="shared" si="374"/>
        <v>0.91706935907567044</v>
      </c>
      <c r="BQ150" s="50">
        <f t="shared" si="374"/>
        <v>4033.4768813815581</v>
      </c>
      <c r="BR150" s="98">
        <f t="shared" si="358"/>
        <v>0.62538384368308353</v>
      </c>
      <c r="BS150" s="110">
        <f>INDEX(Daggett!$B$7:$M$21, MATCH(BF150,Daggett!$A$7:$A$21,0), MATCH(BD$149,Daggett!$B$6:$M$6,0))</f>
        <v>771.41935483870964</v>
      </c>
      <c r="BT150" s="4">
        <f t="shared" si="359"/>
        <v>0.87369182792723243</v>
      </c>
      <c r="BU150" s="98">
        <f t="shared" si="370"/>
        <v>0.54639275354363182</v>
      </c>
      <c r="BV150" s="111">
        <f t="shared" si="371"/>
        <v>0.90256343138876893</v>
      </c>
      <c r="BW150" s="98">
        <f t="shared" si="372"/>
        <v>0.56444858788970131</v>
      </c>
      <c r="BX150" s="38"/>
      <c r="BY150" s="37"/>
      <c r="BZ150" s="37"/>
      <c r="CA150" s="38"/>
      <c r="CB150" s="37"/>
      <c r="CC150" s="7"/>
      <c r="CD150" s="41"/>
      <c r="CE150" s="37"/>
    </row>
    <row r="151" spans="2:83">
      <c r="C151" s="71"/>
      <c r="D151" s="38">
        <v>10</v>
      </c>
      <c r="E151" s="93">
        <f t="shared" si="360"/>
        <v>87241.598906092273</v>
      </c>
      <c r="F151" s="37">
        <f t="shared" si="360"/>
        <v>0.9340642281166196</v>
      </c>
      <c r="G151" s="38">
        <f t="shared" si="360"/>
        <v>70144.77</v>
      </c>
      <c r="H151" s="37">
        <f t="shared" si="360"/>
        <v>0.75101466809421846</v>
      </c>
      <c r="I151" s="37">
        <f t="shared" si="360"/>
        <v>0.12605550364268947</v>
      </c>
      <c r="J151" s="38">
        <f t="shared" si="360"/>
        <v>66439.100000000006</v>
      </c>
      <c r="K151" s="37">
        <f t="shared" si="360"/>
        <v>0.94717111482438399</v>
      </c>
      <c r="L151" s="7">
        <f t="shared" si="360"/>
        <v>1544.793452093023</v>
      </c>
      <c r="M151" s="38">
        <f t="shared" si="360"/>
        <v>60598.6</v>
      </c>
      <c r="N151" s="37">
        <f t="shared" si="360"/>
        <v>0.9120924275012755</v>
      </c>
      <c r="O151" s="50">
        <f t="shared" si="360"/>
        <v>4184.5487261277613</v>
      </c>
      <c r="P151" s="98">
        <f t="shared" si="353"/>
        <v>0.64880728051391856</v>
      </c>
      <c r="Q151" s="110">
        <f>INDEX(Daggett!$B$7:$M$21, MATCH(D151,Daggett!$A$7:$A$21,0), MATCH(B$149,Daggett!$B$6:$M$6,0))</f>
        <v>840.45161290322585</v>
      </c>
      <c r="R151" s="4">
        <f t="shared" si="354"/>
        <v>0.888251884253769</v>
      </c>
      <c r="S151" s="98">
        <f t="shared" si="361"/>
        <v>0.57630428943405188</v>
      </c>
      <c r="T151" s="111">
        <f>IF(1-$H$7*(($H$5+273)^4-298^4)/(O151*1000)&lt;0,#N/A,1-$H$7*(($H$5+273)^4-298^4)/(O151*1000))</f>
        <v>0.90608111588218376</v>
      </c>
      <c r="U151" s="98">
        <f t="shared" si="363"/>
        <v>0.58787202472053635</v>
      </c>
      <c r="AD151" s="71"/>
      <c r="AE151" s="38">
        <v>10</v>
      </c>
      <c r="AF151" s="93">
        <f t="shared" ref="AF151:AP151" si="375">AF64</f>
        <v>65217.092076203415</v>
      </c>
      <c r="AG151" s="37">
        <f t="shared" si="375"/>
        <v>0.69825580381374108</v>
      </c>
      <c r="AH151" s="38">
        <f t="shared" si="375"/>
        <v>58746.75</v>
      </c>
      <c r="AI151" s="37">
        <f t="shared" si="375"/>
        <v>0.62898019271948613</v>
      </c>
      <c r="AJ151" s="37">
        <f t="shared" si="375"/>
        <v>2.0883007649801333E-2</v>
      </c>
      <c r="AK151" s="38">
        <f t="shared" si="375"/>
        <v>52878.343308000003</v>
      </c>
      <c r="AL151" s="37">
        <f t="shared" si="375"/>
        <v>0.90010670050683661</v>
      </c>
      <c r="AM151" s="7">
        <f t="shared" si="375"/>
        <v>1229.4886369581363</v>
      </c>
      <c r="AN151" s="38">
        <f t="shared" si="375"/>
        <v>48540.370799999997</v>
      </c>
      <c r="AO151" s="37">
        <f t="shared" si="375"/>
        <v>0.91796315397529271</v>
      </c>
      <c r="AP151" s="50">
        <f t="shared" si="375"/>
        <v>3351.8851392096381</v>
      </c>
      <c r="AQ151" s="98">
        <f t="shared" si="365"/>
        <v>0.51970418415417552</v>
      </c>
      <c r="AR151" s="110">
        <f>INDEX(Daggett!$B$7:$M$21, MATCH(AE151,Daggett!$A$7:$A$21,0), MATCH(AC$149,Daggett!$B$6:$M$6,0))</f>
        <v>840.45161290322585</v>
      </c>
      <c r="AS151" s="4">
        <f t="shared" si="356"/>
        <v>0.86049180805063907</v>
      </c>
      <c r="AT151" s="98">
        <f t="shared" si="366"/>
        <v>0.44720119307430878</v>
      </c>
      <c r="AU151" s="111">
        <f t="shared" si="367"/>
        <v>0.88275011506294676</v>
      </c>
      <c r="AV151" s="98">
        <f t="shared" si="368"/>
        <v>0.4587689283607933</v>
      </c>
      <c r="AW151" s="38"/>
      <c r="AX151" s="37"/>
      <c r="AY151" s="38"/>
      <c r="AZ151" s="37"/>
      <c r="BA151" s="37"/>
      <c r="BB151" s="38"/>
      <c r="BC151" s="37"/>
      <c r="BE151" s="71"/>
      <c r="BF151" s="38">
        <v>10</v>
      </c>
      <c r="BG151" s="93">
        <f t="shared" ref="BG151:BQ151" si="376">BG64</f>
        <v>83341.336493212701</v>
      </c>
      <c r="BH151" s="37">
        <f t="shared" si="376"/>
        <v>0.8923055299059176</v>
      </c>
      <c r="BI151" s="38">
        <f t="shared" si="376"/>
        <v>68212.515100000004</v>
      </c>
      <c r="BJ151" s="37">
        <f t="shared" si="376"/>
        <v>0.7303267141327624</v>
      </c>
      <c r="BK151" s="37">
        <f t="shared" si="376"/>
        <v>0.11035698163765129</v>
      </c>
      <c r="BL151" s="38">
        <f t="shared" si="376"/>
        <v>64341.974000000002</v>
      </c>
      <c r="BM151" s="37">
        <f t="shared" si="376"/>
        <v>0.94325761050848567</v>
      </c>
      <c r="BN151" s="7">
        <f t="shared" si="376"/>
        <v>1496.0326092608047</v>
      </c>
      <c r="BO151" s="38">
        <f t="shared" si="376"/>
        <v>58918.601159999998</v>
      </c>
      <c r="BP151" s="37">
        <f t="shared" si="376"/>
        <v>0.91571018881080646</v>
      </c>
      <c r="BQ151" s="50">
        <f t="shared" si="376"/>
        <v>4068.5388347141293</v>
      </c>
      <c r="BR151" s="98">
        <f t="shared" si="358"/>
        <v>0.63082014089935756</v>
      </c>
      <c r="BS151" s="110">
        <f>INDEX(Daggett!$B$7:$M$21, MATCH(BF151,Daggett!$A$7:$A$21,0), MATCH(BD$149,Daggett!$B$6:$M$6,0))</f>
        <v>840.45161290322585</v>
      </c>
      <c r="BT151" s="4">
        <f t="shared" si="359"/>
        <v>0.88506551015238744</v>
      </c>
      <c r="BU151" s="98">
        <f t="shared" si="370"/>
        <v>0.55831714981949088</v>
      </c>
      <c r="BV151" s="111">
        <f t="shared" si="371"/>
        <v>0.90340312262936462</v>
      </c>
      <c r="BW151" s="98">
        <f t="shared" si="372"/>
        <v>0.56988488510597535</v>
      </c>
      <c r="BX151" s="38"/>
      <c r="BY151" s="37"/>
      <c r="BZ151" s="37"/>
      <c r="CA151" s="38"/>
      <c r="CB151" s="37"/>
      <c r="CC151" s="7"/>
      <c r="CD151" s="41"/>
      <c r="CE151" s="37"/>
    </row>
    <row r="152" spans="2:83">
      <c r="C152" s="7"/>
      <c r="D152" s="38">
        <v>11</v>
      </c>
      <c r="E152" s="93">
        <f t="shared" si="360"/>
        <v>89426.545820937346</v>
      </c>
      <c r="F152" s="37">
        <f t="shared" si="360"/>
        <v>0.95745766403573174</v>
      </c>
      <c r="G152" s="38">
        <f t="shared" si="360"/>
        <v>72321.87</v>
      </c>
      <c r="H152" s="37">
        <f t="shared" si="360"/>
        <v>0.77432408993576007</v>
      </c>
      <c r="I152" s="37">
        <f t="shared" si="360"/>
        <v>0.12094638634175547</v>
      </c>
      <c r="J152" s="38">
        <f t="shared" si="360"/>
        <v>68922.679999999993</v>
      </c>
      <c r="K152" s="37">
        <f t="shared" si="360"/>
        <v>0.9529991412003036</v>
      </c>
      <c r="L152" s="7">
        <f t="shared" si="360"/>
        <v>1602.5398412185407</v>
      </c>
      <c r="M152" s="38">
        <f t="shared" si="360"/>
        <v>62948.01</v>
      </c>
      <c r="N152" s="37">
        <f t="shared" si="360"/>
        <v>0.91331344051043872</v>
      </c>
      <c r="O152" s="50">
        <f t="shared" si="360"/>
        <v>4346.7838375437323</v>
      </c>
      <c r="P152" s="98">
        <f t="shared" si="353"/>
        <v>0.67396156316916489</v>
      </c>
      <c r="Q152" s="110">
        <f>INDEX(Daggett!$B$7:$M$21, MATCH(D152,Daggett!$A$7:$A$21,0), MATCH(B$149,Daggett!$B$6:$M$6,0))</f>
        <v>837.90322580645159</v>
      </c>
      <c r="R152" s="4">
        <f t="shared" si="354"/>
        <v>0.89209547749850937</v>
      </c>
      <c r="S152" s="98">
        <f t="shared" si="361"/>
        <v>0.60123806251103795</v>
      </c>
      <c r="T152" s="111">
        <f t="shared" si="362"/>
        <v>0.90958645251689618</v>
      </c>
      <c r="U152" s="98">
        <f t="shared" si="363"/>
        <v>0.61302630737578268</v>
      </c>
      <c r="AD152" s="7"/>
      <c r="AE152" s="38">
        <v>11</v>
      </c>
      <c r="AF152" s="93">
        <f t="shared" ref="AF152:AP152" si="377">AF65</f>
        <v>71100.212412623514</v>
      </c>
      <c r="AG152" s="37">
        <f t="shared" si="377"/>
        <v>0.76124424424650439</v>
      </c>
      <c r="AH152" s="38">
        <f t="shared" si="377"/>
        <v>62554.131000000001</v>
      </c>
      <c r="AI152" s="37">
        <f t="shared" si="377"/>
        <v>0.66974444325481797</v>
      </c>
      <c r="AJ152" s="37">
        <f t="shared" si="377"/>
        <v>4.3693143171229742E-2</v>
      </c>
      <c r="AK152" s="38">
        <f t="shared" si="377"/>
        <v>57601.381999999998</v>
      </c>
      <c r="AL152" s="37">
        <f t="shared" si="377"/>
        <v>0.92082458950632684</v>
      </c>
      <c r="AM152" s="7">
        <f t="shared" si="377"/>
        <v>1339.3052847661829</v>
      </c>
      <c r="AN152" s="38">
        <f t="shared" si="377"/>
        <v>52825.517599999999</v>
      </c>
      <c r="AO152" s="37">
        <f t="shared" si="377"/>
        <v>0.91708767681997627</v>
      </c>
      <c r="AP152" s="50">
        <f t="shared" si="377"/>
        <v>3647.7897571910839</v>
      </c>
      <c r="AQ152" s="98">
        <f t="shared" si="365"/>
        <v>0.56558370021413273</v>
      </c>
      <c r="AR152" s="110">
        <f>INDEX(Daggett!$B$7:$M$21, MATCH(AE152,Daggett!$A$7:$A$21,0), MATCH(AC$149,Daggett!$B$6:$M$6,0))</f>
        <v>837.90322580645159</v>
      </c>
      <c r="AS152" s="4">
        <f t="shared" si="356"/>
        <v>0.87141867661569195</v>
      </c>
      <c r="AT152" s="98">
        <f t="shared" si="366"/>
        <v>0.4928601995560058</v>
      </c>
      <c r="AU152" s="111">
        <f t="shared" si="367"/>
        <v>0.89226129435782575</v>
      </c>
      <c r="AV152" s="98">
        <f t="shared" si="368"/>
        <v>0.50464844442075052</v>
      </c>
      <c r="AW152" s="38"/>
      <c r="AX152" s="37"/>
      <c r="AY152" s="38"/>
      <c r="AZ152" s="37"/>
      <c r="BA152" s="37"/>
      <c r="BB152" s="38"/>
      <c r="BC152" s="37"/>
      <c r="BE152" s="7"/>
      <c r="BF152" s="38">
        <v>11</v>
      </c>
      <c r="BG152" s="93">
        <f t="shared" ref="BG152:BQ152" si="378">BG65</f>
        <v>80304.527970151918</v>
      </c>
      <c r="BH152" s="37">
        <f t="shared" si="378"/>
        <v>0.85979152002303982</v>
      </c>
      <c r="BI152" s="38">
        <f t="shared" si="378"/>
        <v>67582.053799999994</v>
      </c>
      <c r="BJ152" s="37">
        <f t="shared" si="378"/>
        <v>0.72357659314775158</v>
      </c>
      <c r="BK152" s="37">
        <f t="shared" si="378"/>
        <v>8.5247669250501312E-2</v>
      </c>
      <c r="BL152" s="38">
        <f t="shared" si="378"/>
        <v>63405.797299999998</v>
      </c>
      <c r="BM152" s="37">
        <f t="shared" si="378"/>
        <v>0.93820465249015561</v>
      </c>
      <c r="BN152" s="7">
        <f t="shared" si="378"/>
        <v>1474.2653120493426</v>
      </c>
      <c r="BO152" s="38">
        <f t="shared" si="378"/>
        <v>58023.924059999998</v>
      </c>
      <c r="BP152" s="37">
        <f t="shared" si="378"/>
        <v>0.91512017088065223</v>
      </c>
      <c r="BQ152" s="50">
        <f t="shared" si="378"/>
        <v>4006.7582008529398</v>
      </c>
      <c r="BR152" s="98">
        <f t="shared" si="358"/>
        <v>0.6212411569593147</v>
      </c>
      <c r="BS152" s="110">
        <f>INDEX(Daggett!$B$7:$M$21, MATCH(BF152,Daggett!$A$7:$A$21,0), MATCH(BD$149,Daggett!$B$6:$M$6,0))</f>
        <v>837.90322580645159</v>
      </c>
      <c r="BT152" s="4">
        <f t="shared" si="359"/>
        <v>0.88293837289519816</v>
      </c>
      <c r="BU152" s="98">
        <f t="shared" si="370"/>
        <v>0.54851765630118776</v>
      </c>
      <c r="BV152" s="111">
        <f t="shared" si="371"/>
        <v>0.90191368503073455</v>
      </c>
      <c r="BW152" s="98">
        <f t="shared" si="372"/>
        <v>0.56030590116593249</v>
      </c>
      <c r="BX152" s="38"/>
      <c r="BY152" s="37"/>
      <c r="BZ152" s="37"/>
      <c r="CA152" s="38"/>
      <c r="CB152" s="37"/>
      <c r="CC152" s="7"/>
      <c r="CD152" s="41"/>
      <c r="CE152" s="37"/>
    </row>
    <row r="153" spans="2:83">
      <c r="C153" s="7"/>
      <c r="D153" s="38">
        <v>12</v>
      </c>
      <c r="E153" s="93">
        <f t="shared" si="360"/>
        <v>90159.701809071747</v>
      </c>
      <c r="F153" s="37">
        <f t="shared" si="360"/>
        <v>0.96530729988299513</v>
      </c>
      <c r="G153" s="38">
        <f t="shared" si="360"/>
        <v>72071.899999999994</v>
      </c>
      <c r="H153" s="37">
        <f t="shared" si="360"/>
        <v>0.77164775160599564</v>
      </c>
      <c r="I153" s="37">
        <f t="shared" si="360"/>
        <v>0.13110824273768773</v>
      </c>
      <c r="J153" s="38">
        <f t="shared" si="360"/>
        <v>68460.56</v>
      </c>
      <c r="K153" s="37">
        <f t="shared" si="360"/>
        <v>0.94989253786843419</v>
      </c>
      <c r="L153" s="7">
        <f t="shared" si="360"/>
        <v>1591.7949643300635</v>
      </c>
      <c r="M153" s="38">
        <f t="shared" si="360"/>
        <v>62642.1</v>
      </c>
      <c r="N153" s="37">
        <f t="shared" si="360"/>
        <v>0.91501004373905215</v>
      </c>
      <c r="O153" s="50">
        <f t="shared" si="360"/>
        <v>4325.6596646946928</v>
      </c>
      <c r="P153" s="98">
        <f t="shared" si="353"/>
        <v>0.67068629550321202</v>
      </c>
      <c r="Q153" s="110">
        <f>INDEX(Daggett!$B$7:$M$21, MATCH(D153,Daggett!$A$7:$A$21,0), MATCH(B$149,Daggett!$B$6:$M$6,0))</f>
        <v>845.41935483870964</v>
      </c>
      <c r="R153" s="4">
        <f t="shared" si="354"/>
        <v>0.89253253118474252</v>
      </c>
      <c r="S153" s="98">
        <f t="shared" si="361"/>
        <v>0.59860933695640006</v>
      </c>
      <c r="T153" s="111">
        <f t="shared" si="362"/>
        <v>0.90914492184805595</v>
      </c>
      <c r="U153" s="98">
        <f t="shared" si="363"/>
        <v>0.6097510397098298</v>
      </c>
      <c r="AD153" s="7"/>
      <c r="AE153" s="38">
        <v>12</v>
      </c>
      <c r="AF153" s="93">
        <f t="shared" ref="AF153:AP153" si="379">AF66</f>
        <v>76184.387055716463</v>
      </c>
      <c r="AG153" s="37">
        <f t="shared" si="379"/>
        <v>0.81567866226677155</v>
      </c>
      <c r="AH153" s="38">
        <f t="shared" si="379"/>
        <v>65041.553999999996</v>
      </c>
      <c r="AI153" s="37">
        <f t="shared" si="379"/>
        <v>0.69637638115631684</v>
      </c>
      <c r="AJ153" s="37">
        <f t="shared" si="379"/>
        <v>7.2023231575726432E-2</v>
      </c>
      <c r="AK153" s="38">
        <f t="shared" si="379"/>
        <v>60578.12</v>
      </c>
      <c r="AL153" s="37">
        <f t="shared" si="379"/>
        <v>0.93137565563086033</v>
      </c>
      <c r="AM153" s="7">
        <f t="shared" si="379"/>
        <v>1408.5182236981748</v>
      </c>
      <c r="AN153" s="38">
        <f t="shared" si="379"/>
        <v>55389.012000000002</v>
      </c>
      <c r="AO153" s="37">
        <f t="shared" si="379"/>
        <v>0.9143402271315122</v>
      </c>
      <c r="AP153" s="50">
        <f t="shared" si="379"/>
        <v>3824.8081573844165</v>
      </c>
      <c r="AQ153" s="98">
        <f t="shared" si="365"/>
        <v>0.59303010706638115</v>
      </c>
      <c r="AR153" s="110">
        <f>INDEX(Daggett!$B$7:$M$21, MATCH(AE153,Daggett!$A$7:$A$21,0), MATCH(AC$149,Daggett!$B$6:$M$6,0))</f>
        <v>845.41935483870964</v>
      </c>
      <c r="AS153" s="4">
        <f t="shared" si="356"/>
        <v>0.87845986622270433</v>
      </c>
      <c r="AT153" s="98">
        <f t="shared" si="366"/>
        <v>0.5209531485195692</v>
      </c>
      <c r="AU153" s="111">
        <f t="shared" si="367"/>
        <v>0.89724761851498824</v>
      </c>
      <c r="AV153" s="98">
        <f t="shared" si="368"/>
        <v>0.53209485127299894</v>
      </c>
      <c r="AW153" s="38"/>
      <c r="AX153" s="37"/>
      <c r="AY153" s="38"/>
      <c r="AZ153" s="37"/>
      <c r="BA153" s="37"/>
      <c r="BB153" s="38"/>
      <c r="BC153" s="37"/>
      <c r="BE153" s="7"/>
      <c r="BF153" s="38">
        <v>12</v>
      </c>
      <c r="BG153" s="93">
        <f t="shared" ref="BG153:BQ153" si="380">BG66</f>
        <v>76184.387055716463</v>
      </c>
      <c r="BH153" s="37">
        <f t="shared" si="380"/>
        <v>0.81567866226677155</v>
      </c>
      <c r="BI153" s="38">
        <f t="shared" si="380"/>
        <v>65041.553999999996</v>
      </c>
      <c r="BJ153" s="37">
        <f t="shared" si="380"/>
        <v>0.69637638115631684</v>
      </c>
      <c r="BK153" s="37">
        <f t="shared" si="380"/>
        <v>7.2023231575726432E-2</v>
      </c>
      <c r="BL153" s="38">
        <f t="shared" si="380"/>
        <v>60578.12</v>
      </c>
      <c r="BM153" s="37">
        <f t="shared" si="380"/>
        <v>0.93137565563086033</v>
      </c>
      <c r="BN153" s="7">
        <f t="shared" si="380"/>
        <v>1408.5182236981748</v>
      </c>
      <c r="BO153" s="38">
        <f t="shared" si="380"/>
        <v>55389.012000000002</v>
      </c>
      <c r="BP153" s="37">
        <f t="shared" si="380"/>
        <v>0.9143402271315122</v>
      </c>
      <c r="BQ153" s="50">
        <f t="shared" si="380"/>
        <v>3824.8081573844165</v>
      </c>
      <c r="BR153" s="98">
        <f t="shared" si="358"/>
        <v>0.59303010706638115</v>
      </c>
      <c r="BS153" s="110">
        <f>INDEX(Daggett!$B$7:$M$21, MATCH(BF153,Daggett!$A$7:$A$21,0), MATCH(BD$149,Daggett!$B$6:$M$6,0))</f>
        <v>845.41935483870964</v>
      </c>
      <c r="BT153" s="4">
        <f t="shared" si="359"/>
        <v>0.87845986622270433</v>
      </c>
      <c r="BU153" s="98">
        <f t="shared" si="370"/>
        <v>0.5209531485195692</v>
      </c>
      <c r="BV153" s="111">
        <f t="shared" si="371"/>
        <v>0.89724761851498824</v>
      </c>
      <c r="BW153" s="98">
        <f t="shared" si="372"/>
        <v>0.53209485127299894</v>
      </c>
      <c r="BX153" s="38"/>
      <c r="BY153" s="37"/>
      <c r="BZ153" s="37"/>
      <c r="CA153" s="38"/>
      <c r="CB153" s="37"/>
      <c r="CC153" s="7"/>
      <c r="CD153" s="41"/>
      <c r="CE153" s="37"/>
    </row>
    <row r="154" spans="2:83">
      <c r="D154" s="38">
        <v>13</v>
      </c>
      <c r="E154" s="93">
        <f t="shared" si="360"/>
        <v>89426.545820937346</v>
      </c>
      <c r="F154" s="37">
        <f t="shared" si="360"/>
        <v>0.95745766403573174</v>
      </c>
      <c r="G154" s="38">
        <f t="shared" si="360"/>
        <v>72321.87</v>
      </c>
      <c r="H154" s="37">
        <f t="shared" si="360"/>
        <v>0.77432408993576007</v>
      </c>
      <c r="I154" s="37">
        <f t="shared" si="360"/>
        <v>0.12094638634175547</v>
      </c>
      <c r="J154" s="38">
        <f t="shared" si="360"/>
        <v>68922.679999999993</v>
      </c>
      <c r="K154" s="37">
        <f t="shared" si="360"/>
        <v>0.9529991412003036</v>
      </c>
      <c r="L154" s="7">
        <f t="shared" si="360"/>
        <v>1602.5398412185407</v>
      </c>
      <c r="M154" s="38">
        <f t="shared" si="360"/>
        <v>62948.01</v>
      </c>
      <c r="N154" s="37">
        <f t="shared" si="360"/>
        <v>0.91331344051043872</v>
      </c>
      <c r="O154" s="50">
        <f t="shared" si="360"/>
        <v>4346.7838375437323</v>
      </c>
      <c r="P154" s="98">
        <f>P152</f>
        <v>0.67396156316916489</v>
      </c>
      <c r="Q154" s="110">
        <f>INDEX(Daggett!$B$7:$M$21, MATCH(D154,Daggett!$A$7:$A$21,0), MATCH(B$149,Daggett!$B$6:$M$6,0))</f>
        <v>810.29032258064512</v>
      </c>
      <c r="R154" s="4">
        <f t="shared" si="354"/>
        <v>0.88841832987076641</v>
      </c>
      <c r="S154" s="98">
        <f t="shared" si="361"/>
        <v>0.59875980634784054</v>
      </c>
      <c r="T154" s="111">
        <f t="shared" si="362"/>
        <v>0.90958645251689618</v>
      </c>
      <c r="U154" s="98">
        <f t="shared" si="363"/>
        <v>0.61302630737578268</v>
      </c>
      <c r="AE154" s="38">
        <v>13</v>
      </c>
      <c r="AF154" s="93">
        <f t="shared" ref="AF154:AP154" si="381">AF67</f>
        <v>80304.527970151918</v>
      </c>
      <c r="AG154" s="37">
        <f t="shared" si="381"/>
        <v>0.85979152002303982</v>
      </c>
      <c r="AH154" s="38">
        <f t="shared" si="381"/>
        <v>67582.053799999994</v>
      </c>
      <c r="AI154" s="37">
        <f t="shared" si="381"/>
        <v>0.72357659314775158</v>
      </c>
      <c r="AJ154" s="37">
        <f t="shared" si="381"/>
        <v>8.5247669250501312E-2</v>
      </c>
      <c r="AK154" s="38">
        <f t="shared" si="381"/>
        <v>63405.797299999998</v>
      </c>
      <c r="AL154" s="37">
        <f t="shared" si="381"/>
        <v>0.93820465249015561</v>
      </c>
      <c r="AM154" s="7">
        <f t="shared" si="381"/>
        <v>1474.2653120493426</v>
      </c>
      <c r="AN154" s="38">
        <f t="shared" si="381"/>
        <v>58023.924059999998</v>
      </c>
      <c r="AO154" s="37">
        <f t="shared" si="381"/>
        <v>0.91512017088065223</v>
      </c>
      <c r="AP154" s="50">
        <f t="shared" si="381"/>
        <v>4006.7582008529398</v>
      </c>
      <c r="AQ154" s="98">
        <f t="shared" si="365"/>
        <v>0.6212411569593147</v>
      </c>
      <c r="AR154" s="110">
        <f>INDEX(Daggett!$B$7:$M$21, MATCH(AE154,Daggett!$A$7:$A$21,0), MATCH(AC$149,Daggett!$B$6:$M$6,0))</f>
        <v>810.29032258064512</v>
      </c>
      <c r="AS154" s="4">
        <f t="shared" si="356"/>
        <v>0.87894917138233097</v>
      </c>
      <c r="AT154" s="98">
        <f t="shared" si="366"/>
        <v>0.54603940013799024</v>
      </c>
      <c r="AU154" s="111">
        <f t="shared" si="367"/>
        <v>0.90191368503073455</v>
      </c>
      <c r="AV154" s="98">
        <f t="shared" si="368"/>
        <v>0.56030590116593249</v>
      </c>
      <c r="AW154" s="38"/>
      <c r="AX154" s="37"/>
      <c r="AY154" s="38"/>
      <c r="AZ154" s="37"/>
      <c r="BA154" s="37"/>
      <c r="BB154" s="38"/>
      <c r="BC154" s="37"/>
      <c r="BF154" s="38">
        <v>13</v>
      </c>
      <c r="BG154" s="93">
        <f t="shared" ref="BG154:BQ154" si="382">BG67</f>
        <v>71100.212412623514</v>
      </c>
      <c r="BH154" s="37">
        <f t="shared" si="382"/>
        <v>0.76124424424650439</v>
      </c>
      <c r="BI154" s="38">
        <f t="shared" si="382"/>
        <v>62554.131000000001</v>
      </c>
      <c r="BJ154" s="37">
        <f t="shared" si="382"/>
        <v>0.66974444325481797</v>
      </c>
      <c r="BK154" s="37">
        <f t="shared" si="382"/>
        <v>4.3693143171229742E-2</v>
      </c>
      <c r="BL154" s="38">
        <f t="shared" si="382"/>
        <v>57601.381999999998</v>
      </c>
      <c r="BM154" s="37">
        <f t="shared" si="382"/>
        <v>0.92082458950632684</v>
      </c>
      <c r="BN154" s="7">
        <f t="shared" si="382"/>
        <v>1339.3052847661829</v>
      </c>
      <c r="BO154" s="38">
        <f t="shared" si="382"/>
        <v>52825.517599999999</v>
      </c>
      <c r="BP154" s="37">
        <f t="shared" si="382"/>
        <v>0.91708767681997627</v>
      </c>
      <c r="BQ154" s="50">
        <f t="shared" si="382"/>
        <v>3647.7897571910839</v>
      </c>
      <c r="BR154" s="98">
        <f t="shared" si="358"/>
        <v>0.56558370021413273</v>
      </c>
      <c r="BS154" s="110">
        <f>INDEX(Daggett!$B$7:$M$21, MATCH(BF154,Daggett!$A$7:$A$21,0), MATCH(BD$149,Daggett!$B$6:$M$6,0))</f>
        <v>810.29032258064512</v>
      </c>
      <c r="BT154" s="4">
        <f t="shared" si="359"/>
        <v>0.8670369093153627</v>
      </c>
      <c r="BU154" s="98">
        <f t="shared" si="370"/>
        <v>0.49038194339280827</v>
      </c>
      <c r="BV154" s="111">
        <f t="shared" si="371"/>
        <v>0.89226129435782575</v>
      </c>
      <c r="BW154" s="98">
        <f t="shared" si="372"/>
        <v>0.50464844442075052</v>
      </c>
      <c r="BX154" s="38"/>
      <c r="BY154" s="37"/>
      <c r="BZ154" s="37"/>
      <c r="CA154" s="38"/>
      <c r="CB154" s="37"/>
      <c r="CC154" s="7"/>
      <c r="CD154" s="41"/>
      <c r="CE154" s="37"/>
    </row>
    <row r="155" spans="2:83">
      <c r="D155" s="38">
        <v>14</v>
      </c>
      <c r="E155" s="93">
        <f t="shared" si="360"/>
        <v>87241.598906092273</v>
      </c>
      <c r="F155" s="37">
        <f t="shared" si="360"/>
        <v>0.9340642281166196</v>
      </c>
      <c r="G155" s="38">
        <f t="shared" si="360"/>
        <v>70144.77</v>
      </c>
      <c r="H155" s="37">
        <f t="shared" si="360"/>
        <v>0.75101466809421846</v>
      </c>
      <c r="I155" s="37">
        <f t="shared" si="360"/>
        <v>0.12605550364268947</v>
      </c>
      <c r="J155" s="38">
        <f t="shared" si="360"/>
        <v>66439.100000000006</v>
      </c>
      <c r="K155" s="37">
        <f t="shared" si="360"/>
        <v>0.94717111482438399</v>
      </c>
      <c r="L155" s="7">
        <f t="shared" si="360"/>
        <v>1544.793452093023</v>
      </c>
      <c r="M155" s="38">
        <f t="shared" si="360"/>
        <v>60598.6</v>
      </c>
      <c r="N155" s="37">
        <f t="shared" si="360"/>
        <v>0.9120924275012755</v>
      </c>
      <c r="O155" s="50">
        <f t="shared" si="360"/>
        <v>4184.5487261277613</v>
      </c>
      <c r="P155" s="98">
        <f>P151</f>
        <v>0.64880728051391856</v>
      </c>
      <c r="Q155" s="110">
        <f>INDEX(Daggett!$B$7:$M$21, MATCH(D155,Daggett!$A$7:$A$21,0), MATCH(B$149,Daggett!$B$6:$M$6,0))</f>
        <v>771.32258064516134</v>
      </c>
      <c r="R155" s="4">
        <f t="shared" si="354"/>
        <v>0.87823656862313149</v>
      </c>
      <c r="S155" s="98">
        <f t="shared" si="361"/>
        <v>0.56980627973624931</v>
      </c>
      <c r="T155" s="111">
        <f t="shared" si="362"/>
        <v>0.90608111588218376</v>
      </c>
      <c r="U155" s="98">
        <f t="shared" si="363"/>
        <v>0.58787202472053635</v>
      </c>
      <c r="AE155" s="38">
        <v>14</v>
      </c>
      <c r="AF155" s="93">
        <f t="shared" ref="AF155:AP155" si="383">AF68</f>
        <v>83341.336493212701</v>
      </c>
      <c r="AG155" s="37">
        <f t="shared" si="383"/>
        <v>0.8923055299059176</v>
      </c>
      <c r="AH155" s="38">
        <f t="shared" si="383"/>
        <v>68212.515100000004</v>
      </c>
      <c r="AI155" s="37">
        <f t="shared" si="383"/>
        <v>0.7303267141327624</v>
      </c>
      <c r="AJ155" s="37">
        <f t="shared" si="383"/>
        <v>0.11035698163765129</v>
      </c>
      <c r="AK155" s="38">
        <f t="shared" si="383"/>
        <v>64341.974000000002</v>
      </c>
      <c r="AL155" s="37">
        <f t="shared" si="383"/>
        <v>0.94325761050848567</v>
      </c>
      <c r="AM155" s="7">
        <f t="shared" si="383"/>
        <v>1496.0326092608047</v>
      </c>
      <c r="AN155" s="38">
        <f t="shared" si="383"/>
        <v>58918.601159999998</v>
      </c>
      <c r="AO155" s="37">
        <f t="shared" si="383"/>
        <v>0.91571018881080646</v>
      </c>
      <c r="AP155" s="50">
        <f t="shared" si="383"/>
        <v>4068.5388347141293</v>
      </c>
      <c r="AQ155" s="98">
        <f t="shared" si="365"/>
        <v>0.63082014089935756</v>
      </c>
      <c r="AR155" s="110">
        <f>INDEX(Daggett!$B$7:$M$21, MATCH(AE155,Daggett!$A$7:$A$21,0), MATCH(AC$149,Daggett!$B$6:$M$6,0))</f>
        <v>771.32258064516134</v>
      </c>
      <c r="AS155" s="4">
        <f t="shared" si="356"/>
        <v>0.8747646188578605</v>
      </c>
      <c r="AT155" s="98">
        <f t="shared" si="366"/>
        <v>0.55181914012168842</v>
      </c>
      <c r="AU155" s="111">
        <f t="shared" si="367"/>
        <v>0.90340312262936462</v>
      </c>
      <c r="AV155" s="98">
        <f t="shared" si="368"/>
        <v>0.56988488510597535</v>
      </c>
      <c r="AW155" s="38"/>
      <c r="AX155" s="37"/>
      <c r="AY155" s="38"/>
      <c r="AZ155" s="37"/>
      <c r="BA155" s="37"/>
      <c r="BB155" s="38"/>
      <c r="BC155" s="37"/>
      <c r="BF155" s="38">
        <v>14</v>
      </c>
      <c r="BG155" s="93">
        <f t="shared" ref="BG155:BQ155" si="384">BG68</f>
        <v>65217.092076203415</v>
      </c>
      <c r="BH155" s="37">
        <f t="shared" si="384"/>
        <v>0.69825580381374108</v>
      </c>
      <c r="BI155" s="38">
        <f t="shared" si="384"/>
        <v>58746.75</v>
      </c>
      <c r="BJ155" s="37">
        <f t="shared" si="384"/>
        <v>0.62898019271948613</v>
      </c>
      <c r="BK155" s="37">
        <f t="shared" si="384"/>
        <v>2.0883007649801333E-2</v>
      </c>
      <c r="BL155" s="38">
        <f t="shared" si="384"/>
        <v>52878.343308000003</v>
      </c>
      <c r="BM155" s="37">
        <f t="shared" si="384"/>
        <v>0.90010670050683661</v>
      </c>
      <c r="BN155" s="7">
        <f t="shared" si="384"/>
        <v>1229.4886369581363</v>
      </c>
      <c r="BO155" s="38">
        <f t="shared" si="384"/>
        <v>48540.370799999997</v>
      </c>
      <c r="BP155" s="37">
        <f t="shared" si="384"/>
        <v>0.91796315397529271</v>
      </c>
      <c r="BQ155" s="50">
        <f t="shared" si="384"/>
        <v>3351.8851392096381</v>
      </c>
      <c r="BR155" s="98">
        <f t="shared" si="358"/>
        <v>0.51970418415417552</v>
      </c>
      <c r="BS155" s="110">
        <f>INDEX(Daggett!$B$7:$M$21, MATCH(BF155,Daggett!$A$7:$A$21,0), MATCH(BD$149,Daggett!$B$6:$M$6,0))</f>
        <v>771.32258064516134</v>
      </c>
      <c r="BT155" s="4">
        <f t="shared" si="359"/>
        <v>0.84798852272808967</v>
      </c>
      <c r="BU155" s="98">
        <f t="shared" si="370"/>
        <v>0.44070318337650638</v>
      </c>
      <c r="BV155" s="111">
        <f t="shared" si="371"/>
        <v>0.88275011506294676</v>
      </c>
      <c r="BW155" s="98">
        <f t="shared" si="372"/>
        <v>0.4587689283607933</v>
      </c>
      <c r="BX155" s="38"/>
      <c r="BY155" s="37"/>
      <c r="BZ155" s="37"/>
      <c r="CA155" s="38"/>
      <c r="CB155" s="37"/>
      <c r="CC155" s="7"/>
      <c r="CD155" s="41"/>
      <c r="CE155" s="37"/>
    </row>
    <row r="156" spans="2:83">
      <c r="C156" s="7"/>
      <c r="D156" s="38">
        <v>15</v>
      </c>
      <c r="E156" s="93">
        <f t="shared" si="360"/>
        <v>83648.561859884285</v>
      </c>
      <c r="F156" s="37">
        <f t="shared" si="360"/>
        <v>0.89559488072681248</v>
      </c>
      <c r="G156" s="38">
        <f t="shared" si="360"/>
        <v>65672.399999999994</v>
      </c>
      <c r="H156" s="37">
        <f t="shared" si="360"/>
        <v>0.70313062098501067</v>
      </c>
      <c r="I156" s="37">
        <f t="shared" si="360"/>
        <v>0.14663155120549243</v>
      </c>
      <c r="J156" s="38">
        <f t="shared" si="360"/>
        <v>62170.387999999999</v>
      </c>
      <c r="K156" s="37">
        <f t="shared" si="360"/>
        <v>0.94667452384867923</v>
      </c>
      <c r="L156" s="7">
        <f t="shared" si="360"/>
        <v>1445.5404768650185</v>
      </c>
      <c r="M156" s="38">
        <f t="shared" si="360"/>
        <v>57505.29</v>
      </c>
      <c r="N156" s="37">
        <f t="shared" si="360"/>
        <v>0.92496270089226407</v>
      </c>
      <c r="O156" s="50">
        <f t="shared" si="360"/>
        <v>3970.9446755388326</v>
      </c>
      <c r="P156" s="98">
        <f>P150</f>
        <v>0.61568832976445398</v>
      </c>
      <c r="Q156" s="110">
        <f>INDEX(Daggett!$B$7:$M$21, MATCH(D156,Daggett!$A$7:$A$21,0), MATCH(B$149,Daggett!$B$6:$M$6,0))</f>
        <v>722.09677419354841</v>
      </c>
      <c r="R156" s="4">
        <f t="shared" si="354"/>
        <v>0.86293949995327157</v>
      </c>
      <c r="S156" s="98">
        <f t="shared" si="361"/>
        <v>0.53130177941400292</v>
      </c>
      <c r="T156" s="111">
        <f t="shared" si="362"/>
        <v>0.90102905504690267</v>
      </c>
      <c r="U156" s="98">
        <f t="shared" si="363"/>
        <v>0.55475307397107176</v>
      </c>
      <c r="AD156" s="7"/>
      <c r="AE156" s="38">
        <v>15</v>
      </c>
      <c r="AF156" s="93">
        <f t="shared" ref="AF156:AP156" si="385">AF69</f>
        <v>85212.629097835685</v>
      </c>
      <c r="AG156" s="37">
        <f t="shared" si="385"/>
        <v>0.91234078263207374</v>
      </c>
      <c r="AH156" s="38">
        <f t="shared" si="385"/>
        <v>67220.964000000007</v>
      </c>
      <c r="AI156" s="37">
        <f t="shared" si="385"/>
        <v>0.71971053533190588</v>
      </c>
      <c r="AJ156" s="37">
        <f t="shared" si="385"/>
        <v>0.14254182753238021</v>
      </c>
      <c r="AK156" s="38">
        <f t="shared" si="385"/>
        <v>63692.947999999997</v>
      </c>
      <c r="AL156" s="37">
        <f t="shared" si="385"/>
        <v>0.94751613499621923</v>
      </c>
      <c r="AM156" s="7">
        <f t="shared" si="385"/>
        <v>1480.9419305032939</v>
      </c>
      <c r="AN156" s="38">
        <f t="shared" si="385"/>
        <v>58410.851000000002</v>
      </c>
      <c r="AO156" s="37">
        <f t="shared" si="385"/>
        <v>0.91706935907567044</v>
      </c>
      <c r="AP156" s="50">
        <f t="shared" si="385"/>
        <v>4033.4768813815581</v>
      </c>
      <c r="AQ156" s="98">
        <f t="shared" si="365"/>
        <v>0.62538384368308353</v>
      </c>
      <c r="AR156" s="110">
        <f>INDEX(Daggett!$B$7:$M$21, MATCH(AE156,Daggett!$A$7:$A$21,0), MATCH(AC$149,Daggett!$B$6:$M$6,0))</f>
        <v>722.09677419354841</v>
      </c>
      <c r="AS156" s="4">
        <f t="shared" si="356"/>
        <v>0.8650643901296331</v>
      </c>
      <c r="AT156" s="98">
        <f t="shared" si="366"/>
        <v>0.54099729333263247</v>
      </c>
      <c r="AU156" s="111">
        <f t="shared" si="367"/>
        <v>0.90256343138876893</v>
      </c>
      <c r="AV156" s="98">
        <f t="shared" si="368"/>
        <v>0.56444858788970131</v>
      </c>
      <c r="AW156" s="38"/>
      <c r="AX156" s="37"/>
      <c r="AY156" s="38"/>
      <c r="AZ156" s="37"/>
      <c r="BA156" s="37"/>
      <c r="BB156" s="38"/>
      <c r="BC156" s="37"/>
      <c r="BE156" s="7"/>
      <c r="BF156" s="38">
        <v>15</v>
      </c>
      <c r="BG156" s="93">
        <f t="shared" ref="BG156:BQ156" si="386">BG69</f>
        <v>58758.787215544551</v>
      </c>
      <c r="BH156" s="37">
        <f t="shared" si="386"/>
        <v>0.62910907083024148</v>
      </c>
      <c r="BI156" s="38">
        <f t="shared" si="386"/>
        <v>53492.760999999999</v>
      </c>
      <c r="BJ156" s="37">
        <f t="shared" si="386"/>
        <v>0.57272763383297642</v>
      </c>
      <c r="BK156" s="37">
        <f t="shared" si="386"/>
        <v>1.0457700199084208E-2</v>
      </c>
      <c r="BL156" s="38">
        <f t="shared" si="386"/>
        <v>46637.245699999999</v>
      </c>
      <c r="BM156" s="37">
        <f t="shared" si="386"/>
        <v>0.87184218627264354</v>
      </c>
      <c r="BN156" s="7">
        <f t="shared" si="386"/>
        <v>1084.3751914311526</v>
      </c>
      <c r="BO156" s="38">
        <f t="shared" si="386"/>
        <v>42757.07</v>
      </c>
      <c r="BP156" s="37">
        <f t="shared" si="386"/>
        <v>0.91680092505977473</v>
      </c>
      <c r="BQ156" s="50">
        <f t="shared" si="386"/>
        <v>2952.5276623792547</v>
      </c>
      <c r="BR156" s="98">
        <f t="shared" si="358"/>
        <v>0.45778447537473232</v>
      </c>
      <c r="BS156" s="110">
        <f>INDEX(Daggett!$B$7:$M$21, MATCH(BF156,Daggett!$A$7:$A$21,0), MATCH(BD$149,Daggett!$B$6:$M$6,0))</f>
        <v>722.09677419354841</v>
      </c>
      <c r="BT156" s="4">
        <f t="shared" si="359"/>
        <v>0.81566314523581407</v>
      </c>
      <c r="BU156" s="98">
        <f t="shared" si="370"/>
        <v>0.37339792502428126</v>
      </c>
      <c r="BV156" s="111">
        <f t="shared" si="371"/>
        <v>0.86689095180979669</v>
      </c>
      <c r="BW156" s="98">
        <f t="shared" si="372"/>
        <v>0.39684921958135017</v>
      </c>
      <c r="BX156" s="38"/>
      <c r="BY156" s="37"/>
      <c r="BZ156" s="37"/>
      <c r="CA156" s="38"/>
      <c r="CB156" s="37"/>
      <c r="CC156" s="7"/>
      <c r="CD156" s="41"/>
      <c r="CE156" s="37"/>
    </row>
    <row r="157" spans="2:83">
      <c r="C157" s="7" t="s">
        <v>160</v>
      </c>
      <c r="D157" s="38">
        <v>16</v>
      </c>
      <c r="E157" s="93">
        <f t="shared" si="360"/>
        <v>78720.882669289465</v>
      </c>
      <c r="F157" s="37">
        <f t="shared" si="360"/>
        <v>0.84283600288318483</v>
      </c>
      <c r="G157" s="38">
        <f t="shared" si="360"/>
        <v>55403.5</v>
      </c>
      <c r="H157" s="37">
        <f t="shared" si="360"/>
        <v>0.59318522483940039</v>
      </c>
      <c r="I157" s="37">
        <f t="shared" si="360"/>
        <v>0.2350035516602843</v>
      </c>
      <c r="J157" s="38">
        <f t="shared" si="360"/>
        <v>51748.79</v>
      </c>
      <c r="K157" s="37">
        <f t="shared" si="360"/>
        <v>0.93403467289972653</v>
      </c>
      <c r="L157" s="7">
        <f t="shared" si="360"/>
        <v>1203.2250880240235</v>
      </c>
      <c r="M157" s="38">
        <f t="shared" si="360"/>
        <v>47665.146000000001</v>
      </c>
      <c r="N157" s="37">
        <f t="shared" si="360"/>
        <v>0.92108715971909683</v>
      </c>
      <c r="O157" s="50">
        <f t="shared" si="360"/>
        <v>3291.4477558061367</v>
      </c>
      <c r="P157" s="98">
        <f>P149</f>
        <v>0.51033346895074949</v>
      </c>
      <c r="Q157" s="110">
        <f>INDEX(Daggett!$B$7:$M$21, MATCH(D157,Daggett!$A$7:$A$21,0), MATCH(B$149,Daggett!$B$6:$M$6,0))</f>
        <v>586.74193548387098</v>
      </c>
      <c r="R157" s="4">
        <f t="shared" si="354"/>
        <v>0.79649857342572228</v>
      </c>
      <c r="S157" s="98">
        <f t="shared" si="361"/>
        <v>0.40647987999067209</v>
      </c>
      <c r="T157" s="111">
        <f t="shared" si="362"/>
        <v>0.88059717909807944</v>
      </c>
      <c r="U157" s="98">
        <f t="shared" si="363"/>
        <v>0.44939821315736733</v>
      </c>
      <c r="AD157" s="7" t="s">
        <v>160</v>
      </c>
      <c r="AE157" s="38">
        <v>16</v>
      </c>
      <c r="AF157" s="93">
        <f t="shared" ref="AF157:AP157" si="387">AF70</f>
        <v>85870.14748385211</v>
      </c>
      <c r="AG157" s="37">
        <f t="shared" si="387"/>
        <v>0.91938059404552586</v>
      </c>
      <c r="AH157" s="38">
        <f t="shared" si="387"/>
        <v>56572.124689999997</v>
      </c>
      <c r="AI157" s="37">
        <f t="shared" si="387"/>
        <v>0.60569726648822264</v>
      </c>
      <c r="AJ157" s="37">
        <f t="shared" si="387"/>
        <v>0.28390201155764583</v>
      </c>
      <c r="AK157" s="38">
        <f t="shared" si="387"/>
        <v>53581.399429999998</v>
      </c>
      <c r="AL157" s="37">
        <f t="shared" si="387"/>
        <v>0.94713429491311552</v>
      </c>
      <c r="AM157" s="7">
        <f t="shared" si="387"/>
        <v>1245.8355846699433</v>
      </c>
      <c r="AN157" s="38">
        <f t="shared" si="387"/>
        <v>48558.887999999999</v>
      </c>
      <c r="AO157" s="37">
        <f t="shared" si="387"/>
        <v>0.90626389972211296</v>
      </c>
      <c r="AP157" s="50">
        <f t="shared" si="387"/>
        <v>3353.1638176885381</v>
      </c>
      <c r="AQ157" s="98">
        <f t="shared" si="365"/>
        <v>0.51990244111349038</v>
      </c>
      <c r="AR157" s="110">
        <f>INDEX(Daggett!$B$7:$M$21, MATCH(AE157,Daggett!$A$7:$A$21,0), MATCH(AC$149,Daggett!$B$6:$M$6,0))</f>
        <v>586.74193548387098</v>
      </c>
      <c r="AS157" s="4">
        <f t="shared" si="356"/>
        <v>0.80024408283667392</v>
      </c>
      <c r="AT157" s="98">
        <f t="shared" si="366"/>
        <v>0.41604885215341297</v>
      </c>
      <c r="AU157" s="111">
        <f t="shared" si="367"/>
        <v>0.88279482653923425</v>
      </c>
      <c r="AV157" s="98">
        <f t="shared" si="368"/>
        <v>0.45896718532010816</v>
      </c>
      <c r="AW157" s="38"/>
      <c r="AX157" s="37"/>
      <c r="AY157" s="38"/>
      <c r="AZ157" s="37"/>
      <c r="BA157" s="37"/>
      <c r="BB157" s="38"/>
      <c r="BC157" s="37"/>
      <c r="BE157" s="7" t="s">
        <v>160</v>
      </c>
      <c r="BF157" s="38">
        <v>16</v>
      </c>
      <c r="BG157" s="93">
        <f t="shared" ref="BG157:BQ157" si="388">BG70</f>
        <v>52034.765759578651</v>
      </c>
      <c r="BH157" s="37">
        <f t="shared" si="388"/>
        <v>0.55711740641947161</v>
      </c>
      <c r="BI157" s="38">
        <f t="shared" si="388"/>
        <v>43321.8</v>
      </c>
      <c r="BJ157" s="37">
        <f t="shared" si="388"/>
        <v>0.46383083511777307</v>
      </c>
      <c r="BK157" s="37">
        <f t="shared" si="388"/>
        <v>9.5049005100785844E-2</v>
      </c>
      <c r="BL157" s="38">
        <f t="shared" si="388"/>
        <v>36332.620000000003</v>
      </c>
      <c r="BM157" s="37">
        <f t="shared" si="388"/>
        <v>0.83866829171456403</v>
      </c>
      <c r="BN157" s="7">
        <f t="shared" si="388"/>
        <v>844.77955711898585</v>
      </c>
      <c r="BO157" s="38">
        <f t="shared" si="388"/>
        <v>33372.247000000003</v>
      </c>
      <c r="BP157" s="37">
        <f t="shared" si="388"/>
        <v>0.91852024434241186</v>
      </c>
      <c r="BQ157" s="50">
        <f t="shared" si="388"/>
        <v>2304.4722761230623</v>
      </c>
      <c r="BR157" s="98">
        <f t="shared" si="358"/>
        <v>0.35730457173447538</v>
      </c>
      <c r="BS157" s="110">
        <f>INDEX(Daggett!$B$7:$M$21, MATCH(BF157,Daggett!$A$7:$A$21,0), MATCH(BD$149,Daggett!$B$6:$M$6,0))</f>
        <v>586.74193548387098</v>
      </c>
      <c r="BT157" s="4">
        <f t="shared" si="359"/>
        <v>0.70934156130178383</v>
      </c>
      <c r="BU157" s="98">
        <f t="shared" si="370"/>
        <v>0.25345098277439798</v>
      </c>
      <c r="BV157" s="111">
        <f t="shared" si="371"/>
        <v>0.82945850511348862</v>
      </c>
      <c r="BW157" s="98">
        <f t="shared" si="372"/>
        <v>0.29636931594109323</v>
      </c>
      <c r="BX157" s="38"/>
      <c r="BY157" s="37"/>
      <c r="BZ157" s="37"/>
      <c r="CA157" s="38"/>
      <c r="CB157" s="37"/>
      <c r="CC157" s="7"/>
      <c r="CD157" s="41"/>
      <c r="CE157" s="37"/>
    </row>
    <row r="158" spans="2:83">
      <c r="C158" s="7">
        <f>ROW(D158)-ROW(D148)+1</f>
        <v>11</v>
      </c>
      <c r="D158" s="38">
        <v>17</v>
      </c>
      <c r="E158" s="93">
        <f t="shared" si="360"/>
        <v>72563.325603432488</v>
      </c>
      <c r="F158" s="37">
        <f t="shared" si="360"/>
        <v>0.7769092677027033</v>
      </c>
      <c r="G158" s="38">
        <f t="shared" si="360"/>
        <v>34367.46</v>
      </c>
      <c r="H158" s="37">
        <f t="shared" si="360"/>
        <v>0.36795995717344754</v>
      </c>
      <c r="I158" s="37">
        <f t="shared" si="360"/>
        <v>0.48519538662321682</v>
      </c>
      <c r="J158" s="38">
        <f t="shared" si="360"/>
        <v>31399.86</v>
      </c>
      <c r="K158" s="37">
        <f t="shared" si="360"/>
        <v>0.91365087789438038</v>
      </c>
      <c r="L158" s="7">
        <f t="shared" si="360"/>
        <v>730.08662255565821</v>
      </c>
      <c r="M158" s="38">
        <f t="shared" si="360"/>
        <v>28742.41158</v>
      </c>
      <c r="N158" s="37">
        <f t="shared" si="360"/>
        <v>0.91536750737105199</v>
      </c>
      <c r="O158" s="50">
        <f t="shared" si="360"/>
        <v>1984.7656837439943</v>
      </c>
      <c r="P158" s="98">
        <f>P148</f>
        <v>0.30773459935760172</v>
      </c>
      <c r="Q158" s="110">
        <f>INDEX(Daggett!$B$7:$M$21, MATCH(D158,Daggett!$A$7:$A$21,0), MATCH(B$149,Daggett!$B$6:$M$6,0))</f>
        <v>505.41935483870969</v>
      </c>
      <c r="R158" s="4">
        <f t="shared" si="354"/>
        <v>0.60822164199562567</v>
      </c>
      <c r="S158" s="98">
        <f t="shared" si="361"/>
        <v>0.18717084332014652</v>
      </c>
      <c r="T158" s="111">
        <f t="shared" si="362"/>
        <v>0.80198763505766002</v>
      </c>
      <c r="U158" s="98">
        <f t="shared" si="363"/>
        <v>0.24679934356421951</v>
      </c>
      <c r="AD158" s="7">
        <f>ROW(AE158)-ROW(AE148)+1</f>
        <v>11</v>
      </c>
      <c r="AE158" s="38">
        <v>17</v>
      </c>
      <c r="AF158" s="93">
        <f t="shared" ref="AF158:AP158" si="389">AF71</f>
        <v>85297.646761304408</v>
      </c>
      <c r="AG158" s="37">
        <f t="shared" si="389"/>
        <v>0.91325103598826984</v>
      </c>
      <c r="AH158" s="38">
        <f t="shared" si="389"/>
        <v>34360.947</v>
      </c>
      <c r="AI158" s="37">
        <f t="shared" si="389"/>
        <v>0.36789022483940043</v>
      </c>
      <c r="AJ158" s="37">
        <f t="shared" si="389"/>
        <v>0.56213498434137277</v>
      </c>
      <c r="AK158" s="38">
        <f t="shared" si="389"/>
        <v>32402.848000000002</v>
      </c>
      <c r="AL158" s="37">
        <f t="shared" si="389"/>
        <v>0.94301382322204341</v>
      </c>
      <c r="AM158" s="7">
        <f t="shared" si="389"/>
        <v>753.40736734190421</v>
      </c>
      <c r="AN158" s="38">
        <f t="shared" si="389"/>
        <v>29173.83</v>
      </c>
      <c r="AO158" s="37">
        <f t="shared" si="389"/>
        <v>0.90034771017658699</v>
      </c>
      <c r="AP158" s="50">
        <f t="shared" si="389"/>
        <v>2014.5566591104064</v>
      </c>
      <c r="AQ158" s="98">
        <f t="shared" si="365"/>
        <v>0.31235364025695933</v>
      </c>
      <c r="AR158" s="110">
        <f>INDEX(Daggett!$B$7:$M$21, MATCH(AE158,Daggett!$A$7:$A$21,0), MATCH(AC$149,Daggett!$B$6:$M$6,0))</f>
        <v>505.41935483870969</v>
      </c>
      <c r="AS158" s="4">
        <f t="shared" si="356"/>
        <v>0.61401520424646638</v>
      </c>
      <c r="AT158" s="98">
        <f t="shared" si="366"/>
        <v>0.19178988421950416</v>
      </c>
      <c r="AU158" s="111">
        <f t="shared" si="367"/>
        <v>0.80491581355269792</v>
      </c>
      <c r="AV158" s="98">
        <f t="shared" si="368"/>
        <v>0.25141838446357717</v>
      </c>
      <c r="AW158" s="38"/>
      <c r="AX158" s="37"/>
      <c r="AY158" s="38"/>
      <c r="AZ158" s="37"/>
      <c r="BA158" s="37"/>
      <c r="BB158" s="38"/>
      <c r="BC158" s="37"/>
      <c r="BE158" s="7">
        <f>ROW(BF158)-ROW(BF148)+1</f>
        <v>11</v>
      </c>
      <c r="BF158" s="38">
        <v>17</v>
      </c>
      <c r="BG158" s="93">
        <f t="shared" ref="BG158:BQ158" si="390">BG71</f>
        <v>45487.114658363287</v>
      </c>
      <c r="BH158" s="37">
        <f t="shared" si="390"/>
        <v>0.48701407557134141</v>
      </c>
      <c r="BI158" s="38">
        <f t="shared" si="390"/>
        <v>25025.050200000001</v>
      </c>
      <c r="BJ158" s="37">
        <f t="shared" si="390"/>
        <v>0.26793415631691653</v>
      </c>
      <c r="BK158" s="37">
        <f t="shared" si="390"/>
        <v>0.4020033645563863</v>
      </c>
      <c r="BL158" s="38">
        <f t="shared" si="390"/>
        <v>19879.028620000001</v>
      </c>
      <c r="BM158" s="37">
        <f t="shared" si="390"/>
        <v>0.79436518453017924</v>
      </c>
      <c r="BN158" s="7">
        <f t="shared" si="390"/>
        <v>462.21266161260166</v>
      </c>
      <c r="BO158" s="38">
        <f t="shared" si="390"/>
        <v>18446.386999999999</v>
      </c>
      <c r="BP158" s="37">
        <f t="shared" si="390"/>
        <v>0.92793201079459975</v>
      </c>
      <c r="BQ158" s="50">
        <f t="shared" si="390"/>
        <v>1273.7885895467832</v>
      </c>
      <c r="BR158" s="98">
        <f t="shared" si="358"/>
        <v>0.19749879014989291</v>
      </c>
      <c r="BS158" s="110">
        <f>INDEX(Daggett!$B$7:$M$21, MATCH(BF158,Daggett!$A$7:$A$21,0), MATCH(BD$149,Daggett!$B$6:$M$6,0))</f>
        <v>505.41935483870969</v>
      </c>
      <c r="BT158" s="4">
        <f t="shared" si="359"/>
        <v>0.38954686281393125</v>
      </c>
      <c r="BU158" s="98">
        <f t="shared" si="370"/>
        <v>7.6935034112437725E-2</v>
      </c>
      <c r="BV158" s="111">
        <f t="shared" si="371"/>
        <v>0.6914651692441508</v>
      </c>
      <c r="BW158" s="98">
        <f t="shared" si="372"/>
        <v>0.13656353435651072</v>
      </c>
      <c r="BX158" s="38"/>
      <c r="BY158" s="37"/>
      <c r="BZ158" s="37"/>
      <c r="CA158" s="38"/>
      <c r="CB158" s="37"/>
      <c r="CC158" s="7"/>
      <c r="CD158" s="41"/>
      <c r="CE158" s="37"/>
    </row>
    <row r="159" spans="2:83">
      <c r="C159" s="7"/>
      <c r="D159" s="38"/>
      <c r="E159" s="93"/>
      <c r="F159" s="37"/>
      <c r="G159" s="38"/>
      <c r="H159" s="37"/>
      <c r="I159" s="37"/>
      <c r="J159" s="38"/>
      <c r="K159" s="37"/>
      <c r="L159" s="7"/>
      <c r="M159" s="38"/>
      <c r="N159" s="37"/>
      <c r="O159" s="50"/>
      <c r="P159" s="98"/>
      <c r="Q159" s="110"/>
      <c r="R159" s="4"/>
      <c r="S159" s="98"/>
      <c r="T159" s="111"/>
      <c r="U159" s="98"/>
      <c r="AD159" s="7"/>
      <c r="AE159" s="38"/>
      <c r="AF159" s="93"/>
      <c r="AG159" s="37"/>
      <c r="AH159" s="38"/>
      <c r="AI159" s="37"/>
      <c r="AJ159" s="37"/>
      <c r="AK159" s="38"/>
      <c r="AL159" s="37"/>
      <c r="AM159" s="7"/>
      <c r="AN159" s="38"/>
      <c r="AO159" s="37"/>
      <c r="AP159" s="50"/>
      <c r="AQ159" s="98"/>
      <c r="AR159" s="110"/>
      <c r="AS159" s="4"/>
      <c r="AT159" s="98"/>
      <c r="AU159" s="111"/>
      <c r="AV159" s="98"/>
      <c r="AW159" s="38"/>
      <c r="AX159" s="37"/>
      <c r="AY159" s="38"/>
      <c r="AZ159" s="37"/>
      <c r="BA159" s="37"/>
      <c r="BB159" s="38"/>
      <c r="BC159" s="37"/>
      <c r="BE159" s="7"/>
      <c r="BF159" s="38"/>
      <c r="BG159" s="93"/>
      <c r="BH159" s="37"/>
      <c r="BI159" s="38"/>
      <c r="BJ159" s="37"/>
      <c r="BK159" s="37"/>
      <c r="BL159" s="38"/>
      <c r="BM159" s="37"/>
      <c r="BN159" s="7"/>
      <c r="BO159" s="38"/>
      <c r="BP159" s="37"/>
      <c r="BQ159" s="50"/>
      <c r="BR159" s="98"/>
      <c r="BS159" s="110"/>
      <c r="BT159" s="4"/>
      <c r="BU159" s="98"/>
      <c r="BV159" s="111"/>
      <c r="BW159" s="98"/>
      <c r="BX159" s="38"/>
      <c r="BY159" s="37"/>
      <c r="BZ159" s="37"/>
      <c r="CA159" s="38"/>
      <c r="CB159" s="37"/>
      <c r="CC159" s="7"/>
      <c r="CD159" s="41"/>
      <c r="CE159" s="37"/>
    </row>
    <row r="160" spans="2:83">
      <c r="E160" s="94"/>
      <c r="P160" s="95"/>
      <c r="Q160" s="94"/>
      <c r="S160" s="95"/>
      <c r="T160" s="94"/>
      <c r="U160" s="95"/>
      <c r="AF160" s="94"/>
      <c r="AQ160" s="95"/>
      <c r="AR160" s="94"/>
      <c r="AT160" s="95"/>
      <c r="AU160" s="94"/>
      <c r="AV160" s="95"/>
      <c r="AW160" s="38"/>
      <c r="AX160" s="37"/>
      <c r="AY160" s="38"/>
      <c r="AZ160" s="37"/>
      <c r="BA160" s="37"/>
      <c r="BB160" s="38"/>
      <c r="BC160" s="37"/>
      <c r="BG160" s="94"/>
      <c r="BR160" s="95"/>
      <c r="BS160" s="94"/>
      <c r="BU160" s="95"/>
      <c r="BV160" s="94"/>
      <c r="BW160" s="95"/>
      <c r="BX160" s="38"/>
      <c r="BY160" s="37"/>
      <c r="BZ160" s="37"/>
      <c r="CA160" s="38"/>
      <c r="CB160" s="37"/>
      <c r="CC160" s="7"/>
      <c r="CD160" s="41"/>
      <c r="CE160" s="37"/>
    </row>
    <row r="161" spans="2:83" ht="49.5">
      <c r="B161" s="34"/>
      <c r="C161" s="64" t="s">
        <v>149</v>
      </c>
      <c r="D161" s="64" t="s">
        <v>87</v>
      </c>
      <c r="E161" s="96" t="s">
        <v>150</v>
      </c>
      <c r="F161" s="64" t="s">
        <v>123</v>
      </c>
      <c r="G161" s="64" t="s">
        <v>151</v>
      </c>
      <c r="H161" s="33" t="s">
        <v>152</v>
      </c>
      <c r="I161" s="34" t="s">
        <v>153</v>
      </c>
      <c r="J161" s="92" t="s">
        <v>154</v>
      </c>
      <c r="K161" s="35" t="s">
        <v>155</v>
      </c>
      <c r="L161" s="35" t="s">
        <v>156</v>
      </c>
      <c r="M161" s="92" t="s">
        <v>157</v>
      </c>
      <c r="N161" s="35" t="s">
        <v>70</v>
      </c>
      <c r="O161" s="35" t="s">
        <v>158</v>
      </c>
      <c r="P161" s="107" t="s">
        <v>127</v>
      </c>
      <c r="Q161" s="150" t="s">
        <v>159</v>
      </c>
      <c r="R161" s="69" t="s">
        <v>128</v>
      </c>
      <c r="S161" s="107" t="s">
        <v>129</v>
      </c>
      <c r="T161" s="114" t="s">
        <v>128</v>
      </c>
      <c r="U161" s="107" t="s">
        <v>129</v>
      </c>
      <c r="AC161" s="34"/>
      <c r="AD161" s="64" t="s">
        <v>149</v>
      </c>
      <c r="AE161" s="64" t="s">
        <v>87</v>
      </c>
      <c r="AF161" s="96" t="s">
        <v>150</v>
      </c>
      <c r="AG161" s="64" t="s">
        <v>123</v>
      </c>
      <c r="AH161" s="64" t="s">
        <v>151</v>
      </c>
      <c r="AI161" s="33" t="s">
        <v>152</v>
      </c>
      <c r="AJ161" s="34" t="s">
        <v>153</v>
      </c>
      <c r="AK161" s="92" t="s">
        <v>154</v>
      </c>
      <c r="AL161" s="35" t="s">
        <v>155</v>
      </c>
      <c r="AM161" s="35" t="s">
        <v>156</v>
      </c>
      <c r="AN161" s="92" t="s">
        <v>157</v>
      </c>
      <c r="AO161" s="35" t="s">
        <v>70</v>
      </c>
      <c r="AP161" s="35" t="s">
        <v>158</v>
      </c>
      <c r="AQ161" s="107" t="s">
        <v>127</v>
      </c>
      <c r="AR161" s="150" t="s">
        <v>159</v>
      </c>
      <c r="AS161" s="69" t="s">
        <v>128</v>
      </c>
      <c r="AT161" s="107" t="s">
        <v>129</v>
      </c>
      <c r="AU161" s="114" t="s">
        <v>128</v>
      </c>
      <c r="AV161" s="107" t="s">
        <v>129</v>
      </c>
      <c r="AW161" s="38"/>
      <c r="AX161" s="37"/>
      <c r="AY161" s="38"/>
      <c r="AZ161" s="37"/>
      <c r="BA161" s="37"/>
      <c r="BB161" s="38"/>
      <c r="BC161" s="37"/>
      <c r="BD161" s="34"/>
      <c r="BE161" s="64" t="s">
        <v>149</v>
      </c>
      <c r="BF161" s="64" t="s">
        <v>87</v>
      </c>
      <c r="BG161" s="96" t="s">
        <v>150</v>
      </c>
      <c r="BH161" s="64" t="s">
        <v>123</v>
      </c>
      <c r="BI161" s="64" t="s">
        <v>151</v>
      </c>
      <c r="BJ161" s="33" t="s">
        <v>152</v>
      </c>
      <c r="BK161" s="34" t="s">
        <v>153</v>
      </c>
      <c r="BL161" s="92" t="s">
        <v>154</v>
      </c>
      <c r="BM161" s="35" t="s">
        <v>155</v>
      </c>
      <c r="BN161" s="35" t="s">
        <v>156</v>
      </c>
      <c r="BO161" s="92" t="s">
        <v>157</v>
      </c>
      <c r="BP161" s="35" t="s">
        <v>70</v>
      </c>
      <c r="BQ161" s="35" t="s">
        <v>158</v>
      </c>
      <c r="BR161" s="107" t="s">
        <v>127</v>
      </c>
      <c r="BS161" s="150" t="s">
        <v>159</v>
      </c>
      <c r="BT161" s="69" t="s">
        <v>128</v>
      </c>
      <c r="BU161" s="107" t="s">
        <v>129</v>
      </c>
      <c r="BV161" s="114" t="s">
        <v>128</v>
      </c>
      <c r="BW161" s="107" t="s">
        <v>129</v>
      </c>
      <c r="BX161" s="38"/>
      <c r="BY161" s="37"/>
      <c r="BZ161" s="37"/>
      <c r="CA161" s="38"/>
      <c r="CB161" s="37"/>
      <c r="CC161" s="7"/>
      <c r="CD161" s="41"/>
      <c r="CE161" s="37"/>
    </row>
    <row r="162" spans="2:83">
      <c r="B162" s="2" t="s">
        <v>86</v>
      </c>
      <c r="C162" s="7">
        <v>295</v>
      </c>
      <c r="D162" s="38">
        <v>8</v>
      </c>
      <c r="E162" s="93">
        <f t="shared" ref="E162:E168" si="391">E47</f>
        <v>80142.912645621298</v>
      </c>
      <c r="F162" s="37">
        <f t="shared" ref="F162:O162" si="392">F47</f>
        <v>0.85806116322935011</v>
      </c>
      <c r="G162" s="38">
        <f t="shared" si="392"/>
        <v>50168.038999999997</v>
      </c>
      <c r="H162" s="37">
        <f t="shared" si="392"/>
        <v>0.53713103854389721</v>
      </c>
      <c r="I162" s="37">
        <f t="shared" si="392"/>
        <v>0.31958453500389006</v>
      </c>
      <c r="J162" s="38">
        <f t="shared" si="392"/>
        <v>47088.959999999999</v>
      </c>
      <c r="K162" s="37">
        <f t="shared" si="392"/>
        <v>0.93862468891797823</v>
      </c>
      <c r="L162" s="7">
        <f t="shared" si="392"/>
        <v>1094.8781225794792</v>
      </c>
      <c r="M162" s="38">
        <f t="shared" si="392"/>
        <v>42702.380400000002</v>
      </c>
      <c r="N162" s="37">
        <f t="shared" si="392"/>
        <v>0.90684484006442279</v>
      </c>
      <c r="O162" s="50">
        <f t="shared" si="392"/>
        <v>2948.7511511065122</v>
      </c>
      <c r="P162" s="98">
        <f>M162/$C$10</f>
        <v>0.45719893361884373</v>
      </c>
      <c r="Q162" s="110">
        <f>INDEX(Daggett!$B$7:$M$21, MATCH(D162,Daggett!$A$7:$A$21,0), MATCH(B$163,Daggett!$B$6:$M$6,0))</f>
        <v>580.64516129032256</v>
      </c>
      <c r="R162" s="4">
        <f t="shared" ref="R162:R170" si="393">IF(1-$H$7*(($H$5+273)^4-298^4)*(PI()*$C$19^2)*1000/(M162*Q162*1000)&lt;0,#N/A,1-$H$7*(($H$5+273)^4-298^4)*(PI()*$C$19^2)*1000/(M162*Q162*1000))</f>
        <v>0.77046304370506768</v>
      </c>
      <c r="S162" s="98">
        <f>R162*P162</f>
        <v>0.35225488197468552</v>
      </c>
      <c r="T162" s="111">
        <f>IF(1-$H$7*(($H$5+273)^4-298^4)/(O162*1000)&lt;0,#N/A,1-$H$7*(($H$5+273)^4-298^4)/(O162*1000))</f>
        <v>0.86672047699003929</v>
      </c>
      <c r="U162" s="98">
        <f>T162*P162</f>
        <v>0.39626367782546157</v>
      </c>
      <c r="AC162" s="2" t="s">
        <v>86</v>
      </c>
      <c r="AD162" s="7">
        <v>295</v>
      </c>
      <c r="AE162" s="38">
        <v>8</v>
      </c>
      <c r="AF162" s="93">
        <f>AF47</f>
        <v>47172.812436235159</v>
      </c>
      <c r="AG162" s="37">
        <f t="shared" ref="AG162:AP162" si="394">AG47</f>
        <v>0.50506223165134001</v>
      </c>
      <c r="AH162" s="38">
        <f t="shared" si="394"/>
        <v>38232.247519999997</v>
      </c>
      <c r="AI162" s="37">
        <f t="shared" si="394"/>
        <v>0.40933883854389719</v>
      </c>
      <c r="AJ162" s="37">
        <f t="shared" si="394"/>
        <v>0.11905208452893934</v>
      </c>
      <c r="AK162" s="38">
        <f t="shared" si="394"/>
        <v>31256.737000000001</v>
      </c>
      <c r="AL162" s="37">
        <f t="shared" si="394"/>
        <v>0.81754903327744521</v>
      </c>
      <c r="AM162" s="7">
        <f t="shared" si="394"/>
        <v>726.75883104066304</v>
      </c>
      <c r="AN162" s="38">
        <f t="shared" si="394"/>
        <v>28707.034</v>
      </c>
      <c r="AO162" s="37">
        <f t="shared" si="394"/>
        <v>0.91842708981426946</v>
      </c>
      <c r="AP162" s="50">
        <f t="shared" si="394"/>
        <v>1982.3227360963178</v>
      </c>
      <c r="AQ162" s="98">
        <f>AN162/$C$10</f>
        <v>0.3073558244111349</v>
      </c>
      <c r="AR162" s="110">
        <f>INDEX(Daggett!$B$7:$M$21, MATCH(AE162,Daggett!$A$7:$A$21,0), MATCH(AC$163,Daggett!$B$6:$M$6,0))</f>
        <v>580.64516129032256</v>
      </c>
      <c r="AS162" s="4">
        <f t="shared" ref="AS162:AS170" si="395">IF(1-$H$7*(($H$5+273)^4-298^4)*(PI()*$C$19^2)*1000/(AN162*AR162*1000)&lt;0,#N/A,1-$H$7*(($H$5+273)^4-298^4)*(PI()*$C$19^2)*1000/(AN162*AR162*1000))</f>
        <v>0.65855844168490629</v>
      </c>
      <c r="AT162" s="98">
        <f>AS162*AQ162</f>
        <v>0.20241177276697669</v>
      </c>
      <c r="AU162" s="111">
        <f>IF(1-$H$7*(($H$5+273)^4-298^4)/(AP162*1000)&lt;0,#N/A,1-$H$7*(($H$5+273)^4-298^4)/(AP162*1000))</f>
        <v>0.80174361130091332</v>
      </c>
      <c r="AV162" s="98">
        <f>AU162*AQ162</f>
        <v>0.24642056861775272</v>
      </c>
      <c r="AW162" s="38"/>
      <c r="AX162" s="37"/>
      <c r="AY162" s="38"/>
      <c r="AZ162" s="37"/>
      <c r="BA162" s="37"/>
      <c r="BB162" s="38"/>
      <c r="BC162" s="37"/>
      <c r="BD162" s="2" t="s">
        <v>86</v>
      </c>
      <c r="BE162" s="7">
        <v>295</v>
      </c>
      <c r="BF162" s="38">
        <v>8</v>
      </c>
      <c r="BG162" s="93">
        <f>BG47</f>
        <v>82506.365010660578</v>
      </c>
      <c r="BH162" s="37">
        <f t="shared" ref="BH162:BQ162" si="396">BH47</f>
        <v>0.88336579240535951</v>
      </c>
      <c r="BI162" s="38">
        <f t="shared" si="396"/>
        <v>50328.262999999999</v>
      </c>
      <c r="BJ162" s="37">
        <f t="shared" si="396"/>
        <v>0.53884649892933623</v>
      </c>
      <c r="BK162" s="37">
        <f t="shared" si="396"/>
        <v>0.33696468522660239</v>
      </c>
      <c r="BL162" s="38">
        <f t="shared" si="396"/>
        <v>47337.9018</v>
      </c>
      <c r="BM162" s="37">
        <f t="shared" si="396"/>
        <v>0.94058286494012322</v>
      </c>
      <c r="BN162" s="7">
        <f t="shared" si="396"/>
        <v>1100.6663355834519</v>
      </c>
      <c r="BO162" s="38">
        <f t="shared" si="396"/>
        <v>42919.5458</v>
      </c>
      <c r="BP162" s="37">
        <f t="shared" si="396"/>
        <v>0.90666345925792602</v>
      </c>
      <c r="BQ162" s="50">
        <f t="shared" si="396"/>
        <v>2963.7471938852073</v>
      </c>
      <c r="BR162" s="98">
        <f>BO162/$C$10</f>
        <v>0.45952404496788007</v>
      </c>
      <c r="BS162" s="110">
        <f>INDEX(Daggett!$B$7:$M$21, MATCH(BF162,Daggett!$A$7:$A$21,0), MATCH(BD$163,Daggett!$B$6:$M$6,0))</f>
        <v>580.64516129032256</v>
      </c>
      <c r="BT162" s="4">
        <f t="shared" ref="BT162:BT170" si="397">IF(1-$H$7*(($H$5+273)^4-298^4)*(PI()*$C$19^2)*1000/(BO162*BS162*1000)&lt;0,#N/A,1-$H$7*(($H$5+273)^4-298^4)*(PI()*$C$19^2)*1000/(BO162*BS162*1000))</f>
        <v>0.77162446058400791</v>
      </c>
      <c r="BU162" s="98">
        <f>BT162*BR162</f>
        <v>0.35457999332372186</v>
      </c>
      <c r="BV162" s="111">
        <f>IF(1-$H$7*(($H$5+273)^4-298^4)/(BQ162*1000)&lt;0,#N/A,1-$H$7*(($H$5+273)^4-298^4)/(BQ162*1000))</f>
        <v>0.86739484808103684</v>
      </c>
      <c r="BW162" s="98">
        <f>BV162*BR162</f>
        <v>0.39858878917449786</v>
      </c>
      <c r="BX162" s="38"/>
      <c r="BY162" s="37"/>
      <c r="BZ162" s="37"/>
      <c r="CA162" s="38"/>
      <c r="CB162" s="37"/>
      <c r="CC162" s="7"/>
      <c r="CD162" s="41"/>
      <c r="CE162" s="37"/>
    </row>
    <row r="163" spans="2:83">
      <c r="B163" s="2">
        <v>10</v>
      </c>
      <c r="D163" s="38">
        <v>9</v>
      </c>
      <c r="E163" s="93">
        <f t="shared" si="391"/>
        <v>84902.688749685229</v>
      </c>
      <c r="F163" s="37">
        <f t="shared" ref="F163:O163" si="398">F48</f>
        <v>0.90902236348699383</v>
      </c>
      <c r="G163" s="38">
        <f t="shared" si="398"/>
        <v>62459.33</v>
      </c>
      <c r="H163" s="37">
        <f t="shared" si="398"/>
        <v>0.66872944325481798</v>
      </c>
      <c r="I163" s="37">
        <f t="shared" si="398"/>
        <v>0.20037189532224065</v>
      </c>
      <c r="J163" s="38">
        <f t="shared" si="398"/>
        <v>59072.77</v>
      </c>
      <c r="K163" s="37">
        <f t="shared" si="398"/>
        <v>0.94577975780399814</v>
      </c>
      <c r="L163" s="7">
        <f t="shared" si="398"/>
        <v>1373.5169244164529</v>
      </c>
      <c r="M163" s="38">
        <f t="shared" si="398"/>
        <v>54043.95</v>
      </c>
      <c r="N163" s="37">
        <f t="shared" si="398"/>
        <v>0.91487076025045044</v>
      </c>
      <c r="O163" s="50">
        <f t="shared" si="398"/>
        <v>3731.9268452969609</v>
      </c>
      <c r="P163" s="98">
        <f>M163/$C$10</f>
        <v>0.57862901498929331</v>
      </c>
      <c r="Q163" s="110">
        <f>INDEX(Daggett!$B$7:$M$21, MATCH(D163,Daggett!$A$7:$A$21,0), MATCH(B$163,Daggett!$B$6:$M$6,0))</f>
        <v>703.64516129032256</v>
      </c>
      <c r="R163" s="4">
        <f t="shared" si="393"/>
        <v>0.85033690374496707</v>
      </c>
      <c r="S163" s="98">
        <f t="shared" ref="S163:S170" si="399">R163*P163</f>
        <v>0.49202960502299581</v>
      </c>
      <c r="T163" s="111">
        <f t="shared" ref="T163:T170" si="400">IF(1-$H$7*(($H$5+273)^4-298^4)/(O163*1000)&lt;0,#N/A,1-$H$7*(($H$5+273)^4-298^4)/(O163*1000))</f>
        <v>0.89469028649641824</v>
      </c>
      <c r="U163" s="98">
        <f t="shared" ref="U163:U170" si="401">T163*P163</f>
        <v>0.5176937591959111</v>
      </c>
      <c r="AC163" s="2">
        <v>10</v>
      </c>
      <c r="AE163" s="38">
        <v>9</v>
      </c>
      <c r="AF163" s="93">
        <f t="shared" ref="AF163:AP163" si="402">AF48</f>
        <v>54375.393362950716</v>
      </c>
      <c r="AG163" s="37">
        <f t="shared" si="402"/>
        <v>0.58217765913223463</v>
      </c>
      <c r="AH163" s="38">
        <f t="shared" si="402"/>
        <v>48683.368900000001</v>
      </c>
      <c r="AI163" s="37">
        <f t="shared" si="402"/>
        <v>0.52123521306209852</v>
      </c>
      <c r="AJ163" s="37">
        <f t="shared" si="402"/>
        <v>2.6826252586848454E-2</v>
      </c>
      <c r="AK163" s="38">
        <f t="shared" si="402"/>
        <v>41645.476999999999</v>
      </c>
      <c r="AL163" s="37">
        <f t="shared" si="402"/>
        <v>0.85543539695339366</v>
      </c>
      <c r="AM163" s="7">
        <f t="shared" si="402"/>
        <v>968.3102296522768</v>
      </c>
      <c r="AN163" s="38">
        <f t="shared" si="402"/>
        <v>38390.825299999997</v>
      </c>
      <c r="AO163" s="37">
        <f t="shared" si="402"/>
        <v>0.92184861515693528</v>
      </c>
      <c r="AP163" s="50">
        <f t="shared" si="402"/>
        <v>2651.0229461424592</v>
      </c>
      <c r="AQ163" s="98">
        <f t="shared" ref="AQ163:AQ170" si="403">AN163/$C$10</f>
        <v>0.41103667344753742</v>
      </c>
      <c r="AR163" s="110">
        <f>INDEX(Daggett!$B$7:$M$21, MATCH(AE163,Daggett!$A$7:$A$21,0), MATCH(AC$163,Daggett!$B$6:$M$6,0))</f>
        <v>703.64516129032256</v>
      </c>
      <c r="AS163" s="4">
        <f t="shared" si="395"/>
        <v>0.78931463891055786</v>
      </c>
      <c r="AT163" s="98">
        <f t="shared" ref="AT163:AT170" si="404">AS163*AQ163</f>
        <v>0.32443726348123986</v>
      </c>
      <c r="AU163" s="111">
        <f t="shared" ref="AU163:AU170" si="405">IF(1-$H$7*(($H$5+273)^4-298^4)/(AP163*1000)&lt;0,#N/A,1-$H$7*(($H$5+273)^4-298^4)/(AP163*1000))</f>
        <v>0.85175226511470969</v>
      </c>
      <c r="AV163" s="98">
        <f t="shared" ref="AV163:AV170" si="406">AU163*AQ163</f>
        <v>0.35010141765415526</v>
      </c>
      <c r="AW163" s="38"/>
      <c r="AX163" s="37"/>
      <c r="AY163" s="38"/>
      <c r="AZ163" s="37"/>
      <c r="BA163" s="37"/>
      <c r="BB163" s="38"/>
      <c r="BC163" s="37"/>
      <c r="BD163" s="2">
        <v>10</v>
      </c>
      <c r="BF163" s="38">
        <v>9</v>
      </c>
      <c r="BG163" s="93">
        <f t="shared" ref="BG163:BQ163" si="407">BG48</f>
        <v>81833.426858430583</v>
      </c>
      <c r="BH163" s="37">
        <f t="shared" si="407"/>
        <v>0.8761608871352311</v>
      </c>
      <c r="BI163" s="38">
        <f t="shared" si="407"/>
        <v>61187.125200000002</v>
      </c>
      <c r="BJ163" s="37">
        <f t="shared" si="407"/>
        <v>0.65510840685224847</v>
      </c>
      <c r="BK163" s="37">
        <f t="shared" si="407"/>
        <v>0.18727899666642178</v>
      </c>
      <c r="BL163" s="38">
        <f t="shared" si="407"/>
        <v>57643.121299999999</v>
      </c>
      <c r="BM163" s="37">
        <f t="shared" si="407"/>
        <v>0.94207925460763431</v>
      </c>
      <c r="BN163" s="7">
        <f t="shared" si="407"/>
        <v>1340.2757764997398</v>
      </c>
      <c r="BO163" s="38">
        <f t="shared" si="407"/>
        <v>52587.31925</v>
      </c>
      <c r="BP163" s="37">
        <f t="shared" si="407"/>
        <v>0.91229132052569817</v>
      </c>
      <c r="BQ163" s="50">
        <f t="shared" si="407"/>
        <v>3631.3413144538222</v>
      </c>
      <c r="BR163" s="98">
        <f t="shared" ref="BR163:BR170" si="408">BO163/$C$10</f>
        <v>0.56303339668094221</v>
      </c>
      <c r="BS163" s="110">
        <f>INDEX(Daggett!$B$7:$M$21, MATCH(BF163,Daggett!$A$7:$A$21,0), MATCH(BD$163,Daggett!$B$6:$M$6,0))</f>
        <v>703.64516129032256</v>
      </c>
      <c r="BT163" s="4">
        <f t="shared" si="397"/>
        <v>0.8461913441071216</v>
      </c>
      <c r="BU163" s="98">
        <f t="shared" ref="BU163:BU170" si="409">BT163*BR163</f>
        <v>0.47643398671464465</v>
      </c>
      <c r="BV163" s="111">
        <f t="shared" ref="BV163:BV170" si="410">IF(1-$H$7*(($H$5+273)^4-298^4)/(BQ163*1000)&lt;0,#N/A,1-$H$7*(($H$5+273)^4-298^4)/(BQ163*1000))</f>
        <v>0.89177328351640783</v>
      </c>
      <c r="BW163" s="98">
        <f t="shared" ref="BW163:BW170" si="411">BV163*BR163</f>
        <v>0.50209814088756</v>
      </c>
      <c r="BX163" s="38"/>
      <c r="BY163" s="37"/>
      <c r="BZ163" s="37"/>
      <c r="CA163" s="38"/>
      <c r="CB163" s="37"/>
      <c r="CC163" s="7"/>
      <c r="CD163" s="41"/>
      <c r="CE163" s="37"/>
    </row>
    <row r="164" spans="2:83">
      <c r="D164" s="38">
        <v>10</v>
      </c>
      <c r="E164" s="93">
        <f t="shared" si="391"/>
        <v>88381.890349850903</v>
      </c>
      <c r="F164" s="37">
        <f t="shared" ref="F164:O164" si="412">F49</f>
        <v>0.94627291595129448</v>
      </c>
      <c r="G164" s="38">
        <f t="shared" si="412"/>
        <v>68849.903000000006</v>
      </c>
      <c r="H164" s="37">
        <f t="shared" si="412"/>
        <v>0.73715099571734477</v>
      </c>
      <c r="I164" s="37">
        <f t="shared" si="412"/>
        <v>0.15325582208388722</v>
      </c>
      <c r="J164" s="38">
        <f t="shared" si="412"/>
        <v>65603.5</v>
      </c>
      <c r="K164" s="37">
        <f t="shared" si="412"/>
        <v>0.95284811076640141</v>
      </c>
      <c r="L164" s="7">
        <f t="shared" si="412"/>
        <v>1525.364690888116</v>
      </c>
      <c r="M164" s="38">
        <f t="shared" si="412"/>
        <v>59921.47</v>
      </c>
      <c r="N164" s="37">
        <f t="shared" si="412"/>
        <v>0.91338831007491983</v>
      </c>
      <c r="O164" s="50">
        <f t="shared" si="412"/>
        <v>4137.7904927870095</v>
      </c>
      <c r="P164" s="98">
        <f>M164/$C$10</f>
        <v>0.64155749464668099</v>
      </c>
      <c r="Q164" s="110">
        <f>INDEX(Daggett!$B$7:$M$21, MATCH(D164,Daggett!$A$7:$A$21,0), MATCH(B$163,Daggett!$B$6:$M$6,0))</f>
        <v>763.12903225806451</v>
      </c>
      <c r="R164" s="4">
        <f t="shared" si="393"/>
        <v>0.87553848595926764</v>
      </c>
      <c r="S164" s="98">
        <f t="shared" si="399"/>
        <v>0.56170827751877606</v>
      </c>
      <c r="T164" s="111">
        <f t="shared" si="400"/>
        <v>0.90501980523672243</v>
      </c>
      <c r="U164" s="98">
        <f t="shared" si="401"/>
        <v>0.58062223885329878</v>
      </c>
      <c r="AE164" s="38">
        <v>10</v>
      </c>
      <c r="AF164" s="93">
        <f t="shared" ref="AF164:AP164" si="413">AF49</f>
        <v>61178.757935818976</v>
      </c>
      <c r="AG164" s="37">
        <f t="shared" si="413"/>
        <v>0.65501882158264424</v>
      </c>
      <c r="AH164" s="38">
        <f t="shared" si="413"/>
        <v>54289.08</v>
      </c>
      <c r="AI164" s="37">
        <f t="shared" si="413"/>
        <v>0.58125353319057815</v>
      </c>
      <c r="AJ164" s="37">
        <f t="shared" si="413"/>
        <v>3.545165746707224E-2</v>
      </c>
      <c r="AK164" s="38">
        <f t="shared" si="413"/>
        <v>47926.7834</v>
      </c>
      <c r="AL164" s="37">
        <f t="shared" si="413"/>
        <v>0.88280706543562715</v>
      </c>
      <c r="AM164" s="7">
        <f t="shared" si="413"/>
        <v>1114.3585806580852</v>
      </c>
      <c r="AN164" s="38">
        <f t="shared" si="413"/>
        <v>44032.383999999998</v>
      </c>
      <c r="AO164" s="37">
        <f t="shared" si="413"/>
        <v>0.91874273373413995</v>
      </c>
      <c r="AP164" s="50">
        <f t="shared" si="413"/>
        <v>3040.5926271492808</v>
      </c>
      <c r="AQ164" s="98">
        <f t="shared" si="403"/>
        <v>0.471438800856531</v>
      </c>
      <c r="AR164" s="110">
        <f>INDEX(Daggett!$B$7:$M$21, MATCH(AE164,Daggett!$A$7:$A$21,0), MATCH(AC$163,Daggett!$B$6:$M$6,0))</f>
        <v>763.12903225806451</v>
      </c>
      <c r="AS164" s="4">
        <f t="shared" si="395"/>
        <v>0.83062654795737778</v>
      </c>
      <c r="AT164" s="98">
        <f t="shared" si="404"/>
        <v>0.39158958372862601</v>
      </c>
      <c r="AU164" s="111">
        <f t="shared" si="405"/>
        <v>0.87074620145250603</v>
      </c>
      <c r="AV164" s="98">
        <f t="shared" si="406"/>
        <v>0.41050354506314884</v>
      </c>
      <c r="AW164" s="38"/>
      <c r="AX164" s="37"/>
      <c r="AY164" s="38"/>
      <c r="AZ164" s="37"/>
      <c r="BA164" s="37"/>
      <c r="BB164" s="38"/>
      <c r="BC164" s="37"/>
      <c r="BF164" s="38">
        <v>10</v>
      </c>
      <c r="BG164" s="93">
        <f t="shared" ref="BG164:BQ164" si="414">BG49</f>
        <v>79917.996644673214</v>
      </c>
      <c r="BH164" s="37">
        <f t="shared" si="414"/>
        <v>0.85565306900078386</v>
      </c>
      <c r="BI164" s="38">
        <f t="shared" si="414"/>
        <v>64589.16</v>
      </c>
      <c r="BJ164" s="37">
        <f t="shared" si="414"/>
        <v>0.69153276231263383</v>
      </c>
      <c r="BK164" s="37">
        <f t="shared" si="414"/>
        <v>0.12152942211757001</v>
      </c>
      <c r="BL164" s="38">
        <f t="shared" si="414"/>
        <v>60605.72</v>
      </c>
      <c r="BM164" s="37">
        <f t="shared" si="414"/>
        <v>0.93832649317625427</v>
      </c>
      <c r="BN164" s="7">
        <f t="shared" si="414"/>
        <v>1409.1599587499404</v>
      </c>
      <c r="BO164" s="38">
        <f t="shared" si="414"/>
        <v>55508.72</v>
      </c>
      <c r="BP164" s="37">
        <f t="shared" si="414"/>
        <v>0.9158990273525337</v>
      </c>
      <c r="BQ164" s="50">
        <f t="shared" si="414"/>
        <v>3833.0744202833498</v>
      </c>
      <c r="BR164" s="98">
        <f t="shared" si="408"/>
        <v>0.59431177730192719</v>
      </c>
      <c r="BS164" s="110">
        <f>INDEX(Daggett!$B$7:$M$21, MATCH(BF164,Daggett!$A$7:$A$21,0), MATCH(BD$163,Daggett!$B$6:$M$6,0))</f>
        <v>763.12903225806451</v>
      </c>
      <c r="BT164" s="4">
        <f t="shared" si="397"/>
        <v>0.86564422887527714</v>
      </c>
      <c r="BU164" s="98">
        <f t="shared" si="409"/>
        <v>0.51446256017402225</v>
      </c>
      <c r="BV164" s="111">
        <f t="shared" si="410"/>
        <v>0.8974692104033043</v>
      </c>
      <c r="BW164" s="98">
        <f t="shared" si="411"/>
        <v>0.53337652150854498</v>
      </c>
      <c r="BX164" s="38"/>
      <c r="BY164" s="37"/>
      <c r="BZ164" s="37"/>
      <c r="CA164" s="38"/>
      <c r="CB164" s="37"/>
      <c r="CC164" s="7"/>
      <c r="CD164" s="41"/>
      <c r="CE164" s="37"/>
    </row>
    <row r="165" spans="2:83">
      <c r="D165" s="38">
        <v>11</v>
      </c>
      <c r="E165" s="93">
        <f t="shared" si="391"/>
        <v>90500.7455434695</v>
      </c>
      <c r="F165" s="37">
        <f t="shared" ref="F165:O165" si="415">F50</f>
        <v>0.96895873172879554</v>
      </c>
      <c r="G165" s="38">
        <f t="shared" si="415"/>
        <v>70834.2</v>
      </c>
      <c r="H165" s="37">
        <f t="shared" si="415"/>
        <v>0.75839614561027835</v>
      </c>
      <c r="I165" s="37">
        <f t="shared" si="415"/>
        <v>0.14924794055765944</v>
      </c>
      <c r="J165" s="38">
        <f t="shared" si="415"/>
        <v>67641</v>
      </c>
      <c r="K165" s="37">
        <f t="shared" si="415"/>
        <v>0.95492008097783276</v>
      </c>
      <c r="L165" s="7">
        <f t="shared" si="415"/>
        <v>1572.7391534958203</v>
      </c>
      <c r="M165" s="38">
        <f t="shared" si="415"/>
        <v>61764.98</v>
      </c>
      <c r="N165" s="37">
        <f t="shared" si="415"/>
        <v>0.91312931506039241</v>
      </c>
      <c r="O165" s="50">
        <f t="shared" si="415"/>
        <v>4265.0914109947535</v>
      </c>
      <c r="P165" s="98">
        <f>M165/$C$10</f>
        <v>0.66129528907922919</v>
      </c>
      <c r="Q165" s="110">
        <f>INDEX(Daggett!$B$7:$M$21, MATCH(D165,Daggett!$A$7:$A$21,0), MATCH(B$163,Daggett!$B$6:$M$6,0))</f>
        <v>806.70967741935488</v>
      </c>
      <c r="R165" s="4">
        <f t="shared" si="393"/>
        <v>0.88577637394890751</v>
      </c>
      <c r="S165" s="98">
        <f t="shared" si="399"/>
        <v>0.58575974327009417</v>
      </c>
      <c r="T165" s="111">
        <f t="shared" si="400"/>
        <v>0.90785469547465414</v>
      </c>
      <c r="U165" s="98">
        <f t="shared" si="401"/>
        <v>0.60036003328584697</v>
      </c>
      <c r="AE165" s="38">
        <v>11</v>
      </c>
      <c r="AF165" s="93">
        <f t="shared" ref="AF165:AP165" si="416">AF50</f>
        <v>67307.642143613848</v>
      </c>
      <c r="AG165" s="37">
        <f t="shared" si="416"/>
        <v>0.720638566848114</v>
      </c>
      <c r="AH165" s="38">
        <f t="shared" si="416"/>
        <v>58161.008999999998</v>
      </c>
      <c r="AI165" s="37">
        <f t="shared" si="416"/>
        <v>0.62270887580299783</v>
      </c>
      <c r="AJ165" s="37">
        <f t="shared" si="416"/>
        <v>6.0753191909628801E-2</v>
      </c>
      <c r="AK165" s="38">
        <f t="shared" si="416"/>
        <v>52686.656999999999</v>
      </c>
      <c r="AL165" s="37">
        <f t="shared" si="416"/>
        <v>0.90587591078414753</v>
      </c>
      <c r="AM165" s="7">
        <f t="shared" si="416"/>
        <v>1225.0316868571524</v>
      </c>
      <c r="AN165" s="38">
        <f t="shared" si="416"/>
        <v>48498.510999999999</v>
      </c>
      <c r="AO165" s="37">
        <f t="shared" si="416"/>
        <v>0.92050841259486249</v>
      </c>
      <c r="AP165" s="50">
        <f t="shared" si="416"/>
        <v>3348.9945712300814</v>
      </c>
      <c r="AQ165" s="98">
        <f t="shared" si="403"/>
        <v>0.51925600642398284</v>
      </c>
      <c r="AR165" s="110">
        <f>INDEX(Daggett!$B$7:$M$21, MATCH(AE165,Daggett!$A$7:$A$21,0), MATCH(AC$163,Daggett!$B$6:$M$6,0))</f>
        <v>806.70967741935488</v>
      </c>
      <c r="AS165" s="4">
        <f t="shared" si="395"/>
        <v>0.85453120450289277</v>
      </c>
      <c r="AT165" s="98">
        <f t="shared" si="404"/>
        <v>0.44372046061484788</v>
      </c>
      <c r="AU165" s="111">
        <f t="shared" si="405"/>
        <v>0.88264891490994646</v>
      </c>
      <c r="AV165" s="98">
        <f t="shared" si="406"/>
        <v>0.45832075063060063</v>
      </c>
      <c r="AW165" s="38"/>
      <c r="AX165" s="37"/>
      <c r="AY165" s="38"/>
      <c r="AZ165" s="37"/>
      <c r="BA165" s="37"/>
      <c r="BB165" s="38"/>
      <c r="BC165" s="37"/>
      <c r="BF165" s="38">
        <v>11</v>
      </c>
      <c r="BG165" s="93">
        <f t="shared" ref="BG165:BQ165" si="417">BG50</f>
        <v>76803.752557367814</v>
      </c>
      <c r="BH165" s="37">
        <f t="shared" si="417"/>
        <v>0.8223099845542593</v>
      </c>
      <c r="BI165" s="38">
        <f t="shared" si="417"/>
        <v>64192.63</v>
      </c>
      <c r="BJ165" s="37">
        <f t="shared" si="417"/>
        <v>0.68728725910064237</v>
      </c>
      <c r="BK165" s="37">
        <f t="shared" si="417"/>
        <v>9.1520980384786621E-2</v>
      </c>
      <c r="BL165" s="38">
        <f t="shared" si="417"/>
        <v>59994.720000000001</v>
      </c>
      <c r="BM165" s="37">
        <f t="shared" si="417"/>
        <v>0.93460448652750328</v>
      </c>
      <c r="BN165" s="7">
        <f t="shared" si="417"/>
        <v>1394.953432785127</v>
      </c>
      <c r="BO165" s="38">
        <f t="shared" si="417"/>
        <v>55252.517999999996</v>
      </c>
      <c r="BP165" s="37">
        <f t="shared" si="417"/>
        <v>0.92095634415828587</v>
      </c>
      <c r="BQ165" s="50">
        <f t="shared" si="417"/>
        <v>3815.3827615200876</v>
      </c>
      <c r="BR165" s="98">
        <f t="shared" si="408"/>
        <v>0.59156871520342613</v>
      </c>
      <c r="BS165" s="110">
        <f>INDEX(Daggett!$B$7:$M$21, MATCH(BF165,Daggett!$A$7:$A$21,0), MATCH(BD$163,Daggett!$B$6:$M$6,0))</f>
        <v>806.70967741935488</v>
      </c>
      <c r="BT165" s="4">
        <f t="shared" si="397"/>
        <v>0.87231314998941389</v>
      </c>
      <c r="BU165" s="98">
        <f t="shared" si="409"/>
        <v>0.51603316939429111</v>
      </c>
      <c r="BV165" s="111">
        <f t="shared" si="410"/>
        <v>0.89699378241726657</v>
      </c>
      <c r="BW165" s="98">
        <f t="shared" si="411"/>
        <v>0.53063345941004392</v>
      </c>
      <c r="BX165" s="38"/>
      <c r="BY165" s="37"/>
      <c r="BZ165" s="37"/>
      <c r="CA165" s="38"/>
      <c r="CB165" s="37"/>
      <c r="CC165" s="7"/>
      <c r="CD165" s="41"/>
      <c r="CE165" s="37"/>
    </row>
    <row r="166" spans="2:83">
      <c r="D166" s="38">
        <v>12</v>
      </c>
      <c r="E166" s="93">
        <f t="shared" si="391"/>
        <v>91212.218174054535</v>
      </c>
      <c r="F166" s="37">
        <f t="shared" ref="F166:O166" si="418">F51</f>
        <v>0.97657621171364595</v>
      </c>
      <c r="G166" s="38">
        <f t="shared" si="418"/>
        <v>71371.41</v>
      </c>
      <c r="H166" s="37">
        <f t="shared" si="418"/>
        <v>0.76414785867237689</v>
      </c>
      <c r="I166" s="37">
        <f t="shared" si="418"/>
        <v>0.14948215142426524</v>
      </c>
      <c r="J166" s="38">
        <f t="shared" si="418"/>
        <v>68055.98</v>
      </c>
      <c r="K166" s="37">
        <f t="shared" si="418"/>
        <v>0.95354680536646241</v>
      </c>
      <c r="L166" s="7">
        <f t="shared" si="418"/>
        <v>1582.3879655168978</v>
      </c>
      <c r="M166" s="38">
        <f t="shared" si="418"/>
        <v>62153.52</v>
      </c>
      <c r="N166" s="37">
        <f t="shared" si="418"/>
        <v>0.91327051641898327</v>
      </c>
      <c r="O166" s="50">
        <f t="shared" si="418"/>
        <v>4291.92147904995</v>
      </c>
      <c r="P166" s="98">
        <f>M166/$C$10</f>
        <v>0.6654552462526766</v>
      </c>
      <c r="Q166" s="110">
        <f>INDEX(Daggett!$B$7:$M$21, MATCH(D166,Daggett!$A$7:$A$21,0), MATCH(B$163,Daggett!$B$6:$M$6,0))</f>
        <v>776.51612903225805</v>
      </c>
      <c r="R166" s="4">
        <f t="shared" si="393"/>
        <v>0.88207678681263157</v>
      </c>
      <c r="S166" s="98">
        <f t="shared" si="399"/>
        <v>0.5869826253821695</v>
      </c>
      <c r="T166" s="111">
        <f t="shared" si="400"/>
        <v>0.90843072297269889</v>
      </c>
      <c r="U166" s="98">
        <f t="shared" si="401"/>
        <v>0.60451999045929439</v>
      </c>
      <c r="AE166" s="38">
        <v>12</v>
      </c>
      <c r="AF166" s="93">
        <f t="shared" ref="AF166:AP166" si="419">AF51</f>
        <v>72564.806696581611</v>
      </c>
      <c r="AG166" s="37">
        <f t="shared" si="419"/>
        <v>0.77692512523106649</v>
      </c>
      <c r="AH166" s="38">
        <f t="shared" si="419"/>
        <v>62795.27</v>
      </c>
      <c r="AI166" s="37">
        <f t="shared" si="419"/>
        <v>0.67232623126338331</v>
      </c>
      <c r="AJ166" s="37">
        <f t="shared" si="419"/>
        <v>5.9382483491340232E-2</v>
      </c>
      <c r="AK166" s="38">
        <f t="shared" si="419"/>
        <v>57937.281999999999</v>
      </c>
      <c r="AL166" s="37">
        <f t="shared" si="419"/>
        <v>0.92263767637275873</v>
      </c>
      <c r="AM166" s="7">
        <f t="shared" si="419"/>
        <v>1347.1153863563318</v>
      </c>
      <c r="AN166" s="38">
        <f t="shared" si="419"/>
        <v>53152.184999999998</v>
      </c>
      <c r="AO166" s="37">
        <f t="shared" si="419"/>
        <v>0.91740901825529197</v>
      </c>
      <c r="AP166" s="50">
        <f t="shared" si="419"/>
        <v>3670.3473022917542</v>
      </c>
      <c r="AQ166" s="98">
        <f t="shared" si="403"/>
        <v>0.56908120985010702</v>
      </c>
      <c r="AR166" s="110">
        <f>INDEX(Daggett!$B$7:$M$21, MATCH(AE166,Daggett!$A$7:$A$21,0), MATCH(AC$163,Daggett!$B$6:$M$6,0))</f>
        <v>776.51612903225805</v>
      </c>
      <c r="AS166" s="4">
        <f t="shared" si="395"/>
        <v>0.86210646299290672</v>
      </c>
      <c r="AT166" s="98">
        <f t="shared" si="404"/>
        <v>0.49060858897959986</v>
      </c>
      <c r="AU166" s="111">
        <f t="shared" si="405"/>
        <v>0.89292344442468552</v>
      </c>
      <c r="AV166" s="98">
        <f t="shared" si="406"/>
        <v>0.5081459540567248</v>
      </c>
      <c r="AW166" s="38"/>
      <c r="AX166" s="37"/>
      <c r="AY166" s="38"/>
      <c r="AZ166" s="37"/>
      <c r="BA166" s="37"/>
      <c r="BB166" s="38"/>
      <c r="BC166" s="37"/>
      <c r="BF166" s="38">
        <v>12</v>
      </c>
      <c r="BG166" s="93">
        <f t="shared" ref="BG166:BQ166" si="420">BG51</f>
        <v>72564.806696581611</v>
      </c>
      <c r="BH166" s="37">
        <f t="shared" si="420"/>
        <v>0.77692512523106649</v>
      </c>
      <c r="BI166" s="38">
        <f t="shared" si="420"/>
        <v>62795.27</v>
      </c>
      <c r="BJ166" s="37">
        <f t="shared" si="420"/>
        <v>0.67232623126338331</v>
      </c>
      <c r="BK166" s="37">
        <f t="shared" si="420"/>
        <v>5.9382483491340232E-2</v>
      </c>
      <c r="BL166" s="38">
        <f t="shared" si="420"/>
        <v>57937.281999999999</v>
      </c>
      <c r="BM166" s="37">
        <f t="shared" si="420"/>
        <v>0.92263767637275873</v>
      </c>
      <c r="BN166" s="7">
        <f t="shared" si="420"/>
        <v>1347.1153863563318</v>
      </c>
      <c r="BO166" s="38">
        <f t="shared" si="420"/>
        <v>53152.184999999998</v>
      </c>
      <c r="BP166" s="37">
        <f t="shared" si="420"/>
        <v>0.91740901825529197</v>
      </c>
      <c r="BQ166" s="50">
        <f t="shared" si="420"/>
        <v>3670.3473022917542</v>
      </c>
      <c r="BR166" s="98">
        <f t="shared" si="408"/>
        <v>0.56908120985010702</v>
      </c>
      <c r="BS166" s="110">
        <f>INDEX(Daggett!$B$7:$M$21, MATCH(BF166,Daggett!$A$7:$A$21,0), MATCH(BD$163,Daggett!$B$6:$M$6,0))</f>
        <v>776.51612903225805</v>
      </c>
      <c r="BT166" s="4">
        <f t="shared" si="397"/>
        <v>0.86210646299290672</v>
      </c>
      <c r="BU166" s="98">
        <f t="shared" si="409"/>
        <v>0.49060858897959986</v>
      </c>
      <c r="BV166" s="111">
        <f t="shared" si="410"/>
        <v>0.89292344442468552</v>
      </c>
      <c r="BW166" s="98">
        <f t="shared" si="411"/>
        <v>0.5081459540567248</v>
      </c>
      <c r="BX166" s="38"/>
      <c r="BY166" s="37"/>
      <c r="BZ166" s="37"/>
      <c r="CA166" s="38"/>
      <c r="CB166" s="37"/>
      <c r="CC166" s="7"/>
      <c r="CD166" s="41"/>
      <c r="CE166" s="37"/>
    </row>
    <row r="167" spans="2:83">
      <c r="D167" s="38">
        <v>13</v>
      </c>
      <c r="E167" s="93">
        <f t="shared" si="391"/>
        <v>90500.7455434695</v>
      </c>
      <c r="F167" s="37">
        <f t="shared" ref="F167:O167" si="421">F52</f>
        <v>0.96895873172879554</v>
      </c>
      <c r="G167" s="38">
        <f t="shared" si="421"/>
        <v>70834.2</v>
      </c>
      <c r="H167" s="37">
        <f t="shared" si="421"/>
        <v>0.75839614561027835</v>
      </c>
      <c r="I167" s="37">
        <f t="shared" si="421"/>
        <v>0.14924794055765944</v>
      </c>
      <c r="J167" s="38">
        <f t="shared" si="421"/>
        <v>67641</v>
      </c>
      <c r="K167" s="37">
        <f t="shared" si="421"/>
        <v>0.95492008097783276</v>
      </c>
      <c r="L167" s="7">
        <f t="shared" si="421"/>
        <v>1572.7391534958203</v>
      </c>
      <c r="M167" s="38">
        <f t="shared" si="421"/>
        <v>61764.98</v>
      </c>
      <c r="N167" s="37">
        <f t="shared" si="421"/>
        <v>0.91312931506039241</v>
      </c>
      <c r="O167" s="50">
        <f t="shared" si="421"/>
        <v>4265.0914109947535</v>
      </c>
      <c r="P167" s="98">
        <f>P165</f>
        <v>0.66129528907922919</v>
      </c>
      <c r="Q167" s="110">
        <f>INDEX(Daggett!$B$7:$M$21, MATCH(D167,Daggett!$A$7:$A$21,0), MATCH(B$163,Daggett!$B$6:$M$6,0))</f>
        <v>752.90322580645159</v>
      </c>
      <c r="R167" s="4">
        <f t="shared" si="393"/>
        <v>0.87761334874525621</v>
      </c>
      <c r="S167" s="98">
        <f t="shared" si="399"/>
        <v>0.58036157315828463</v>
      </c>
      <c r="T167" s="111">
        <f t="shared" si="400"/>
        <v>0.90785469547465414</v>
      </c>
      <c r="U167" s="98">
        <f t="shared" si="401"/>
        <v>0.60036003328584697</v>
      </c>
      <c r="AE167" s="38">
        <v>13</v>
      </c>
      <c r="AF167" s="93">
        <f t="shared" ref="AF167:AP167" si="422">AF52</f>
        <v>76803.752557367814</v>
      </c>
      <c r="AG167" s="37">
        <f t="shared" si="422"/>
        <v>0.8223099845542593</v>
      </c>
      <c r="AH167" s="38">
        <f t="shared" si="422"/>
        <v>64192.63</v>
      </c>
      <c r="AI167" s="37">
        <f t="shared" si="422"/>
        <v>0.68728725910064237</v>
      </c>
      <c r="AJ167" s="37">
        <f t="shared" si="422"/>
        <v>9.1520980384786621E-2</v>
      </c>
      <c r="AK167" s="38">
        <f t="shared" si="422"/>
        <v>59994.720000000001</v>
      </c>
      <c r="AL167" s="37">
        <f t="shared" si="422"/>
        <v>0.93460448652750328</v>
      </c>
      <c r="AM167" s="7">
        <f t="shared" si="422"/>
        <v>1394.953432785127</v>
      </c>
      <c r="AN167" s="38">
        <f t="shared" si="422"/>
        <v>55252.517999999996</v>
      </c>
      <c r="AO167" s="37">
        <f t="shared" si="422"/>
        <v>0.92095634415828587</v>
      </c>
      <c r="AP167" s="50">
        <f t="shared" si="422"/>
        <v>3815.3827615200876</v>
      </c>
      <c r="AQ167" s="98">
        <f t="shared" si="403"/>
        <v>0.59156871520342613</v>
      </c>
      <c r="AR167" s="110">
        <f>INDEX(Daggett!$B$7:$M$21, MATCH(AE167,Daggett!$A$7:$A$21,0), MATCH(AC$163,Daggett!$B$6:$M$6,0))</f>
        <v>752.90322580645159</v>
      </c>
      <c r="AS167" s="4">
        <f t="shared" si="395"/>
        <v>0.86318797150536686</v>
      </c>
      <c r="AT167" s="98">
        <f t="shared" si="404"/>
        <v>0.51063499928248146</v>
      </c>
      <c r="AU167" s="111">
        <f t="shared" si="405"/>
        <v>0.89699378241726657</v>
      </c>
      <c r="AV167" s="98">
        <f t="shared" si="406"/>
        <v>0.53063345941004392</v>
      </c>
      <c r="AW167" s="38"/>
      <c r="AX167" s="37"/>
      <c r="AY167" s="38"/>
      <c r="AZ167" s="37"/>
      <c r="BA167" s="37"/>
      <c r="BB167" s="38"/>
      <c r="BC167" s="37"/>
      <c r="BF167" s="38">
        <v>13</v>
      </c>
      <c r="BG167" s="93">
        <f t="shared" ref="BG167:BQ167" si="423">BG52</f>
        <v>67307.642143613848</v>
      </c>
      <c r="BH167" s="37">
        <f t="shared" si="423"/>
        <v>0.720638566848114</v>
      </c>
      <c r="BI167" s="38">
        <f t="shared" si="423"/>
        <v>58161.008999999998</v>
      </c>
      <c r="BJ167" s="37">
        <f t="shared" si="423"/>
        <v>0.62270887580299783</v>
      </c>
      <c r="BK167" s="37">
        <f t="shared" si="423"/>
        <v>6.0753191909628801E-2</v>
      </c>
      <c r="BL167" s="38">
        <f t="shared" si="423"/>
        <v>52686.656999999999</v>
      </c>
      <c r="BM167" s="37">
        <f t="shared" si="423"/>
        <v>0.90587591078414753</v>
      </c>
      <c r="BN167" s="7">
        <f t="shared" si="423"/>
        <v>1225.0316868571524</v>
      </c>
      <c r="BO167" s="38">
        <f t="shared" si="423"/>
        <v>48498.510999999999</v>
      </c>
      <c r="BP167" s="37">
        <f t="shared" si="423"/>
        <v>0.92050841259486249</v>
      </c>
      <c r="BQ167" s="50">
        <f t="shared" si="423"/>
        <v>3348.9945712300814</v>
      </c>
      <c r="BR167" s="98">
        <f t="shared" si="408"/>
        <v>0.51925600642398284</v>
      </c>
      <c r="BS167" s="110">
        <f>INDEX(Daggett!$B$7:$M$21, MATCH(BF167,Daggett!$A$7:$A$21,0), MATCH(BD$163,Daggett!$B$6:$M$6,0))</f>
        <v>752.90322580645159</v>
      </c>
      <c r="BT167" s="4">
        <f t="shared" si="397"/>
        <v>0.84413523402777813</v>
      </c>
      <c r="BU167" s="98">
        <f t="shared" si="409"/>
        <v>0.43832229050303823</v>
      </c>
      <c r="BV167" s="111">
        <f t="shared" si="410"/>
        <v>0.88264891490994646</v>
      </c>
      <c r="BW167" s="98">
        <f t="shared" si="411"/>
        <v>0.45832075063060063</v>
      </c>
      <c r="BX167" s="38"/>
      <c r="BY167" s="37"/>
      <c r="BZ167" s="37"/>
      <c r="CA167" s="38"/>
      <c r="CB167" s="37"/>
      <c r="CC167" s="7"/>
      <c r="CD167" s="41"/>
      <c r="CE167" s="37"/>
    </row>
    <row r="168" spans="2:83">
      <c r="D168" s="38">
        <v>14</v>
      </c>
      <c r="E168" s="93">
        <f t="shared" si="391"/>
        <v>88381.890349850903</v>
      </c>
      <c r="F168" s="37">
        <f t="shared" ref="F168:O168" si="424">F53</f>
        <v>0.94627291595129448</v>
      </c>
      <c r="G168" s="38">
        <f t="shared" si="424"/>
        <v>68849.903000000006</v>
      </c>
      <c r="H168" s="37">
        <f t="shared" si="424"/>
        <v>0.73715099571734477</v>
      </c>
      <c r="I168" s="37">
        <f t="shared" si="424"/>
        <v>0.15325582208388722</v>
      </c>
      <c r="J168" s="38">
        <f t="shared" si="424"/>
        <v>65603.5</v>
      </c>
      <c r="K168" s="37">
        <f t="shared" si="424"/>
        <v>0.95284811076640141</v>
      </c>
      <c r="L168" s="7">
        <f t="shared" si="424"/>
        <v>1525.364690888116</v>
      </c>
      <c r="M168" s="38">
        <f t="shared" si="424"/>
        <v>59921.47</v>
      </c>
      <c r="N168" s="37">
        <f t="shared" si="424"/>
        <v>0.91338831007491983</v>
      </c>
      <c r="O168" s="50">
        <f t="shared" si="424"/>
        <v>4137.7904927870095</v>
      </c>
      <c r="P168" s="98">
        <f>P164</f>
        <v>0.64155749464668099</v>
      </c>
      <c r="Q168" s="110">
        <f>INDEX(Daggett!$B$7:$M$21, MATCH(D168,Daggett!$A$7:$A$21,0), MATCH(B$163,Daggett!$B$6:$M$6,0))</f>
        <v>756.70967741935488</v>
      </c>
      <c r="R168" s="4">
        <f t="shared" si="393"/>
        <v>0.87448264823678035</v>
      </c>
      <c r="S168" s="98">
        <f t="shared" si="399"/>
        <v>0.56103089691478358</v>
      </c>
      <c r="T168" s="111">
        <f t="shared" si="400"/>
        <v>0.90501980523672243</v>
      </c>
      <c r="U168" s="98">
        <f t="shared" si="401"/>
        <v>0.58062223885329878</v>
      </c>
      <c r="AE168" s="38">
        <v>14</v>
      </c>
      <c r="AF168" s="93">
        <f t="shared" ref="AF168:AP168" si="425">AF53</f>
        <v>79917.996644673214</v>
      </c>
      <c r="AG168" s="37">
        <f t="shared" si="425"/>
        <v>0.85565306900078386</v>
      </c>
      <c r="AH168" s="38">
        <f t="shared" si="425"/>
        <v>64589.16</v>
      </c>
      <c r="AI168" s="37">
        <f t="shared" si="425"/>
        <v>0.69153276231263383</v>
      </c>
      <c r="AJ168" s="37">
        <f t="shared" si="425"/>
        <v>0.12152942211757001</v>
      </c>
      <c r="AK168" s="38">
        <f t="shared" si="425"/>
        <v>60605.72</v>
      </c>
      <c r="AL168" s="37">
        <f t="shared" si="425"/>
        <v>0.93832649317625427</v>
      </c>
      <c r="AM168" s="7">
        <f t="shared" si="425"/>
        <v>1409.1599587499404</v>
      </c>
      <c r="AN168" s="38">
        <f t="shared" si="425"/>
        <v>55508.72</v>
      </c>
      <c r="AO168" s="37">
        <f t="shared" si="425"/>
        <v>0.9158990273525337</v>
      </c>
      <c r="AP168" s="50">
        <f t="shared" si="425"/>
        <v>3833.0744202833498</v>
      </c>
      <c r="AQ168" s="98">
        <f t="shared" si="403"/>
        <v>0.59431177730192719</v>
      </c>
      <c r="AR168" s="110">
        <f>INDEX(Daggett!$B$7:$M$21, MATCH(AE168,Daggett!$A$7:$A$21,0), MATCH(AC$163,Daggett!$B$6:$M$6,0))</f>
        <v>756.70967741935488</v>
      </c>
      <c r="AS168" s="4">
        <f t="shared" si="395"/>
        <v>0.86450445572949242</v>
      </c>
      <c r="AT168" s="98">
        <f t="shared" si="404"/>
        <v>0.51378517957002989</v>
      </c>
      <c r="AU168" s="111">
        <f t="shared" si="405"/>
        <v>0.8974692104033043</v>
      </c>
      <c r="AV168" s="98">
        <f t="shared" si="406"/>
        <v>0.53337652150854498</v>
      </c>
      <c r="AW168" s="38"/>
      <c r="AX168" s="37"/>
      <c r="AY168" s="38"/>
      <c r="AZ168" s="37"/>
      <c r="BA168" s="37"/>
      <c r="BB168" s="38"/>
      <c r="BC168" s="37"/>
      <c r="BF168" s="38">
        <v>14</v>
      </c>
      <c r="BG168" s="93">
        <f t="shared" ref="BG168:BQ168" si="426">BG53</f>
        <v>61178.757935818976</v>
      </c>
      <c r="BH168" s="37">
        <f t="shared" si="426"/>
        <v>0.65501882158264424</v>
      </c>
      <c r="BI168" s="38">
        <f t="shared" si="426"/>
        <v>54289.08</v>
      </c>
      <c r="BJ168" s="37">
        <f t="shared" si="426"/>
        <v>0.58125353319057815</v>
      </c>
      <c r="BK168" s="37">
        <f t="shared" si="426"/>
        <v>3.545165746707224E-2</v>
      </c>
      <c r="BL168" s="38">
        <f t="shared" si="426"/>
        <v>47926.7834</v>
      </c>
      <c r="BM168" s="37">
        <f t="shared" si="426"/>
        <v>0.88280706543562715</v>
      </c>
      <c r="BN168" s="7">
        <f t="shared" si="426"/>
        <v>1114.3585806580852</v>
      </c>
      <c r="BO168" s="38">
        <f t="shared" si="426"/>
        <v>44032.383999999998</v>
      </c>
      <c r="BP168" s="37">
        <f t="shared" si="426"/>
        <v>0.91874273373413995</v>
      </c>
      <c r="BQ168" s="50">
        <f t="shared" si="426"/>
        <v>3040.5926271492808</v>
      </c>
      <c r="BR168" s="98">
        <f t="shared" si="408"/>
        <v>0.471438800856531</v>
      </c>
      <c r="BS168" s="110">
        <f>INDEX(Daggett!$B$7:$M$21, MATCH(BF168,Daggett!$A$7:$A$21,0), MATCH(BD$163,Daggett!$B$6:$M$6,0))</f>
        <v>756.70967741935488</v>
      </c>
      <c r="BT168" s="4">
        <f t="shared" si="397"/>
        <v>0.82918971118712959</v>
      </c>
      <c r="BU168" s="98">
        <f t="shared" si="409"/>
        <v>0.39091220312463365</v>
      </c>
      <c r="BV168" s="111">
        <f t="shared" si="410"/>
        <v>0.87074620145250603</v>
      </c>
      <c r="BW168" s="98">
        <f t="shared" si="411"/>
        <v>0.41050354506314884</v>
      </c>
      <c r="BX168" s="38"/>
      <c r="BY168" s="37"/>
      <c r="BZ168" s="37"/>
      <c r="CA168" s="38"/>
      <c r="CB168" s="37"/>
      <c r="CC168" s="7"/>
      <c r="CD168" s="41"/>
      <c r="CE168" s="37"/>
    </row>
    <row r="169" spans="2:83">
      <c r="C169" s="7" t="s">
        <v>160</v>
      </c>
      <c r="D169" s="38">
        <v>15</v>
      </c>
      <c r="E169" s="93">
        <f t="shared" ref="E169:O169" si="427">E54</f>
        <v>84902.688749685229</v>
      </c>
      <c r="F169" s="37">
        <f t="shared" si="427"/>
        <v>0.90902236348699383</v>
      </c>
      <c r="G169" s="38">
        <f t="shared" si="427"/>
        <v>62459.33</v>
      </c>
      <c r="H169" s="37">
        <f t="shared" si="427"/>
        <v>0.66872944325481798</v>
      </c>
      <c r="I169" s="37">
        <f t="shared" si="427"/>
        <v>0.20037189532224065</v>
      </c>
      <c r="J169" s="38">
        <f t="shared" si="427"/>
        <v>59072.77</v>
      </c>
      <c r="K169" s="37">
        <f t="shared" si="427"/>
        <v>0.94577975780399814</v>
      </c>
      <c r="L169" s="7">
        <f t="shared" si="427"/>
        <v>1373.5169244164529</v>
      </c>
      <c r="M169" s="38">
        <f t="shared" si="427"/>
        <v>54043.95</v>
      </c>
      <c r="N169" s="37">
        <f t="shared" si="427"/>
        <v>0.91487076025045044</v>
      </c>
      <c r="O169" s="50">
        <f t="shared" si="427"/>
        <v>3731.9268452969609</v>
      </c>
      <c r="P169" s="98">
        <f>P163</f>
        <v>0.57862901498929331</v>
      </c>
      <c r="Q169" s="110">
        <f>INDEX(Daggett!$B$7:$M$21, MATCH(D169,Daggett!$A$7:$A$21,0), MATCH(B$163,Daggett!$B$6:$M$6,0))</f>
        <v>699.06451612903231</v>
      </c>
      <c r="R169" s="4">
        <f t="shared" si="393"/>
        <v>0.84935623097175794</v>
      </c>
      <c r="S169" s="98">
        <f t="shared" si="399"/>
        <v>0.49146215930220699</v>
      </c>
      <c r="T169" s="111">
        <f t="shared" si="400"/>
        <v>0.89469028649641824</v>
      </c>
      <c r="U169" s="98">
        <f t="shared" si="401"/>
        <v>0.5176937591959111</v>
      </c>
      <c r="AD169" s="7" t="s">
        <v>160</v>
      </c>
      <c r="AE169" s="38">
        <v>15</v>
      </c>
      <c r="AF169" s="93">
        <f t="shared" ref="AF169:AP169" si="428">AF54</f>
        <v>81833.426858430583</v>
      </c>
      <c r="AG169" s="37">
        <f t="shared" si="428"/>
        <v>0.8761608871352311</v>
      </c>
      <c r="AH169" s="38">
        <f t="shared" si="428"/>
        <v>61187.125200000002</v>
      </c>
      <c r="AI169" s="37">
        <f t="shared" si="428"/>
        <v>0.65510840685224847</v>
      </c>
      <c r="AJ169" s="37">
        <f t="shared" si="428"/>
        <v>0.18727899666642178</v>
      </c>
      <c r="AK169" s="38">
        <f t="shared" si="428"/>
        <v>57643.121299999999</v>
      </c>
      <c r="AL169" s="37">
        <f t="shared" si="428"/>
        <v>0.94207925460763431</v>
      </c>
      <c r="AM169" s="7">
        <f t="shared" si="428"/>
        <v>1340.2757764997398</v>
      </c>
      <c r="AN169" s="38">
        <f t="shared" si="428"/>
        <v>52587.31925</v>
      </c>
      <c r="AO169" s="37">
        <f t="shared" si="428"/>
        <v>0.91229132052569817</v>
      </c>
      <c r="AP169" s="50">
        <f t="shared" si="428"/>
        <v>3631.3413144538222</v>
      </c>
      <c r="AQ169" s="98">
        <f t="shared" si="403"/>
        <v>0.56303339668094221</v>
      </c>
      <c r="AR169" s="110">
        <f>INDEX(Daggett!$B$7:$M$21, MATCH(AE169,Daggett!$A$7:$A$21,0), MATCH(AC$163,Daggett!$B$6:$M$6,0))</f>
        <v>699.06451612903231</v>
      </c>
      <c r="AS169" s="4">
        <f t="shared" si="395"/>
        <v>0.84518350740660997</v>
      </c>
      <c r="AT169" s="98">
        <f t="shared" si="404"/>
        <v>0.47586654099385589</v>
      </c>
      <c r="AU169" s="111">
        <f t="shared" si="405"/>
        <v>0.89177328351640783</v>
      </c>
      <c r="AV169" s="98">
        <f t="shared" si="406"/>
        <v>0.50209814088756</v>
      </c>
      <c r="AW169" s="38"/>
      <c r="AX169" s="37"/>
      <c r="AY169" s="38"/>
      <c r="AZ169" s="37"/>
      <c r="BA169" s="37"/>
      <c r="BB169" s="38"/>
      <c r="BC169" s="37"/>
      <c r="BE169" s="7" t="s">
        <v>160</v>
      </c>
      <c r="BF169" s="38">
        <v>15</v>
      </c>
      <c r="BG169" s="93">
        <f t="shared" ref="BG169:BQ169" si="429">BG54</f>
        <v>54375.393362950716</v>
      </c>
      <c r="BH169" s="37">
        <f t="shared" si="429"/>
        <v>0.58217765913223463</v>
      </c>
      <c r="BI169" s="38">
        <f t="shared" si="429"/>
        <v>48683.368900000001</v>
      </c>
      <c r="BJ169" s="37">
        <f t="shared" si="429"/>
        <v>0.52123521306209852</v>
      </c>
      <c r="BK169" s="37">
        <f t="shared" si="429"/>
        <v>2.6826252586848454E-2</v>
      </c>
      <c r="BL169" s="38">
        <f t="shared" si="429"/>
        <v>41645.476999999999</v>
      </c>
      <c r="BM169" s="37">
        <f t="shared" si="429"/>
        <v>0.85543539695339366</v>
      </c>
      <c r="BN169" s="7">
        <f t="shared" si="429"/>
        <v>968.3102296522768</v>
      </c>
      <c r="BO169" s="38">
        <f t="shared" si="429"/>
        <v>38390.825299999997</v>
      </c>
      <c r="BP169" s="37">
        <f t="shared" si="429"/>
        <v>0.92184861515693528</v>
      </c>
      <c r="BQ169" s="50">
        <f t="shared" si="429"/>
        <v>2651.0229461424592</v>
      </c>
      <c r="BR169" s="98">
        <f t="shared" si="408"/>
        <v>0.41103667344753742</v>
      </c>
      <c r="BS169" s="110">
        <f>INDEX(Daggett!$B$7:$M$21, MATCH(BF169,Daggett!$A$7:$A$21,0), MATCH(BD$163,Daggett!$B$6:$M$6,0))</f>
        <v>699.06451612903231</v>
      </c>
      <c r="BT169" s="4">
        <f t="shared" si="397"/>
        <v>0.78793411557177795</v>
      </c>
      <c r="BU169" s="98">
        <f t="shared" si="409"/>
        <v>0.3238698177604511</v>
      </c>
      <c r="BV169" s="111">
        <f t="shared" si="410"/>
        <v>0.85175226511470969</v>
      </c>
      <c r="BW169" s="98">
        <f t="shared" si="411"/>
        <v>0.35010141765415526</v>
      </c>
      <c r="BX169" s="38"/>
      <c r="BY169" s="37"/>
      <c r="BZ169" s="37"/>
      <c r="CA169" s="38"/>
      <c r="CB169" s="37"/>
      <c r="CC169" s="7"/>
      <c r="CD169" s="41"/>
      <c r="CE169" s="37"/>
    </row>
    <row r="170" spans="2:83">
      <c r="C170" s="7">
        <f>ROW(D170)-ROW(D162)+1</f>
        <v>9</v>
      </c>
      <c r="D170" s="38">
        <v>16</v>
      </c>
      <c r="E170" s="93">
        <f t="shared" ref="E170:O170" si="430">E55</f>
        <v>80142.912645621298</v>
      </c>
      <c r="F170" s="37">
        <f t="shared" si="430"/>
        <v>0.85806116322935011</v>
      </c>
      <c r="G170" s="38">
        <f t="shared" si="430"/>
        <v>50168.038999999997</v>
      </c>
      <c r="H170" s="37">
        <f t="shared" si="430"/>
        <v>0.53713103854389721</v>
      </c>
      <c r="I170" s="37">
        <f t="shared" si="430"/>
        <v>0.31958453500389006</v>
      </c>
      <c r="J170" s="38">
        <f t="shared" si="430"/>
        <v>47088.959999999999</v>
      </c>
      <c r="K170" s="37">
        <f t="shared" si="430"/>
        <v>0.93862468891797823</v>
      </c>
      <c r="L170" s="7">
        <f t="shared" si="430"/>
        <v>1094.8781225794792</v>
      </c>
      <c r="M170" s="38">
        <f t="shared" si="430"/>
        <v>42702.380400000002</v>
      </c>
      <c r="N170" s="37">
        <f t="shared" si="430"/>
        <v>0.90684484006442279</v>
      </c>
      <c r="O170" s="50">
        <f t="shared" si="430"/>
        <v>2948.7511511065122</v>
      </c>
      <c r="P170" s="98">
        <f>P162</f>
        <v>0.45719893361884373</v>
      </c>
      <c r="Q170" s="110">
        <f>INDEX(Daggett!$B$7:$M$21, MATCH(D170,Daggett!$A$7:$A$21,0), MATCH(B$163,Daggett!$B$6:$M$6,0))</f>
        <v>596.45161290322585</v>
      </c>
      <c r="R170" s="4">
        <f t="shared" si="393"/>
        <v>0.77654595925858394</v>
      </c>
      <c r="S170" s="98">
        <f t="shared" si="399"/>
        <v>0.35503598447904666</v>
      </c>
      <c r="T170" s="111">
        <f t="shared" si="400"/>
        <v>0.86672047699003929</v>
      </c>
      <c r="U170" s="98">
        <f t="shared" si="401"/>
        <v>0.39626367782546157</v>
      </c>
      <c r="AD170" s="7">
        <f>ROW(AE170)-ROW(AE162)+1</f>
        <v>9</v>
      </c>
      <c r="AE170" s="38">
        <v>16</v>
      </c>
      <c r="AF170" s="93">
        <f t="shared" ref="AF170:AP170" si="431">AF55</f>
        <v>82506.365010660578</v>
      </c>
      <c r="AG170" s="37">
        <f t="shared" si="431"/>
        <v>0.88336579240535951</v>
      </c>
      <c r="AH170" s="38">
        <f t="shared" si="431"/>
        <v>50328.262999999999</v>
      </c>
      <c r="AI170" s="37">
        <f t="shared" si="431"/>
        <v>0.53884649892933623</v>
      </c>
      <c r="AJ170" s="37">
        <f t="shared" si="431"/>
        <v>0.33696468522660239</v>
      </c>
      <c r="AK170" s="38">
        <f t="shared" si="431"/>
        <v>47337.9018</v>
      </c>
      <c r="AL170" s="37">
        <f t="shared" si="431"/>
        <v>0.94058286494012322</v>
      </c>
      <c r="AM170" s="7">
        <f t="shared" si="431"/>
        <v>1100.6663355834519</v>
      </c>
      <c r="AN170" s="38">
        <f t="shared" si="431"/>
        <v>42919.5458</v>
      </c>
      <c r="AO170" s="37">
        <f t="shared" si="431"/>
        <v>0.90666345925792602</v>
      </c>
      <c r="AP170" s="50">
        <f t="shared" si="431"/>
        <v>2963.7471938852073</v>
      </c>
      <c r="AQ170" s="98">
        <f t="shared" si="403"/>
        <v>0.45952404496788007</v>
      </c>
      <c r="AR170" s="110">
        <f>INDEX(Daggett!$B$7:$M$21, MATCH(AE170,Daggett!$A$7:$A$21,0), MATCH(AC$163,Daggett!$B$6:$M$6,0))</f>
        <v>596.45161290322585</v>
      </c>
      <c r="AS170" s="4">
        <f t="shared" si="395"/>
        <v>0.77767659764803365</v>
      </c>
      <c r="AT170" s="98">
        <f t="shared" si="404"/>
        <v>0.35736109582808301</v>
      </c>
      <c r="AU170" s="111">
        <f t="shared" si="405"/>
        <v>0.86739484808103684</v>
      </c>
      <c r="AV170" s="98">
        <f t="shared" si="406"/>
        <v>0.39858878917449786</v>
      </c>
      <c r="AW170" s="38"/>
      <c r="AX170" s="37"/>
      <c r="AY170" s="38"/>
      <c r="AZ170" s="37"/>
      <c r="BA170" s="37"/>
      <c r="BB170" s="38"/>
      <c r="BC170" s="37"/>
      <c r="BE170" s="7">
        <f>ROW(BF170)-ROW(BF162)+1</f>
        <v>9</v>
      </c>
      <c r="BF170" s="38">
        <v>16</v>
      </c>
      <c r="BG170" s="93">
        <f t="shared" ref="BG170:BQ170" si="432">BG55</f>
        <v>47172.812436235159</v>
      </c>
      <c r="BH170" s="37">
        <f t="shared" si="432"/>
        <v>0.50506223165134001</v>
      </c>
      <c r="BI170" s="38">
        <f t="shared" si="432"/>
        <v>38232.247519999997</v>
      </c>
      <c r="BJ170" s="37">
        <f t="shared" si="432"/>
        <v>0.40933883854389719</v>
      </c>
      <c r="BK170" s="37">
        <f t="shared" si="432"/>
        <v>0.11905208452893934</v>
      </c>
      <c r="BL170" s="38">
        <f t="shared" si="432"/>
        <v>31256.737000000001</v>
      </c>
      <c r="BM170" s="37">
        <f t="shared" si="432"/>
        <v>0.81754903327744521</v>
      </c>
      <c r="BN170" s="7">
        <f t="shared" si="432"/>
        <v>726.75883104066304</v>
      </c>
      <c r="BO170" s="38">
        <f t="shared" si="432"/>
        <v>28707.034</v>
      </c>
      <c r="BP170" s="37">
        <f t="shared" si="432"/>
        <v>0.91842708981426946</v>
      </c>
      <c r="BQ170" s="50">
        <f t="shared" si="432"/>
        <v>1982.3227360963178</v>
      </c>
      <c r="BR170" s="98">
        <f t="shared" si="408"/>
        <v>0.3073558244111349</v>
      </c>
      <c r="BS170" s="110">
        <f>INDEX(Daggett!$B$7:$M$21, MATCH(BF170,Daggett!$A$7:$A$21,0), MATCH(BD$163,Daggett!$B$6:$M$6,0))</f>
        <v>596.45161290322585</v>
      </c>
      <c r="BT170" s="4">
        <f t="shared" si="397"/>
        <v>0.66760691997448962</v>
      </c>
      <c r="BU170" s="98">
        <f t="shared" si="409"/>
        <v>0.20519287527133781</v>
      </c>
      <c r="BV170" s="111">
        <f t="shared" si="410"/>
        <v>0.80174361130091332</v>
      </c>
      <c r="BW170" s="98">
        <f t="shared" si="411"/>
        <v>0.24642056861775272</v>
      </c>
      <c r="BX170" s="38"/>
      <c r="BY170" s="37"/>
      <c r="BZ170" s="37"/>
      <c r="CA170" s="38"/>
      <c r="CB170" s="37"/>
      <c r="CC170" s="7"/>
      <c r="CD170" s="41"/>
      <c r="CE170" s="37"/>
    </row>
    <row r="171" spans="2:83">
      <c r="C171" s="7"/>
      <c r="D171" s="38"/>
      <c r="E171" s="93"/>
      <c r="F171" s="37"/>
      <c r="G171" s="38"/>
      <c r="H171" s="37"/>
      <c r="I171" s="37"/>
      <c r="J171" s="38"/>
      <c r="K171" s="37"/>
      <c r="L171" s="7"/>
      <c r="M171" s="38"/>
      <c r="N171" s="37"/>
      <c r="O171" s="50"/>
      <c r="P171" s="98"/>
      <c r="Q171" s="111"/>
      <c r="R171" s="4"/>
      <c r="S171" s="98"/>
      <c r="T171" s="111"/>
      <c r="U171" s="98"/>
      <c r="AD171" s="7"/>
      <c r="AE171" s="38"/>
      <c r="AF171" s="93"/>
      <c r="AG171" s="37"/>
      <c r="AH171" s="38"/>
      <c r="AI171" s="37"/>
      <c r="AJ171" s="37"/>
      <c r="AK171" s="38"/>
      <c r="AL171" s="37"/>
      <c r="AM171" s="7"/>
      <c r="AN171" s="38"/>
      <c r="AO171" s="37"/>
      <c r="AP171" s="50"/>
      <c r="AQ171" s="98"/>
      <c r="AR171" s="111"/>
      <c r="AS171" s="4"/>
      <c r="AT171" s="98"/>
      <c r="AU171" s="111"/>
      <c r="AV171" s="98"/>
      <c r="AW171" s="38"/>
      <c r="AX171" s="37"/>
      <c r="AY171" s="38"/>
      <c r="AZ171" s="37"/>
      <c r="BA171" s="37"/>
      <c r="BB171" s="38"/>
      <c r="BC171" s="37"/>
      <c r="BE171" s="7"/>
      <c r="BF171" s="38"/>
      <c r="BG171" s="93"/>
      <c r="BH171" s="37"/>
      <c r="BI171" s="38"/>
      <c r="BJ171" s="37"/>
      <c r="BK171" s="37"/>
      <c r="BL171" s="38"/>
      <c r="BM171" s="37"/>
      <c r="BN171" s="7"/>
      <c r="BO171" s="38"/>
      <c r="BP171" s="37"/>
      <c r="BQ171" s="50"/>
      <c r="BR171" s="98"/>
      <c r="BS171" s="111"/>
      <c r="BT171" s="4"/>
      <c r="BU171" s="98"/>
      <c r="BV171" s="111"/>
      <c r="BW171" s="98"/>
      <c r="BX171" s="38"/>
      <c r="BY171" s="37"/>
      <c r="BZ171" s="37"/>
      <c r="CA171" s="38"/>
      <c r="CB171" s="37"/>
      <c r="CC171" s="7"/>
      <c r="CD171" s="41"/>
      <c r="CE171" s="37"/>
    </row>
    <row r="172" spans="2:83">
      <c r="C172" s="7"/>
      <c r="D172" s="38"/>
      <c r="E172" s="93"/>
      <c r="F172" s="37"/>
      <c r="G172" s="38"/>
      <c r="H172" s="37"/>
      <c r="I172" s="37"/>
      <c r="J172" s="38"/>
      <c r="K172" s="37"/>
      <c r="L172" s="7"/>
      <c r="M172" s="38"/>
      <c r="N172" s="37"/>
      <c r="O172" s="50"/>
      <c r="P172" s="98"/>
      <c r="Q172" s="110"/>
      <c r="R172" s="4"/>
      <c r="S172" s="98"/>
      <c r="T172" s="111"/>
      <c r="U172" s="98"/>
      <c r="AD172" s="7"/>
      <c r="AE172" s="38"/>
      <c r="AF172" s="93"/>
      <c r="AG172" s="37"/>
      <c r="AH172" s="38"/>
      <c r="AI172" s="37"/>
      <c r="AJ172" s="37"/>
      <c r="AK172" s="38"/>
      <c r="AL172" s="37"/>
      <c r="AM172" s="7"/>
      <c r="AN172" s="38"/>
      <c r="AO172" s="37"/>
      <c r="AP172" s="50"/>
      <c r="AQ172" s="98"/>
      <c r="AR172" s="110"/>
      <c r="AS172" s="4"/>
      <c r="AT172" s="98"/>
      <c r="AU172" s="111"/>
      <c r="AV172" s="98"/>
      <c r="AW172" s="38"/>
      <c r="AX172" s="37"/>
      <c r="AY172" s="38"/>
      <c r="AZ172" s="37"/>
      <c r="BA172" s="37"/>
      <c r="BB172" s="38"/>
      <c r="BC172" s="37"/>
      <c r="BE172" s="7"/>
      <c r="BF172" s="38"/>
      <c r="BG172" s="93"/>
      <c r="BH172" s="37"/>
      <c r="BI172" s="38"/>
      <c r="BJ172" s="37"/>
      <c r="BK172" s="37"/>
      <c r="BL172" s="38"/>
      <c r="BM172" s="37"/>
      <c r="BN172" s="7"/>
      <c r="BO172" s="38"/>
      <c r="BP172" s="37"/>
      <c r="BQ172" s="50"/>
      <c r="BR172" s="98"/>
      <c r="BS172" s="110"/>
      <c r="BT172" s="4"/>
      <c r="BU172" s="98"/>
      <c r="BV172" s="111"/>
      <c r="BW172" s="98"/>
      <c r="BX172" s="38"/>
      <c r="BY172" s="37"/>
      <c r="BZ172" s="37"/>
      <c r="CA172" s="38"/>
      <c r="CB172" s="37"/>
      <c r="CC172" s="7"/>
      <c r="CD172" s="41"/>
      <c r="CE172" s="37"/>
    </row>
    <row r="173" spans="2:83">
      <c r="E173" s="94"/>
      <c r="P173" s="95"/>
      <c r="Q173" s="94"/>
      <c r="S173" s="95"/>
      <c r="T173" s="94"/>
      <c r="U173" s="95"/>
      <c r="AF173" s="94"/>
      <c r="AQ173" s="95"/>
      <c r="AR173" s="94"/>
      <c r="AT173" s="95"/>
      <c r="AU173" s="94"/>
      <c r="AV173" s="95"/>
      <c r="AW173" s="38"/>
      <c r="AX173" s="37"/>
      <c r="AY173" s="38"/>
      <c r="AZ173" s="37"/>
      <c r="BA173" s="37"/>
      <c r="BB173" s="38"/>
      <c r="BC173" s="37"/>
      <c r="BG173" s="94"/>
      <c r="BR173" s="95"/>
      <c r="BS173" s="94"/>
      <c r="BU173" s="95"/>
      <c r="BV173" s="94"/>
      <c r="BW173" s="95"/>
      <c r="BX173" s="38"/>
      <c r="BY173" s="37"/>
      <c r="BZ173" s="37"/>
      <c r="CA173" s="38"/>
      <c r="CB173" s="37"/>
      <c r="CC173" s="7"/>
      <c r="CD173" s="41"/>
      <c r="CE173" s="37"/>
    </row>
    <row r="174" spans="2:83" ht="49.5">
      <c r="B174" s="34"/>
      <c r="C174" s="64" t="s">
        <v>149</v>
      </c>
      <c r="D174" s="64" t="s">
        <v>87</v>
      </c>
      <c r="E174" s="96" t="s">
        <v>150</v>
      </c>
      <c r="F174" s="64" t="s">
        <v>123</v>
      </c>
      <c r="G174" s="64" t="s">
        <v>151</v>
      </c>
      <c r="H174" s="33" t="s">
        <v>152</v>
      </c>
      <c r="I174" s="34" t="s">
        <v>153</v>
      </c>
      <c r="J174" s="92" t="s">
        <v>154</v>
      </c>
      <c r="K174" s="35" t="s">
        <v>155</v>
      </c>
      <c r="L174" s="35" t="s">
        <v>156</v>
      </c>
      <c r="M174" s="92" t="s">
        <v>157</v>
      </c>
      <c r="N174" s="35" t="s">
        <v>70</v>
      </c>
      <c r="O174" s="35" t="s">
        <v>158</v>
      </c>
      <c r="P174" s="107" t="s">
        <v>127</v>
      </c>
      <c r="Q174" s="150" t="s">
        <v>159</v>
      </c>
      <c r="R174" s="69" t="s">
        <v>128</v>
      </c>
      <c r="S174" s="107" t="s">
        <v>129</v>
      </c>
      <c r="T174" s="114" t="s">
        <v>128</v>
      </c>
      <c r="U174" s="107" t="s">
        <v>129</v>
      </c>
      <c r="AC174" s="34"/>
      <c r="AD174" s="64" t="s">
        <v>149</v>
      </c>
      <c r="AE174" s="64" t="s">
        <v>87</v>
      </c>
      <c r="AF174" s="96" t="s">
        <v>150</v>
      </c>
      <c r="AG174" s="64" t="s">
        <v>123</v>
      </c>
      <c r="AH174" s="64" t="s">
        <v>151</v>
      </c>
      <c r="AI174" s="33" t="s">
        <v>152</v>
      </c>
      <c r="AJ174" s="34" t="s">
        <v>153</v>
      </c>
      <c r="AK174" s="92" t="s">
        <v>154</v>
      </c>
      <c r="AL174" s="35" t="s">
        <v>155</v>
      </c>
      <c r="AM174" s="35" t="s">
        <v>156</v>
      </c>
      <c r="AN174" s="92" t="s">
        <v>157</v>
      </c>
      <c r="AO174" s="35" t="s">
        <v>70</v>
      </c>
      <c r="AP174" s="35" t="s">
        <v>158</v>
      </c>
      <c r="AQ174" s="107" t="s">
        <v>127</v>
      </c>
      <c r="AR174" s="150" t="s">
        <v>159</v>
      </c>
      <c r="AS174" s="69" t="s">
        <v>128</v>
      </c>
      <c r="AT174" s="107" t="s">
        <v>129</v>
      </c>
      <c r="AU174" s="114" t="s">
        <v>128</v>
      </c>
      <c r="AV174" s="107" t="s">
        <v>129</v>
      </c>
      <c r="AW174" s="38"/>
      <c r="AX174" s="37"/>
      <c r="AY174" s="38"/>
      <c r="AZ174" s="37"/>
      <c r="BA174" s="37"/>
      <c r="BB174" s="38"/>
      <c r="BC174" s="37"/>
      <c r="BD174" s="34"/>
      <c r="BE174" s="64" t="s">
        <v>149</v>
      </c>
      <c r="BF174" s="64" t="s">
        <v>87</v>
      </c>
      <c r="BG174" s="96" t="s">
        <v>150</v>
      </c>
      <c r="BH174" s="64" t="s">
        <v>123</v>
      </c>
      <c r="BI174" s="64" t="s">
        <v>151</v>
      </c>
      <c r="BJ174" s="33" t="s">
        <v>152</v>
      </c>
      <c r="BK174" s="34" t="s">
        <v>153</v>
      </c>
      <c r="BL174" s="92" t="s">
        <v>154</v>
      </c>
      <c r="BM174" s="35" t="s">
        <v>155</v>
      </c>
      <c r="BN174" s="35" t="s">
        <v>156</v>
      </c>
      <c r="BO174" s="92" t="s">
        <v>157</v>
      </c>
      <c r="BP174" s="35" t="s">
        <v>70</v>
      </c>
      <c r="BQ174" s="35" t="s">
        <v>158</v>
      </c>
      <c r="BR174" s="107" t="s">
        <v>127</v>
      </c>
      <c r="BS174" s="150" t="s">
        <v>159</v>
      </c>
      <c r="BT174" s="69" t="s">
        <v>128</v>
      </c>
      <c r="BU174" s="107" t="s">
        <v>129</v>
      </c>
      <c r="BV174" s="114" t="s">
        <v>128</v>
      </c>
      <c r="BW174" s="107" t="s">
        <v>129</v>
      </c>
      <c r="BX174" s="38"/>
      <c r="BY174" s="37"/>
      <c r="BZ174" s="37"/>
      <c r="CA174" s="38"/>
      <c r="CB174" s="37"/>
      <c r="CC174" s="7"/>
      <c r="CD174" s="41"/>
      <c r="CE174" s="37"/>
    </row>
    <row r="175" spans="2:83">
      <c r="B175" s="2" t="s">
        <v>86</v>
      </c>
      <c r="C175" s="7">
        <v>326</v>
      </c>
      <c r="D175" s="38">
        <v>8</v>
      </c>
      <c r="E175" s="93">
        <f t="shared" ref="E175:E181" si="433">E35</f>
        <v>80932.612635890691</v>
      </c>
      <c r="F175" s="37">
        <f t="shared" ref="F175:O175" si="434">F35</f>
        <v>0.86651619524508239</v>
      </c>
      <c r="G175" s="38">
        <f t="shared" si="434"/>
        <v>38302.42</v>
      </c>
      <c r="H175" s="37">
        <f t="shared" si="434"/>
        <v>0.41009014989293358</v>
      </c>
      <c r="I175" s="37">
        <f t="shared" si="434"/>
        <v>0.48558357550255904</v>
      </c>
      <c r="J175" s="38">
        <f t="shared" si="434"/>
        <v>35804.18</v>
      </c>
      <c r="K175" s="37">
        <f t="shared" si="434"/>
        <v>0.93477592277459232</v>
      </c>
      <c r="L175" s="7">
        <f t="shared" si="434"/>
        <v>832.49265600467152</v>
      </c>
      <c r="M175" s="38">
        <f t="shared" si="434"/>
        <v>32186.79</v>
      </c>
      <c r="N175" s="37">
        <f t="shared" si="434"/>
        <v>0.89896738313794644</v>
      </c>
      <c r="O175" s="50">
        <f t="shared" si="434"/>
        <v>2222.6122565973765</v>
      </c>
      <c r="P175" s="98">
        <f>M175/$C$10</f>
        <v>0.34461231263383296</v>
      </c>
      <c r="Q175" s="110">
        <f>INDEX(Daggett!$B$7:$M$21, MATCH(D175,Daggett!$A$7:$A$21,0), MATCH(B$176,Daggett!$B$6:$M$6,0))</f>
        <v>496</v>
      </c>
      <c r="R175" s="4">
        <f t="shared" ref="R175:R183" si="435">IF(1-$H$7*(($H$5+273)^4-298^4)*(PI()*$C$19^2)*1000/(M175*Q175*1000)&lt;0,#N/A,1-$H$7*(($H$5+273)^4-298^4)*(PI()*$C$19^2)*1000/(M175*Q175*1000))</f>
        <v>0.64350276008957707</v>
      </c>
      <c r="S175" s="98">
        <f>R175*P175</f>
        <v>0.22175897434072375</v>
      </c>
      <c r="T175" s="111">
        <f>IF(1-$H$7*(($H$5+273)^4-298^4)/(O175*1000)&lt;0,#N/A,1-$H$7*(($H$5+273)^4-298^4)/(O175*1000))</f>
        <v>0.82317736900443017</v>
      </c>
      <c r="U175" s="98">
        <f>T175*P175</f>
        <v>0.28367705684045075</v>
      </c>
      <c r="AC175" s="2" t="s">
        <v>86</v>
      </c>
      <c r="AD175" s="7">
        <v>326</v>
      </c>
      <c r="AE175" s="38">
        <v>8</v>
      </c>
      <c r="AF175" s="93">
        <f>AF35</f>
        <v>43402.111223044536</v>
      </c>
      <c r="AG175" s="37">
        <f t="shared" ref="AG175:AP175" si="436">AG35</f>
        <v>0.46469069831953463</v>
      </c>
      <c r="AH175" s="38">
        <f t="shared" si="436"/>
        <v>31349.227999999999</v>
      </c>
      <c r="AI175" s="37">
        <f t="shared" si="436"/>
        <v>0.33564483940042827</v>
      </c>
      <c r="AJ175" s="37">
        <f t="shared" si="436"/>
        <v>0.21489423288711917</v>
      </c>
      <c r="AK175" s="38">
        <f t="shared" si="436"/>
        <v>24839.2618</v>
      </c>
      <c r="AL175" s="37">
        <f t="shared" si="436"/>
        <v>0.7923404621000556</v>
      </c>
      <c r="AM175" s="7">
        <f t="shared" si="436"/>
        <v>577.54438250163469</v>
      </c>
      <c r="AN175" s="38">
        <f t="shared" si="436"/>
        <v>22778.749186000001</v>
      </c>
      <c r="AO175" s="37">
        <f t="shared" si="436"/>
        <v>0.91704614128266893</v>
      </c>
      <c r="AP175" s="50">
        <f t="shared" si="436"/>
        <v>1572.9535977573753</v>
      </c>
      <c r="AQ175" s="98">
        <f>AN175/$C$10</f>
        <v>0.24388382426124197</v>
      </c>
      <c r="AR175" s="110">
        <f>INDEX(Daggett!$B$7:$M$21, MATCH(AE175,Daggett!$A$7:$A$21,0), MATCH(AC$149,Daggett!$B$6:$M$6,0))</f>
        <v>673.38709677419354</v>
      </c>
      <c r="AS175" s="4">
        <f t="shared" ref="AS175:AS183" si="437">IF(1-$H$7*(($H$5+273)^4-298^4)*(PI()*$C$19^2)*1000/(AN175*AR175*1000)&lt;0,#N/A,1-$H$7*(($H$5+273)^4-298^4)*(PI()*$C$19^2)*1000/(AN175*AR175*1000))</f>
        <v>0.6289598970487793</v>
      </c>
      <c r="AT175" s="98">
        <f>AS175*AQ175</f>
        <v>0.15339314499921333</v>
      </c>
      <c r="AU175" s="111">
        <f>IF(1-$H$7*(($H$5+273)^4-298^4)/(AP175*1000)&lt;0,#N/A,1-$H$7*(($H$5+273)^4-298^4)/(AP175*1000))</f>
        <v>0.75014638228687958</v>
      </c>
      <c r="AV175" s="98">
        <f>AU175*AQ175</f>
        <v>0.18294856846785978</v>
      </c>
      <c r="AW175" s="38"/>
      <c r="AX175" s="37"/>
      <c r="AY175" s="38"/>
      <c r="AZ175" s="37"/>
      <c r="BA175" s="37"/>
      <c r="BB175" s="38"/>
      <c r="BC175" s="37"/>
      <c r="BD175" s="2" t="s">
        <v>86</v>
      </c>
      <c r="BE175" s="7">
        <v>326</v>
      </c>
      <c r="BF175" s="38">
        <v>8</v>
      </c>
      <c r="BG175" s="93">
        <f>BG35</f>
        <v>79186.422459859823</v>
      </c>
      <c r="BH175" s="37">
        <f t="shared" ref="BH175:BQ175" si="438">BH35</f>
        <v>0.84782036894924862</v>
      </c>
      <c r="BI175" s="38">
        <f t="shared" si="438"/>
        <v>38510.341999999997</v>
      </c>
      <c r="BJ175" s="37">
        <f t="shared" si="438"/>
        <v>0.41231629550321197</v>
      </c>
      <c r="BK175" s="37">
        <f t="shared" si="438"/>
        <v>0.4713857995981191</v>
      </c>
      <c r="BL175" s="38">
        <f t="shared" si="438"/>
        <v>36053.648000000001</v>
      </c>
      <c r="BM175" s="37">
        <f t="shared" si="438"/>
        <v>0.93620690255100836</v>
      </c>
      <c r="BN175" s="7">
        <f t="shared" si="438"/>
        <v>838.29310382691392</v>
      </c>
      <c r="BO175" s="38">
        <f t="shared" si="438"/>
        <v>32452.880000000001</v>
      </c>
      <c r="BP175" s="37">
        <f t="shared" si="438"/>
        <v>0.90012749888721388</v>
      </c>
      <c r="BQ175" s="50">
        <f t="shared" si="438"/>
        <v>2240.9867169072736</v>
      </c>
      <c r="BR175" s="98">
        <f>BO175/$C$10</f>
        <v>0.34746124197002143</v>
      </c>
      <c r="BS175" s="110">
        <f>INDEX(Daggett!$B$7:$M$21, MATCH(BF175,Daggett!$A$7:$A$21,0), MATCH(BD$149,Daggett!$B$6:$M$6,0))</f>
        <v>673.38709677419354</v>
      </c>
      <c r="BT175" s="4">
        <f t="shared" ref="BT175:BT183" si="439">IF(1-$H$7*(($H$5+273)^4-298^4)*(PI()*$C$19^2)*1000/(BO175*BS175*1000)&lt;0,#N/A,1-$H$7*(($H$5+273)^4-298^4)*(PI()*$C$19^2)*1000/(BO175*BS175*1000))</f>
        <v>0.73956612038520231</v>
      </c>
      <c r="BU175" s="98">
        <f>BT175*BR175</f>
        <v>0.25697056270799279</v>
      </c>
      <c r="BV175" s="111">
        <f>IF(1-$H$7*(($H$5+273)^4-298^4)/(BQ175*1000)&lt;0,#N/A,1-$H$7*(($H$5+273)^4-298^4)/(BQ175*1000))</f>
        <v>0.82462718590455153</v>
      </c>
      <c r="BW175" s="98">
        <f>BV175*BR175</f>
        <v>0.28652598617663921</v>
      </c>
      <c r="BX175" s="38"/>
      <c r="BY175" s="37"/>
      <c r="BZ175" s="37"/>
      <c r="CA175" s="38"/>
      <c r="CB175" s="37"/>
      <c r="CC175" s="7"/>
      <c r="CD175" s="41"/>
      <c r="CE175" s="37"/>
    </row>
    <row r="176" spans="2:83">
      <c r="B176" s="2">
        <v>11</v>
      </c>
      <c r="D176" s="38">
        <v>9</v>
      </c>
      <c r="E176" s="93">
        <f t="shared" si="433"/>
        <v>85451.927365477401</v>
      </c>
      <c r="F176" s="37">
        <f t="shared" ref="F176:O176" si="440">F36</f>
        <v>0.91490286258541109</v>
      </c>
      <c r="G176" s="38">
        <f t="shared" si="440"/>
        <v>55161.35</v>
      </c>
      <c r="H176" s="37">
        <f t="shared" si="440"/>
        <v>0.59059261241970018</v>
      </c>
      <c r="I176" s="37">
        <f t="shared" si="440"/>
        <v>0.29834246015312438</v>
      </c>
      <c r="J176" s="38">
        <f t="shared" si="440"/>
        <v>52235.595000000001</v>
      </c>
      <c r="K176" s="37">
        <f t="shared" si="440"/>
        <v>0.94696005445842069</v>
      </c>
      <c r="L176" s="7">
        <f t="shared" si="440"/>
        <v>1214.5439225122414</v>
      </c>
      <c r="M176" s="38">
        <f t="shared" si="440"/>
        <v>47072.18</v>
      </c>
      <c r="N176" s="37">
        <f t="shared" si="440"/>
        <v>0.90115140834520979</v>
      </c>
      <c r="O176" s="50">
        <f t="shared" si="440"/>
        <v>3250.501345824106</v>
      </c>
      <c r="P176" s="98">
        <f>M176/$C$10</f>
        <v>0.50398479657387585</v>
      </c>
      <c r="Q176" s="110">
        <f>INDEX(Daggett!$B$7:$M$21, MATCH(D176,Daggett!$A$7:$A$21,0), MATCH(B$176,Daggett!$B$6:$M$6,0))</f>
        <v>672.5333333333333</v>
      </c>
      <c r="R176" s="4">
        <f t="shared" si="435"/>
        <v>0.82022165068528274</v>
      </c>
      <c r="S176" s="98">
        <f t="shared" ref="S176:S183" si="441">R176*P176</f>
        <v>0.41337924176611091</v>
      </c>
      <c r="T176" s="111">
        <f t="shared" ref="T176:T183" si="442">IF(1-$H$7*(($H$5+273)^4-298^4)/(O176*1000)&lt;0,#N/A,1-$H$7*(($H$5+273)^4-298^4)/(O176*1000))</f>
        <v>0.87909306747420879</v>
      </c>
      <c r="U176" s="98">
        <f t="shared" ref="U176:U183" si="443">T176*P176</f>
        <v>0.44304954078049363</v>
      </c>
      <c r="AC176" s="2">
        <v>11</v>
      </c>
      <c r="AE176" s="38">
        <v>9</v>
      </c>
      <c r="AF176" s="93">
        <f t="shared" ref="AF176:AP176" si="444">AF36</f>
        <v>50831.090954300103</v>
      </c>
      <c r="AG176" s="37">
        <f t="shared" si="444"/>
        <v>0.54423009587045079</v>
      </c>
      <c r="AH176" s="38">
        <f t="shared" si="444"/>
        <v>41301.031999999999</v>
      </c>
      <c r="AI176" s="37">
        <f t="shared" si="444"/>
        <v>0.44219520342612417</v>
      </c>
      <c r="AJ176" s="37">
        <f t="shared" si="444"/>
        <v>0.11683134781983662</v>
      </c>
      <c r="AK176" s="38">
        <f t="shared" si="444"/>
        <v>34425.138800000001</v>
      </c>
      <c r="AL176" s="37">
        <f t="shared" si="444"/>
        <v>0.83351764188362176</v>
      </c>
      <c r="AM176" s="7">
        <f t="shared" si="444"/>
        <v>800.4281967340537</v>
      </c>
      <c r="AN176" s="38">
        <f t="shared" si="444"/>
        <v>32088.723000000002</v>
      </c>
      <c r="AO176" s="37">
        <f t="shared" si="444"/>
        <v>0.93213053363200971</v>
      </c>
      <c r="AP176" s="50">
        <f t="shared" si="444"/>
        <v>2215.8403816708078</v>
      </c>
      <c r="AQ176" s="98">
        <f t="shared" ref="AQ176:AQ183" si="445">AN176/$C$10</f>
        <v>0.34356234475374736</v>
      </c>
      <c r="AR176" s="110">
        <f>INDEX(Daggett!$B$7:$M$21, MATCH(AE176,Daggett!$A$7:$A$21,0), MATCH(AC$149,Daggett!$B$6:$M$6,0))</f>
        <v>771.41935483870964</v>
      </c>
      <c r="AS176" s="4">
        <f t="shared" si="437"/>
        <v>0.77008222424355166</v>
      </c>
      <c r="AT176" s="98">
        <f t="shared" ref="AT176:AT183" si="446">AS176*AQ176</f>
        <v>0.2645712546142957</v>
      </c>
      <c r="AU176" s="111">
        <f t="shared" ref="AU176:AU183" si="447">IF(1-$H$7*(($H$5+273)^4-298^4)/(AP176*1000)&lt;0,#N/A,1-$H$7*(($H$5+273)^4-298^4)/(AP176*1000))</f>
        <v>0.82263697776000944</v>
      </c>
      <c r="AV176" s="98">
        <f t="shared" ref="AV176:AV183" si="448">AU176*AQ176</f>
        <v>0.28262708896036515</v>
      </c>
      <c r="AW176" s="38"/>
      <c r="AX176" s="37"/>
      <c r="AY176" s="38"/>
      <c r="AZ176" s="37"/>
      <c r="BA176" s="37"/>
      <c r="BB176" s="38"/>
      <c r="BC176" s="37"/>
      <c r="BD176" s="2">
        <v>11</v>
      </c>
      <c r="BF176" s="38">
        <v>9</v>
      </c>
      <c r="BG176" s="93">
        <f t="shared" ref="BG176:BQ176" si="449">BG36</f>
        <v>78514.253231149341</v>
      </c>
      <c r="BH176" s="37">
        <f t="shared" si="449"/>
        <v>0.84062369626498223</v>
      </c>
      <c r="BI176" s="38">
        <f t="shared" si="449"/>
        <v>54788.146000000001</v>
      </c>
      <c r="BJ176" s="37">
        <f t="shared" si="449"/>
        <v>0.58659685224839397</v>
      </c>
      <c r="BK176" s="37">
        <f t="shared" si="449"/>
        <v>0.24150927815143297</v>
      </c>
      <c r="BL176" s="38">
        <f t="shared" si="449"/>
        <v>51168.224600000001</v>
      </c>
      <c r="BM176" s="37">
        <f t="shared" si="449"/>
        <v>0.93392874801786507</v>
      </c>
      <c r="BN176" s="7">
        <f t="shared" si="449"/>
        <v>1189.7262051608939</v>
      </c>
      <c r="BO176" s="38">
        <f t="shared" si="449"/>
        <v>46469.755400000002</v>
      </c>
      <c r="BP176" s="37">
        <f t="shared" si="449"/>
        <v>0.90817603626606969</v>
      </c>
      <c r="BQ176" s="50">
        <f t="shared" si="449"/>
        <v>3208.9017858917314</v>
      </c>
      <c r="BR176" s="98">
        <f t="shared" ref="BR176:BR183" si="450">BO176/$C$10</f>
        <v>0.49753485438972167</v>
      </c>
      <c r="BS176" s="110">
        <f>INDEX(Daggett!$B$7:$M$21, MATCH(BF176,Daggett!$A$7:$A$21,0), MATCH(BD$149,Daggett!$B$6:$M$6,0))</f>
        <v>771.41935483870964</v>
      </c>
      <c r="BT176" s="4">
        <f t="shared" si="439"/>
        <v>0.8412350623428333</v>
      </c>
      <c r="BU176" s="98">
        <f t="shared" ref="BU176:BU183" si="451">BT176*BR176</f>
        <v>0.41854376425027001</v>
      </c>
      <c r="BV176" s="111">
        <f t="shared" ref="BV176:BV183" si="452">IF(1-$H$7*(($H$5+273)^4-298^4)/(BQ176*1000)&lt;0,#N/A,1-$H$7*(($H$5+273)^4-298^4)/(BQ176*1000))</f>
        <v>0.87752565422150042</v>
      </c>
      <c r="BW176" s="98">
        <f t="shared" ref="BW176:BW183" si="453">BV176*BR176</f>
        <v>0.43659959859633946</v>
      </c>
      <c r="BX176" s="38"/>
      <c r="BY176" s="37"/>
      <c r="BZ176" s="37"/>
      <c r="CA176" s="38"/>
      <c r="CB176" s="37"/>
      <c r="CC176" s="7"/>
      <c r="CD176" s="41"/>
      <c r="CE176" s="37"/>
    </row>
    <row r="177" spans="2:83">
      <c r="D177" s="38">
        <v>10</v>
      </c>
      <c r="E177" s="93">
        <f t="shared" si="433"/>
        <v>88764.467893855472</v>
      </c>
      <c r="F177" s="37">
        <f t="shared" ref="F177:O177" si="454">F37</f>
        <v>0.95036903526611849</v>
      </c>
      <c r="G177" s="38">
        <f t="shared" si="454"/>
        <v>61459.4</v>
      </c>
      <c r="H177" s="37">
        <f t="shared" si="454"/>
        <v>0.65802355460385442</v>
      </c>
      <c r="I177" s="37">
        <f t="shared" si="454"/>
        <v>0.24740498943724021</v>
      </c>
      <c r="J177" s="38">
        <f t="shared" si="454"/>
        <v>58430.77</v>
      </c>
      <c r="K177" s="37">
        <f t="shared" si="454"/>
        <v>0.95072145188530954</v>
      </c>
      <c r="L177" s="7">
        <f t="shared" si="454"/>
        <v>1358.5896090819026</v>
      </c>
      <c r="M177" s="38">
        <f t="shared" si="454"/>
        <v>52978.07</v>
      </c>
      <c r="N177" s="37">
        <f t="shared" si="454"/>
        <v>0.9066810175529092</v>
      </c>
      <c r="O177" s="50">
        <f t="shared" si="454"/>
        <v>3658.3240426545722</v>
      </c>
      <c r="P177" s="98">
        <f>M177/$C$10</f>
        <v>0.56721702355460391</v>
      </c>
      <c r="Q177" s="110">
        <f>INDEX(Daggett!$B$7:$M$21, MATCH(D177,Daggett!$A$7:$A$21,0), MATCH(B$176,Daggett!$B$6:$M$6,0))</f>
        <v>739.0333333333333</v>
      </c>
      <c r="R177" s="4">
        <f t="shared" si="435"/>
        <v>0.85463650551325998</v>
      </c>
      <c r="S177" s="98">
        <f t="shared" si="441"/>
        <v>0.48476437487833918</v>
      </c>
      <c r="T177" s="111">
        <f t="shared" si="442"/>
        <v>0.89257153212448292</v>
      </c>
      <c r="U177" s="98">
        <f t="shared" si="443"/>
        <v>0.50628176776122169</v>
      </c>
      <c r="AE177" s="38">
        <v>10</v>
      </c>
      <c r="AF177" s="93">
        <f t="shared" ref="AF177:AP177" si="455">AF37</f>
        <v>57761.22769655264</v>
      </c>
      <c r="AG177" s="37">
        <f t="shared" si="455"/>
        <v>0.61842856206159147</v>
      </c>
      <c r="AH177" s="38">
        <f t="shared" si="455"/>
        <v>49601.909</v>
      </c>
      <c r="AI177" s="37">
        <f t="shared" si="455"/>
        <v>0.53106968950749467</v>
      </c>
      <c r="AJ177" s="37">
        <f t="shared" si="455"/>
        <v>6.6586348172812837E-2</v>
      </c>
      <c r="AK177" s="38">
        <f t="shared" si="455"/>
        <v>43066.349600000001</v>
      </c>
      <c r="AL177" s="37">
        <f t="shared" si="455"/>
        <v>0.86823976069146858</v>
      </c>
      <c r="AM177" s="7">
        <f t="shared" si="455"/>
        <v>1001.3473220984176</v>
      </c>
      <c r="AN177" s="38">
        <f t="shared" si="455"/>
        <v>39970.557800000002</v>
      </c>
      <c r="AO177" s="37">
        <f t="shared" si="455"/>
        <v>0.92811576024544229</v>
      </c>
      <c r="AP177" s="50">
        <f t="shared" si="455"/>
        <v>2760.1090903850263</v>
      </c>
      <c r="AQ177" s="98">
        <f t="shared" si="445"/>
        <v>0.42795029764453962</v>
      </c>
      <c r="AR177" s="110">
        <f>INDEX(Daggett!$B$7:$M$21, MATCH(AE177,Daggett!$A$7:$A$21,0), MATCH(AC$149,Daggett!$B$6:$M$6,0))</f>
        <v>840.45161290322585</v>
      </c>
      <c r="AS177" s="4">
        <f t="shared" si="437"/>
        <v>0.8305808139895523</v>
      </c>
      <c r="AT177" s="98">
        <f t="shared" si="446"/>
        <v>0.35544730656467288</v>
      </c>
      <c r="AU177" s="111">
        <f t="shared" si="447"/>
        <v>0.85761137186076752</v>
      </c>
      <c r="AV177" s="98">
        <f t="shared" si="448"/>
        <v>0.36701504185115741</v>
      </c>
      <c r="AW177" s="38"/>
      <c r="AX177" s="37"/>
      <c r="AY177" s="38"/>
      <c r="AZ177" s="37"/>
      <c r="BA177" s="37"/>
      <c r="BB177" s="38"/>
      <c r="BC177" s="37"/>
      <c r="BF177" s="38">
        <v>10</v>
      </c>
      <c r="BG177" s="93">
        <f t="shared" ref="BG177:BQ177" si="456">BG37</f>
        <v>76601.422338151606</v>
      </c>
      <c r="BH177" s="37">
        <f t="shared" si="456"/>
        <v>0.8201437081172549</v>
      </c>
      <c r="BI177" s="38">
        <f t="shared" si="456"/>
        <v>57441.539299999997</v>
      </c>
      <c r="BJ177" s="37">
        <f t="shared" si="456"/>
        <v>0.61500577408993573</v>
      </c>
      <c r="BK177" s="37">
        <f t="shared" si="456"/>
        <v>0.18491780106577915</v>
      </c>
      <c r="BL177" s="38">
        <f t="shared" si="456"/>
        <v>53569.105000000003</v>
      </c>
      <c r="BM177" s="37">
        <f t="shared" si="456"/>
        <v>0.93258477493481806</v>
      </c>
      <c r="BN177" s="7">
        <f t="shared" si="456"/>
        <v>1245.5497235586217</v>
      </c>
      <c r="BO177" s="38">
        <f t="shared" si="456"/>
        <v>48868.175289999999</v>
      </c>
      <c r="BP177" s="37">
        <f t="shared" si="456"/>
        <v>0.9122455058750748</v>
      </c>
      <c r="BQ177" s="50">
        <f t="shared" si="456"/>
        <v>3374.5212044165646</v>
      </c>
      <c r="BR177" s="98">
        <f t="shared" si="450"/>
        <v>0.52321386820128479</v>
      </c>
      <c r="BS177" s="110">
        <f>INDEX(Daggett!$B$7:$M$21, MATCH(BF177,Daggett!$A$7:$A$21,0), MATCH(BD$149,Daggett!$B$6:$M$6,0))</f>
        <v>840.45161290322585</v>
      </c>
      <c r="BT177" s="4">
        <f t="shared" si="439"/>
        <v>0.86142761978171767</v>
      </c>
      <c r="BU177" s="98">
        <f t="shared" si="451"/>
        <v>0.45071087712141811</v>
      </c>
      <c r="BV177" s="111">
        <f t="shared" si="452"/>
        <v>0.88353661954170548</v>
      </c>
      <c r="BW177" s="98">
        <f t="shared" si="453"/>
        <v>0.46227861240790258</v>
      </c>
      <c r="BX177" s="38"/>
      <c r="BY177" s="37"/>
      <c r="BZ177" s="37"/>
      <c r="CA177" s="38"/>
      <c r="CB177" s="37"/>
      <c r="CC177" s="7"/>
      <c r="CD177" s="41"/>
      <c r="CE177" s="37"/>
    </row>
    <row r="178" spans="2:83">
      <c r="D178" s="38">
        <v>11</v>
      </c>
      <c r="E178" s="93">
        <f t="shared" si="433"/>
        <v>90785.181197422135</v>
      </c>
      <c r="F178" s="37">
        <f t="shared" ref="F178:O178" si="457">F38</f>
        <v>0.97200408134284944</v>
      </c>
      <c r="G178" s="38">
        <f t="shared" si="457"/>
        <v>67092.62</v>
      </c>
      <c r="H178" s="37">
        <f t="shared" si="457"/>
        <v>0.71833640256959308</v>
      </c>
      <c r="I178" s="37">
        <f t="shared" si="457"/>
        <v>0.19671074169056157</v>
      </c>
      <c r="J178" s="38">
        <f t="shared" si="457"/>
        <v>63976.33</v>
      </c>
      <c r="K178" s="37">
        <f t="shared" si="457"/>
        <v>0.95355241753862063</v>
      </c>
      <c r="L178" s="7">
        <f t="shared" si="457"/>
        <v>1487.5309218960285</v>
      </c>
      <c r="M178" s="38">
        <f t="shared" si="457"/>
        <v>58235.62</v>
      </c>
      <c r="N178" s="37">
        <f t="shared" si="457"/>
        <v>0.91026821951181014</v>
      </c>
      <c r="O178" s="50">
        <f t="shared" si="457"/>
        <v>4021.3765579775836</v>
      </c>
      <c r="P178" s="98">
        <f>M178/$C$10</f>
        <v>0.62350770877944328</v>
      </c>
      <c r="Q178" s="110">
        <f>INDEX(Daggett!$B$7:$M$21, MATCH(D178,Daggett!$A$7:$A$21,0), MATCH(B$176,Daggett!$B$6:$M$6,0))</f>
        <v>779.3</v>
      </c>
      <c r="R178" s="4">
        <f t="shared" si="435"/>
        <v>0.87459289711449406</v>
      </c>
      <c r="S178" s="98">
        <f t="shared" si="441"/>
        <v>0.54531541339463352</v>
      </c>
      <c r="T178" s="111">
        <f t="shared" si="442"/>
        <v>0.90227024472132522</v>
      </c>
      <c r="U178" s="98">
        <f t="shared" si="443"/>
        <v>0.56257245298606107</v>
      </c>
      <c r="AE178" s="38">
        <v>11</v>
      </c>
      <c r="AF178" s="93">
        <f t="shared" ref="AF178:AP178" si="458">AF38</f>
        <v>63954.97167446003</v>
      </c>
      <c r="AG178" s="37">
        <f t="shared" si="458"/>
        <v>0.684742737413919</v>
      </c>
      <c r="AH178" s="38">
        <f t="shared" si="458"/>
        <v>55319.957029999998</v>
      </c>
      <c r="AI178" s="37">
        <f t="shared" si="458"/>
        <v>0.59229076049250529</v>
      </c>
      <c r="AJ178" s="37">
        <f t="shared" si="458"/>
        <v>5.9801192905545419E-2</v>
      </c>
      <c r="AK178" s="38">
        <f t="shared" si="458"/>
        <v>49421.36</v>
      </c>
      <c r="AL178" s="37">
        <f t="shared" si="458"/>
        <v>0.89337307281708134</v>
      </c>
      <c r="AM178" s="7">
        <f t="shared" si="458"/>
        <v>1149.1093847076802</v>
      </c>
      <c r="AN178" s="38">
        <f t="shared" si="458"/>
        <v>45331.666599999997</v>
      </c>
      <c r="AO178" s="37">
        <f t="shared" si="458"/>
        <v>0.91724846503617052</v>
      </c>
      <c r="AP178" s="50">
        <f t="shared" si="458"/>
        <v>3130.3127089450641</v>
      </c>
      <c r="AQ178" s="98">
        <f t="shared" si="445"/>
        <v>0.48534974946466808</v>
      </c>
      <c r="AR178" s="110">
        <f>INDEX(Daggett!$B$7:$M$21, MATCH(AE178,Daggett!$A$7:$A$21,0), MATCH(AC$149,Daggett!$B$6:$M$6,0))</f>
        <v>837.90322580645159</v>
      </c>
      <c r="AS178" s="4">
        <f t="shared" si="437"/>
        <v>0.85016269043439363</v>
      </c>
      <c r="AT178" s="98">
        <f t="shared" si="446"/>
        <v>0.41262624880654114</v>
      </c>
      <c r="AU178" s="111">
        <f t="shared" si="447"/>
        <v>0.87445083496881848</v>
      </c>
      <c r="AV178" s="98">
        <f t="shared" si="448"/>
        <v>0.42441449367128586</v>
      </c>
      <c r="AW178" s="38"/>
      <c r="AX178" s="37"/>
      <c r="AY178" s="38"/>
      <c r="AZ178" s="37"/>
      <c r="BA178" s="37"/>
      <c r="BB178" s="38"/>
      <c r="BC178" s="37"/>
      <c r="BF178" s="38">
        <v>11</v>
      </c>
      <c r="BG178" s="93">
        <f t="shared" ref="BG178:BQ178" si="459">BG38</f>
        <v>73487.735306779185</v>
      </c>
      <c r="BH178" s="37">
        <f t="shared" si="459"/>
        <v>0.78680658786701485</v>
      </c>
      <c r="BI178" s="38">
        <f t="shared" si="459"/>
        <v>60364.639000000003</v>
      </c>
      <c r="BJ178" s="37">
        <f t="shared" si="459"/>
        <v>0.64630234475374737</v>
      </c>
      <c r="BK178" s="37">
        <f t="shared" si="459"/>
        <v>0.10714709373517117</v>
      </c>
      <c r="BL178" s="38">
        <f t="shared" si="459"/>
        <v>55935.622300000003</v>
      </c>
      <c r="BM178" s="37">
        <f t="shared" si="459"/>
        <v>0.92662895408021906</v>
      </c>
      <c r="BN178" s="7">
        <f t="shared" si="459"/>
        <v>1300.5742562405042</v>
      </c>
      <c r="BO178" s="38">
        <f t="shared" si="459"/>
        <v>50969.504000000001</v>
      </c>
      <c r="BP178" s="37">
        <f t="shared" si="459"/>
        <v>0.91121725126494213</v>
      </c>
      <c r="BQ178" s="50">
        <f t="shared" si="459"/>
        <v>3519.6254209596236</v>
      </c>
      <c r="BR178" s="98">
        <f t="shared" si="450"/>
        <v>0.54571203426124193</v>
      </c>
      <c r="BS178" s="110">
        <f>INDEX(Daggett!$B$7:$M$21, MATCH(BF178,Daggett!$A$7:$A$21,0), MATCH(BD$149,Daggett!$B$6:$M$6,0))</f>
        <v>837.90322580645159</v>
      </c>
      <c r="BT178" s="4">
        <f t="shared" si="439"/>
        <v>0.86673649087365934</v>
      </c>
      <c r="BU178" s="98">
        <f t="shared" si="451"/>
        <v>0.47298853360311499</v>
      </c>
      <c r="BV178" s="111">
        <f t="shared" si="452"/>
        <v>0.88833807582075164</v>
      </c>
      <c r="BW178" s="98">
        <f t="shared" si="453"/>
        <v>0.48477677846785977</v>
      </c>
      <c r="BX178" s="38"/>
      <c r="BY178" s="37"/>
      <c r="BZ178" s="37"/>
      <c r="CA178" s="38"/>
      <c r="CB178" s="37"/>
      <c r="CC178" s="7"/>
      <c r="CD178" s="41"/>
      <c r="CE178" s="37"/>
    </row>
    <row r="179" spans="2:83">
      <c r="D179" s="38">
        <v>12</v>
      </c>
      <c r="E179" s="93">
        <f t="shared" si="433"/>
        <v>91464.231497869026</v>
      </c>
      <c r="F179" s="37">
        <f t="shared" ref="F179:O179" si="460">F39</f>
        <v>0.97927442717204527</v>
      </c>
      <c r="G179" s="38">
        <f t="shared" si="460"/>
        <v>69256.180999999997</v>
      </c>
      <c r="H179" s="37">
        <f t="shared" si="460"/>
        <v>0.74150086723768738</v>
      </c>
      <c r="I179" s="37">
        <f t="shared" si="460"/>
        <v>0.17696288072513333</v>
      </c>
      <c r="J179" s="38">
        <f t="shared" si="460"/>
        <v>66047.149999999994</v>
      </c>
      <c r="K179" s="37">
        <f t="shared" si="460"/>
        <v>0.95366433791664018</v>
      </c>
      <c r="L179" s="7">
        <f t="shared" si="460"/>
        <v>1535.6801168198499</v>
      </c>
      <c r="M179" s="38">
        <f t="shared" si="460"/>
        <v>60105.883999999998</v>
      </c>
      <c r="N179" s="37">
        <f t="shared" si="460"/>
        <v>0.91004508143046303</v>
      </c>
      <c r="O179" s="50">
        <f t="shared" si="460"/>
        <v>4150.5249349817159</v>
      </c>
      <c r="P179" s="98">
        <f>M179/$C$10</f>
        <v>0.64353194860813701</v>
      </c>
      <c r="Q179" s="110">
        <f>INDEX(Daggett!$B$7:$M$21, MATCH(D179,Daggett!$A$7:$A$21,0), MATCH(B$176,Daggett!$B$6:$M$6,0))</f>
        <v>775</v>
      </c>
      <c r="R179" s="4">
        <f t="shared" si="435"/>
        <v>0.87782092765146091</v>
      </c>
      <c r="S179" s="98">
        <f t="shared" si="441"/>
        <v>0.56490581210054713</v>
      </c>
      <c r="T179" s="111">
        <f t="shared" si="442"/>
        <v>0.9053112189298822</v>
      </c>
      <c r="U179" s="98">
        <f t="shared" si="443"/>
        <v>0.58259669281475479</v>
      </c>
      <c r="AE179" s="38">
        <v>12</v>
      </c>
      <c r="AF179" s="93">
        <f t="shared" ref="AF179:AP179" si="461">AF39</f>
        <v>69240.441242608693</v>
      </c>
      <c r="AG179" s="37">
        <f t="shared" si="461"/>
        <v>0.74133234735127085</v>
      </c>
      <c r="AH179" s="38">
        <f t="shared" si="461"/>
        <v>59708.589</v>
      </c>
      <c r="AI179" s="37">
        <f t="shared" si="461"/>
        <v>0.63927825481798717</v>
      </c>
      <c r="AJ179" s="37">
        <f t="shared" si="461"/>
        <v>6.2677258367134669E-2</v>
      </c>
      <c r="AK179" s="38">
        <f t="shared" si="461"/>
        <v>54602.991600000001</v>
      </c>
      <c r="AL179" s="37">
        <f t="shared" si="461"/>
        <v>0.91449140759296788</v>
      </c>
      <c r="AM179" s="7">
        <f t="shared" si="461"/>
        <v>1269.5889000358272</v>
      </c>
      <c r="AN179" s="38">
        <f t="shared" si="461"/>
        <v>50013.223100000003</v>
      </c>
      <c r="AO179" s="37">
        <f t="shared" si="461"/>
        <v>0.91594291145029505</v>
      </c>
      <c r="AP179" s="50">
        <f t="shared" si="461"/>
        <v>3453.5908257393494</v>
      </c>
      <c r="AQ179" s="98">
        <f t="shared" si="445"/>
        <v>0.53547348072805145</v>
      </c>
      <c r="AR179" s="110">
        <f>INDEX(Daggett!$B$7:$M$21, MATCH(AE179,Daggett!$A$7:$A$21,0), MATCH(AC$149,Daggett!$B$6:$M$6,0))</f>
        <v>845.41935483870964</v>
      </c>
      <c r="AS179" s="4">
        <f t="shared" si="437"/>
        <v>0.86539583912014983</v>
      </c>
      <c r="AT179" s="98">
        <f t="shared" si="446"/>
        <v>0.46339652218123945</v>
      </c>
      <c r="AU179" s="111">
        <f t="shared" si="447"/>
        <v>0.8862030371503512</v>
      </c>
      <c r="AV179" s="98">
        <f t="shared" si="448"/>
        <v>0.47453822493466924</v>
      </c>
      <c r="AW179" s="38"/>
      <c r="AX179" s="37"/>
      <c r="AY179" s="38"/>
      <c r="AZ179" s="37"/>
      <c r="BA179" s="37"/>
      <c r="BB179" s="38"/>
      <c r="BC179" s="37"/>
      <c r="BF179" s="38">
        <v>12</v>
      </c>
      <c r="BG179" s="93">
        <f t="shared" ref="BG179:BQ179" si="462">BG39</f>
        <v>69240.441242608693</v>
      </c>
      <c r="BH179" s="37">
        <f t="shared" si="462"/>
        <v>0.74133234735127085</v>
      </c>
      <c r="BI179" s="38">
        <f t="shared" si="462"/>
        <v>59708.589</v>
      </c>
      <c r="BJ179" s="37">
        <f t="shared" si="462"/>
        <v>0.63927825481798717</v>
      </c>
      <c r="BK179" s="37">
        <f t="shared" si="462"/>
        <v>6.2677258367134669E-2</v>
      </c>
      <c r="BL179" s="38">
        <f t="shared" si="462"/>
        <v>54602.991600000001</v>
      </c>
      <c r="BM179" s="37">
        <f t="shared" si="462"/>
        <v>0.91449140759296788</v>
      </c>
      <c r="BN179" s="7">
        <f t="shared" si="462"/>
        <v>1269.5889000358272</v>
      </c>
      <c r="BO179" s="38">
        <f t="shared" si="462"/>
        <v>50013.223100000003</v>
      </c>
      <c r="BP179" s="37">
        <f t="shared" si="462"/>
        <v>0.91594291145029505</v>
      </c>
      <c r="BQ179" s="50">
        <f t="shared" si="462"/>
        <v>3453.5908257393494</v>
      </c>
      <c r="BR179" s="98">
        <f t="shared" si="450"/>
        <v>0.53547348072805145</v>
      </c>
      <c r="BS179" s="110">
        <f>INDEX(Daggett!$B$7:$M$21, MATCH(BF179,Daggett!$A$7:$A$21,0), MATCH(BD$149,Daggett!$B$6:$M$6,0))</f>
        <v>845.41935483870964</v>
      </c>
      <c r="BT179" s="4">
        <f t="shared" si="439"/>
        <v>0.86539583912014983</v>
      </c>
      <c r="BU179" s="98">
        <f t="shared" si="451"/>
        <v>0.46339652218123945</v>
      </c>
      <c r="BV179" s="111">
        <f t="shared" si="452"/>
        <v>0.8862030371503512</v>
      </c>
      <c r="BW179" s="98">
        <f t="shared" si="453"/>
        <v>0.47453822493466924</v>
      </c>
      <c r="BX179" s="38"/>
      <c r="BY179" s="37"/>
      <c r="BZ179" s="37"/>
      <c r="CA179" s="38"/>
      <c r="CB179" s="37"/>
      <c r="CC179" s="7"/>
      <c r="CD179" s="41"/>
      <c r="CE179" s="37"/>
    </row>
    <row r="180" spans="2:83">
      <c r="D180" s="38">
        <v>13</v>
      </c>
      <c r="E180" s="93">
        <f t="shared" si="433"/>
        <v>90785.181197422135</v>
      </c>
      <c r="F180" s="37">
        <f t="shared" ref="F180:O180" si="463">F40</f>
        <v>0.97200408134284944</v>
      </c>
      <c r="G180" s="38">
        <f t="shared" si="463"/>
        <v>67092.62</v>
      </c>
      <c r="H180" s="37">
        <f t="shared" si="463"/>
        <v>0.71833640256959308</v>
      </c>
      <c r="I180" s="37">
        <f t="shared" si="463"/>
        <v>0.19671074169056157</v>
      </c>
      <c r="J180" s="38">
        <f t="shared" si="463"/>
        <v>63976.33</v>
      </c>
      <c r="K180" s="37">
        <f t="shared" si="463"/>
        <v>0.95355241753862063</v>
      </c>
      <c r="L180" s="7">
        <f t="shared" si="463"/>
        <v>1487.5309218960285</v>
      </c>
      <c r="M180" s="38">
        <f t="shared" si="463"/>
        <v>58235.62</v>
      </c>
      <c r="N180" s="37">
        <f t="shared" si="463"/>
        <v>0.91026821951181014</v>
      </c>
      <c r="O180" s="50">
        <f t="shared" si="463"/>
        <v>4021.3765579775836</v>
      </c>
      <c r="P180" s="98">
        <f>P178</f>
        <v>0.62350770877944328</v>
      </c>
      <c r="Q180" s="110">
        <f>INDEX(Daggett!$B$7:$M$21, MATCH(D180,Daggett!$A$7:$A$21,0), MATCH(B$176,Daggett!$B$6:$M$6,0))</f>
        <v>731.5333333333333</v>
      </c>
      <c r="R180" s="4">
        <f t="shared" si="435"/>
        <v>0.86640423501502584</v>
      </c>
      <c r="S180" s="98">
        <f t="shared" si="441"/>
        <v>0.54020971945102503</v>
      </c>
      <c r="T180" s="111">
        <f t="shared" si="442"/>
        <v>0.90227024472132522</v>
      </c>
      <c r="U180" s="98">
        <f t="shared" si="443"/>
        <v>0.56257245298606107</v>
      </c>
      <c r="AE180" s="38">
        <v>13</v>
      </c>
      <c r="AF180" s="93">
        <f t="shared" ref="AF180:AP180" si="464">AF40</f>
        <v>73487.735306779185</v>
      </c>
      <c r="AG180" s="37">
        <f t="shared" si="464"/>
        <v>0.78680658786701485</v>
      </c>
      <c r="AH180" s="38">
        <f t="shared" si="464"/>
        <v>60364.639000000003</v>
      </c>
      <c r="AI180" s="37">
        <f t="shared" si="464"/>
        <v>0.64630234475374737</v>
      </c>
      <c r="AJ180" s="37">
        <f t="shared" si="464"/>
        <v>0.10714709373517117</v>
      </c>
      <c r="AK180" s="38">
        <f t="shared" si="464"/>
        <v>55935.622300000003</v>
      </c>
      <c r="AL180" s="37">
        <f t="shared" si="464"/>
        <v>0.92662895408021906</v>
      </c>
      <c r="AM180" s="7">
        <f t="shared" si="464"/>
        <v>1300.5742562405042</v>
      </c>
      <c r="AN180" s="38">
        <f t="shared" si="464"/>
        <v>50969.504000000001</v>
      </c>
      <c r="AO180" s="37">
        <f t="shared" si="464"/>
        <v>0.91121725126494213</v>
      </c>
      <c r="AP180" s="50">
        <f t="shared" si="464"/>
        <v>3519.6254209596236</v>
      </c>
      <c r="AQ180" s="98">
        <f t="shared" si="445"/>
        <v>0.54571203426124193</v>
      </c>
      <c r="AR180" s="110">
        <f>INDEX(Daggett!$B$7:$M$21, MATCH(AE180,Daggett!$A$7:$A$21,0), MATCH(AC$149,Daggett!$B$6:$M$6,0))</f>
        <v>810.29032258064512</v>
      </c>
      <c r="AS180" s="4">
        <f t="shared" si="437"/>
        <v>0.86219516503217886</v>
      </c>
      <c r="AT180" s="98">
        <f t="shared" si="446"/>
        <v>0.47051027743991752</v>
      </c>
      <c r="AU180" s="111">
        <f t="shared" si="447"/>
        <v>0.88833807582075164</v>
      </c>
      <c r="AV180" s="98">
        <f t="shared" si="448"/>
        <v>0.48477677846785977</v>
      </c>
      <c r="AW180" s="38"/>
      <c r="AX180" s="37"/>
      <c r="AY180" s="38"/>
      <c r="AZ180" s="37"/>
      <c r="BA180" s="37"/>
      <c r="BB180" s="38"/>
      <c r="BC180" s="37"/>
      <c r="BF180" s="38">
        <v>13</v>
      </c>
      <c r="BG180" s="93">
        <f t="shared" ref="BG180:BQ180" si="465">BG40</f>
        <v>63954.97167446003</v>
      </c>
      <c r="BH180" s="37">
        <f t="shared" si="465"/>
        <v>0.684742737413919</v>
      </c>
      <c r="BI180" s="38">
        <f t="shared" si="465"/>
        <v>55319.957029999998</v>
      </c>
      <c r="BJ180" s="37">
        <f t="shared" si="465"/>
        <v>0.59229076049250529</v>
      </c>
      <c r="BK180" s="37">
        <f t="shared" si="465"/>
        <v>5.9801192905545419E-2</v>
      </c>
      <c r="BL180" s="38">
        <f t="shared" si="465"/>
        <v>49421.36</v>
      </c>
      <c r="BM180" s="37">
        <f t="shared" si="465"/>
        <v>0.89337307281708134</v>
      </c>
      <c r="BN180" s="7">
        <f t="shared" si="465"/>
        <v>1149.1093847076802</v>
      </c>
      <c r="BO180" s="38">
        <f t="shared" si="465"/>
        <v>45331.666599999997</v>
      </c>
      <c r="BP180" s="37">
        <f t="shared" si="465"/>
        <v>0.91724846503617052</v>
      </c>
      <c r="BQ180" s="50">
        <f t="shared" si="465"/>
        <v>3130.3127089450641</v>
      </c>
      <c r="BR180" s="98">
        <f t="shared" si="450"/>
        <v>0.48534974946466808</v>
      </c>
      <c r="BS180" s="110">
        <f>INDEX(Daggett!$B$7:$M$21, MATCH(BF180,Daggett!$A$7:$A$21,0), MATCH(BD$149,Daggett!$B$6:$M$6,0))</f>
        <v>810.29032258064512</v>
      </c>
      <c r="BT180" s="4">
        <f t="shared" si="439"/>
        <v>0.84505656610666724</v>
      </c>
      <c r="BU180" s="98">
        <f t="shared" si="451"/>
        <v>0.41014799264334367</v>
      </c>
      <c r="BV180" s="111">
        <f t="shared" si="452"/>
        <v>0.87445083496881848</v>
      </c>
      <c r="BW180" s="98">
        <f t="shared" si="453"/>
        <v>0.42441449367128586</v>
      </c>
      <c r="BX180" s="38"/>
      <c r="BY180" s="37"/>
      <c r="BZ180" s="37"/>
      <c r="CA180" s="38"/>
      <c r="CB180" s="37"/>
      <c r="CC180" s="7"/>
      <c r="CD180" s="41"/>
      <c r="CE180" s="37"/>
    </row>
    <row r="181" spans="2:83">
      <c r="D181" s="38">
        <v>14</v>
      </c>
      <c r="E181" s="93">
        <f t="shared" si="433"/>
        <v>88764.467893855472</v>
      </c>
      <c r="F181" s="37">
        <f t="shared" ref="F181:O181" si="466">F41</f>
        <v>0.95036903526611849</v>
      </c>
      <c r="G181" s="38">
        <f t="shared" si="466"/>
        <v>61459.4</v>
      </c>
      <c r="H181" s="37">
        <f t="shared" si="466"/>
        <v>0.65802355460385442</v>
      </c>
      <c r="I181" s="37">
        <f t="shared" si="466"/>
        <v>0.24740498943724021</v>
      </c>
      <c r="J181" s="38">
        <f t="shared" si="466"/>
        <v>58430.77</v>
      </c>
      <c r="K181" s="37">
        <f t="shared" si="466"/>
        <v>0.95072145188530954</v>
      </c>
      <c r="L181" s="7">
        <f t="shared" si="466"/>
        <v>1358.5896090819026</v>
      </c>
      <c r="M181" s="38">
        <f t="shared" si="466"/>
        <v>52978.07</v>
      </c>
      <c r="N181" s="37">
        <f t="shared" si="466"/>
        <v>0.9066810175529092</v>
      </c>
      <c r="O181" s="50">
        <f t="shared" si="466"/>
        <v>3658.3240426545722</v>
      </c>
      <c r="P181" s="98">
        <f>P177</f>
        <v>0.56721702355460391</v>
      </c>
      <c r="Q181" s="110">
        <f>INDEX(Daggett!$B$7:$M$21, MATCH(D181,Daggett!$A$7:$A$21,0), MATCH(B$176,Daggett!$B$6:$M$6,0))</f>
        <v>668</v>
      </c>
      <c r="R181" s="4">
        <f t="shared" si="435"/>
        <v>0.83917894030611206</v>
      </c>
      <c r="S181" s="98">
        <f t="shared" si="441"/>
        <v>0.47599658075013951</v>
      </c>
      <c r="T181" s="111">
        <f t="shared" si="442"/>
        <v>0.89257153212448292</v>
      </c>
      <c r="U181" s="98">
        <f t="shared" si="443"/>
        <v>0.50628176776122169</v>
      </c>
      <c r="AE181" s="38">
        <v>14</v>
      </c>
      <c r="AF181" s="93">
        <f t="shared" ref="AF181:AP181" si="467">AF41</f>
        <v>76601.422338151606</v>
      </c>
      <c r="AG181" s="37">
        <f t="shared" si="467"/>
        <v>0.8201437081172549</v>
      </c>
      <c r="AH181" s="38">
        <f t="shared" si="467"/>
        <v>57441.539299999997</v>
      </c>
      <c r="AI181" s="37">
        <f t="shared" si="467"/>
        <v>0.61500577408993573</v>
      </c>
      <c r="AJ181" s="37">
        <f t="shared" si="467"/>
        <v>0.18491780106577915</v>
      </c>
      <c r="AK181" s="38">
        <f t="shared" si="467"/>
        <v>53569.105000000003</v>
      </c>
      <c r="AL181" s="37">
        <f t="shared" si="467"/>
        <v>0.93258477493481806</v>
      </c>
      <c r="AM181" s="7">
        <f t="shared" si="467"/>
        <v>1245.5497235586217</v>
      </c>
      <c r="AN181" s="38">
        <f t="shared" si="467"/>
        <v>48868.175289999999</v>
      </c>
      <c r="AO181" s="37">
        <f t="shared" si="467"/>
        <v>0.9122455058750748</v>
      </c>
      <c r="AP181" s="50">
        <f t="shared" si="467"/>
        <v>3374.5212044165646</v>
      </c>
      <c r="AQ181" s="98">
        <f t="shared" si="445"/>
        <v>0.52321386820128479</v>
      </c>
      <c r="AR181" s="110">
        <f>INDEX(Daggett!$B$7:$M$21, MATCH(AE181,Daggett!$A$7:$A$21,0), MATCH(AC$149,Daggett!$B$6:$M$6,0))</f>
        <v>771.32258064516134</v>
      </c>
      <c r="AS181" s="4">
        <f t="shared" si="437"/>
        <v>0.84900820567073187</v>
      </c>
      <c r="AT181" s="98">
        <f t="shared" si="446"/>
        <v>0.4442128674236156</v>
      </c>
      <c r="AU181" s="111">
        <f t="shared" si="447"/>
        <v>0.88353661954170548</v>
      </c>
      <c r="AV181" s="98">
        <f t="shared" si="448"/>
        <v>0.46227861240790258</v>
      </c>
      <c r="AW181" s="38"/>
      <c r="AX181" s="37"/>
      <c r="AY181" s="38"/>
      <c r="AZ181" s="37"/>
      <c r="BA181" s="37"/>
      <c r="BB181" s="38"/>
      <c r="BC181" s="37"/>
      <c r="BF181" s="38">
        <v>14</v>
      </c>
      <c r="BG181" s="93">
        <f t="shared" ref="BG181:BQ181" si="468">BG41</f>
        <v>57761.22769655264</v>
      </c>
      <c r="BH181" s="37">
        <f t="shared" si="468"/>
        <v>0.61842856206159147</v>
      </c>
      <c r="BI181" s="38">
        <f t="shared" si="468"/>
        <v>49601.909</v>
      </c>
      <c r="BJ181" s="37">
        <f t="shared" si="468"/>
        <v>0.53106968950749467</v>
      </c>
      <c r="BK181" s="37">
        <f t="shared" si="468"/>
        <v>6.6586348172812837E-2</v>
      </c>
      <c r="BL181" s="38">
        <f t="shared" si="468"/>
        <v>43066.349600000001</v>
      </c>
      <c r="BM181" s="37">
        <f t="shared" si="468"/>
        <v>0.86823976069146858</v>
      </c>
      <c r="BN181" s="7">
        <f t="shared" si="468"/>
        <v>1001.3473220984176</v>
      </c>
      <c r="BO181" s="38">
        <f t="shared" si="468"/>
        <v>39970.557800000002</v>
      </c>
      <c r="BP181" s="37">
        <f t="shared" si="468"/>
        <v>0.92811576024544229</v>
      </c>
      <c r="BQ181" s="50">
        <f t="shared" si="468"/>
        <v>2760.1090903850263</v>
      </c>
      <c r="BR181" s="98">
        <f t="shared" si="450"/>
        <v>0.42795029764453962</v>
      </c>
      <c r="BS181" s="110">
        <f>INDEX(Daggett!$B$7:$M$21, MATCH(BF181,Daggett!$A$7:$A$21,0), MATCH(BD$149,Daggett!$B$6:$M$6,0))</f>
        <v>771.32258064516134</v>
      </c>
      <c r="BT181" s="4">
        <f t="shared" si="439"/>
        <v>0.81539678506477331</v>
      </c>
      <c r="BU181" s="98">
        <f t="shared" si="451"/>
        <v>0.34894929686687043</v>
      </c>
      <c r="BV181" s="111">
        <f t="shared" si="452"/>
        <v>0.85761137186076752</v>
      </c>
      <c r="BW181" s="98">
        <f t="shared" si="453"/>
        <v>0.36701504185115741</v>
      </c>
      <c r="BX181" s="38"/>
      <c r="BY181" s="37"/>
      <c r="BZ181" s="37"/>
      <c r="CA181" s="38"/>
      <c r="CB181" s="37"/>
      <c r="CC181" s="7"/>
      <c r="CD181" s="41"/>
      <c r="CE181" s="37"/>
    </row>
    <row r="182" spans="2:83">
      <c r="C182" s="7" t="s">
        <v>160</v>
      </c>
      <c r="D182" s="38">
        <v>15</v>
      </c>
      <c r="E182" s="93">
        <f t="shared" ref="E182:O182" si="469">E42</f>
        <v>85451.927365477401</v>
      </c>
      <c r="F182" s="37">
        <f t="shared" si="469"/>
        <v>0.91490286258541109</v>
      </c>
      <c r="G182" s="38">
        <f t="shared" si="469"/>
        <v>55161.35</v>
      </c>
      <c r="H182" s="37">
        <f t="shared" si="469"/>
        <v>0.59059261241970018</v>
      </c>
      <c r="I182" s="37">
        <f t="shared" si="469"/>
        <v>0.29834246015312438</v>
      </c>
      <c r="J182" s="38">
        <f t="shared" si="469"/>
        <v>52235.595000000001</v>
      </c>
      <c r="K182" s="37">
        <f t="shared" si="469"/>
        <v>0.94696005445842069</v>
      </c>
      <c r="L182" s="7">
        <f t="shared" si="469"/>
        <v>1214.5439225122414</v>
      </c>
      <c r="M182" s="38">
        <f t="shared" si="469"/>
        <v>47072.18</v>
      </c>
      <c r="N182" s="37">
        <f t="shared" si="469"/>
        <v>0.90115140834520979</v>
      </c>
      <c r="O182" s="50">
        <f t="shared" si="469"/>
        <v>3250.501345824106</v>
      </c>
      <c r="P182" s="98">
        <f>P176</f>
        <v>0.50398479657387585</v>
      </c>
      <c r="Q182" s="110">
        <f>INDEX(Daggett!$B$7:$M$21, MATCH(D182,Daggett!$A$7:$A$21,0), MATCH(B$176,Daggett!$B$6:$M$6,0))</f>
        <v>567.33333333333337</v>
      </c>
      <c r="R182" s="4">
        <f t="shared" si="435"/>
        <v>0.78688554783938103</v>
      </c>
      <c r="S182" s="98">
        <f t="shared" si="441"/>
        <v>0.39657835275475328</v>
      </c>
      <c r="T182" s="111">
        <f t="shared" si="442"/>
        <v>0.87909306747420879</v>
      </c>
      <c r="U182" s="98">
        <f t="shared" si="443"/>
        <v>0.44304954078049363</v>
      </c>
      <c r="AD182" s="7" t="s">
        <v>160</v>
      </c>
      <c r="AE182" s="38">
        <v>15</v>
      </c>
      <c r="AF182" s="93">
        <f t="shared" ref="AF182:AP182" si="470">AF42</f>
        <v>78514.253231149341</v>
      </c>
      <c r="AG182" s="37">
        <f t="shared" si="470"/>
        <v>0.84062369626498223</v>
      </c>
      <c r="AH182" s="38">
        <f t="shared" si="470"/>
        <v>54788.146000000001</v>
      </c>
      <c r="AI182" s="37">
        <f t="shared" si="470"/>
        <v>0.58659685224839397</v>
      </c>
      <c r="AJ182" s="37">
        <f t="shared" si="470"/>
        <v>0.24150927815143297</v>
      </c>
      <c r="AK182" s="38">
        <f t="shared" si="470"/>
        <v>51168.224600000001</v>
      </c>
      <c r="AL182" s="37">
        <f t="shared" si="470"/>
        <v>0.93392874801786507</v>
      </c>
      <c r="AM182" s="7">
        <f t="shared" si="470"/>
        <v>1189.7262051608939</v>
      </c>
      <c r="AN182" s="38">
        <f t="shared" si="470"/>
        <v>46469.755400000002</v>
      </c>
      <c r="AO182" s="37">
        <f t="shared" si="470"/>
        <v>0.90817603626606969</v>
      </c>
      <c r="AP182" s="50">
        <f t="shared" si="470"/>
        <v>3208.9017858917314</v>
      </c>
      <c r="AQ182" s="98">
        <f t="shared" si="445"/>
        <v>0.49753485438972167</v>
      </c>
      <c r="AR182" s="110">
        <f>INDEX(Daggett!$B$7:$M$21, MATCH(AE182,Daggett!$A$7:$A$21,0), MATCH(AC$149,Daggett!$B$6:$M$6,0))</f>
        <v>722.09677419354841</v>
      </c>
      <c r="AS182" s="4">
        <f t="shared" si="437"/>
        <v>0.83039067593774918</v>
      </c>
      <c r="AT182" s="98">
        <f t="shared" si="446"/>
        <v>0.41314830403927061</v>
      </c>
      <c r="AU182" s="111">
        <f t="shared" si="447"/>
        <v>0.87752565422150042</v>
      </c>
      <c r="AV182" s="98">
        <f t="shared" si="448"/>
        <v>0.43659959859633946</v>
      </c>
      <c r="AW182" s="38"/>
      <c r="AX182" s="37"/>
      <c r="AY182" s="38"/>
      <c r="AZ182" s="37"/>
      <c r="BA182" s="37"/>
      <c r="BB182" s="38"/>
      <c r="BC182" s="37"/>
      <c r="BE182" s="7" t="s">
        <v>160</v>
      </c>
      <c r="BF182" s="38">
        <v>15</v>
      </c>
      <c r="BG182" s="93">
        <f t="shared" ref="BG182:BQ182" si="471">BG42</f>
        <v>50831.090954300103</v>
      </c>
      <c r="BH182" s="37">
        <f t="shared" si="471"/>
        <v>0.54423009587045079</v>
      </c>
      <c r="BI182" s="38">
        <f t="shared" si="471"/>
        <v>41301.031999999999</v>
      </c>
      <c r="BJ182" s="37">
        <f t="shared" si="471"/>
        <v>0.44219520342612417</v>
      </c>
      <c r="BK182" s="37">
        <f t="shared" si="471"/>
        <v>0.11683134781983662</v>
      </c>
      <c r="BL182" s="38">
        <f t="shared" si="471"/>
        <v>34425.138800000001</v>
      </c>
      <c r="BM182" s="37">
        <f t="shared" si="471"/>
        <v>0.83351764188362176</v>
      </c>
      <c r="BN182" s="7">
        <f t="shared" si="471"/>
        <v>800.4281967340537</v>
      </c>
      <c r="BO182" s="38">
        <f t="shared" si="471"/>
        <v>32088.723000000002</v>
      </c>
      <c r="BP182" s="37">
        <f t="shared" si="471"/>
        <v>0.93213053363200971</v>
      </c>
      <c r="BQ182" s="50">
        <f t="shared" si="471"/>
        <v>2215.8403816708078</v>
      </c>
      <c r="BR182" s="98">
        <f t="shared" si="450"/>
        <v>0.34356234475374736</v>
      </c>
      <c r="BS182" s="110">
        <f>INDEX(Daggett!$B$7:$M$21, MATCH(BF182,Daggett!$A$7:$A$21,0), MATCH(BD$149,Daggett!$B$6:$M$6,0))</f>
        <v>722.09677419354841</v>
      </c>
      <c r="BT182" s="4">
        <f t="shared" si="439"/>
        <v>0.75437776683316038</v>
      </c>
      <c r="BU182" s="98">
        <f t="shared" si="451"/>
        <v>0.2591757944032963</v>
      </c>
      <c r="BV182" s="111">
        <f t="shared" si="452"/>
        <v>0.82263697776000944</v>
      </c>
      <c r="BW182" s="98">
        <f t="shared" si="453"/>
        <v>0.28262708896036515</v>
      </c>
      <c r="BX182" s="38"/>
      <c r="BY182" s="37"/>
      <c r="BZ182" s="37"/>
      <c r="CA182" s="38"/>
      <c r="CB182" s="37"/>
      <c r="CC182" s="7"/>
      <c r="CD182" s="41"/>
      <c r="CE182" s="37"/>
    </row>
    <row r="183" spans="2:83">
      <c r="C183" s="7">
        <f>ROW(D183)-ROW(D175)+1</f>
        <v>9</v>
      </c>
      <c r="D183" s="38">
        <v>16</v>
      </c>
      <c r="E183" s="93">
        <f t="shared" ref="E183:O183" si="472">E43</f>
        <v>80932.612635890691</v>
      </c>
      <c r="F183" s="37">
        <f t="shared" si="472"/>
        <v>0.86651619524508239</v>
      </c>
      <c r="G183" s="38">
        <f t="shared" si="472"/>
        <v>38302.42</v>
      </c>
      <c r="H183" s="37">
        <f t="shared" si="472"/>
        <v>0.41009014989293358</v>
      </c>
      <c r="I183" s="37">
        <f t="shared" si="472"/>
        <v>0.48558357550255904</v>
      </c>
      <c r="J183" s="38">
        <f t="shared" si="472"/>
        <v>35804.18</v>
      </c>
      <c r="K183" s="37">
        <f t="shared" si="472"/>
        <v>0.93477592277459232</v>
      </c>
      <c r="L183" s="7">
        <f t="shared" si="472"/>
        <v>832.49265600467152</v>
      </c>
      <c r="M183" s="38">
        <f t="shared" si="472"/>
        <v>32186.79</v>
      </c>
      <c r="N183" s="37">
        <f t="shared" si="472"/>
        <v>0.89896738313794644</v>
      </c>
      <c r="O183" s="50">
        <f t="shared" si="472"/>
        <v>2222.6122565973765</v>
      </c>
      <c r="P183" s="98">
        <f>P175</f>
        <v>0.34461231263383296</v>
      </c>
      <c r="Q183" s="110">
        <f>INDEX(Daggett!$B$7:$M$21, MATCH(D183,Daggett!$A$7:$A$21,0), MATCH(B$176,Daggett!$B$6:$M$6,0))</f>
        <v>461.36666666666667</v>
      </c>
      <c r="R183" s="4">
        <f t="shared" si="435"/>
        <v>0.61674164223198513</v>
      </c>
      <c r="S183" s="98">
        <f t="shared" si="441"/>
        <v>0.21253676362715243</v>
      </c>
      <c r="T183" s="111">
        <f t="shared" si="442"/>
        <v>0.82317736900443017</v>
      </c>
      <c r="U183" s="98">
        <f t="shared" si="443"/>
        <v>0.28367705684045075</v>
      </c>
      <c r="AD183" s="7">
        <f>ROW(AE183)-ROW(AE175)+1</f>
        <v>9</v>
      </c>
      <c r="AE183" s="38">
        <v>16</v>
      </c>
      <c r="AF183" s="93">
        <f t="shared" ref="AF183:AP183" si="473">AF43</f>
        <v>79186.422459859823</v>
      </c>
      <c r="AG183" s="37">
        <f t="shared" si="473"/>
        <v>0.84782036894924862</v>
      </c>
      <c r="AH183" s="38">
        <f t="shared" si="473"/>
        <v>38510.341999999997</v>
      </c>
      <c r="AI183" s="37">
        <f t="shared" si="473"/>
        <v>0.41231629550321197</v>
      </c>
      <c r="AJ183" s="37">
        <f t="shared" si="473"/>
        <v>0.4713857995981191</v>
      </c>
      <c r="AK183" s="38">
        <f t="shared" si="473"/>
        <v>36053.648000000001</v>
      </c>
      <c r="AL183" s="37">
        <f t="shared" si="473"/>
        <v>0.93620690255100836</v>
      </c>
      <c r="AM183" s="7">
        <f t="shared" si="473"/>
        <v>838.29310382691392</v>
      </c>
      <c r="AN183" s="38">
        <f t="shared" si="473"/>
        <v>32452.880000000001</v>
      </c>
      <c r="AO183" s="37">
        <f t="shared" si="473"/>
        <v>0.90012749888721388</v>
      </c>
      <c r="AP183" s="50">
        <f t="shared" si="473"/>
        <v>2240.9867169072736</v>
      </c>
      <c r="AQ183" s="98">
        <f t="shared" si="445"/>
        <v>0.34746124197002143</v>
      </c>
      <c r="AR183" s="110">
        <f>INDEX(Daggett!$B$7:$M$21, MATCH(AE183,Daggett!$A$7:$A$21,0), MATCH(AC$149,Daggett!$B$6:$M$6,0))</f>
        <v>586.74193548387098</v>
      </c>
      <c r="AS183" s="4">
        <f t="shared" si="437"/>
        <v>0.70110741453851766</v>
      </c>
      <c r="AT183" s="98">
        <f t="shared" si="446"/>
        <v>0.243607653009944</v>
      </c>
      <c r="AU183" s="111">
        <f t="shared" si="447"/>
        <v>0.82462718590455153</v>
      </c>
      <c r="AV183" s="98">
        <f t="shared" si="448"/>
        <v>0.28652598617663921</v>
      </c>
      <c r="AW183" s="38"/>
      <c r="AX183" s="37"/>
      <c r="AY183" s="38"/>
      <c r="AZ183" s="37"/>
      <c r="BA183" s="37"/>
      <c r="BB183" s="38"/>
      <c r="BC183" s="37"/>
      <c r="BE183" s="7">
        <f>ROW(BF183)-ROW(BF175)+1</f>
        <v>9</v>
      </c>
      <c r="BF183" s="38">
        <v>16</v>
      </c>
      <c r="BG183" s="93">
        <f t="shared" ref="BG183:BQ183" si="474">BG43</f>
        <v>43402.111223044536</v>
      </c>
      <c r="BH183" s="37">
        <f t="shared" si="474"/>
        <v>0.46469069831953463</v>
      </c>
      <c r="BI183" s="38">
        <f t="shared" si="474"/>
        <v>31349.227999999999</v>
      </c>
      <c r="BJ183" s="37">
        <f t="shared" si="474"/>
        <v>0.33564483940042827</v>
      </c>
      <c r="BK183" s="37">
        <f t="shared" si="474"/>
        <v>0.21489423288711917</v>
      </c>
      <c r="BL183" s="38">
        <f t="shared" si="474"/>
        <v>24839.2618</v>
      </c>
      <c r="BM183" s="37">
        <f t="shared" si="474"/>
        <v>0.7923404621000556</v>
      </c>
      <c r="BN183" s="7">
        <f t="shared" si="474"/>
        <v>577.54438250163469</v>
      </c>
      <c r="BO183" s="38">
        <f t="shared" si="474"/>
        <v>22778.749186000001</v>
      </c>
      <c r="BP183" s="37">
        <f t="shared" si="474"/>
        <v>0.91704614128266893</v>
      </c>
      <c r="BQ183" s="50">
        <f t="shared" si="474"/>
        <v>1572.9535977573753</v>
      </c>
      <c r="BR183" s="98">
        <f t="shared" si="450"/>
        <v>0.24388382426124197</v>
      </c>
      <c r="BS183" s="110">
        <f>INDEX(Daggett!$B$7:$M$21, MATCH(BF183,Daggett!$A$7:$A$21,0), MATCH(BD$149,Daggett!$B$6:$M$6,0))</f>
        <v>586.74193548387098</v>
      </c>
      <c r="BT183" s="4">
        <f t="shared" si="439"/>
        <v>0.57416778552384784</v>
      </c>
      <c r="BU183" s="98">
        <f t="shared" si="451"/>
        <v>0.14003023530116457</v>
      </c>
      <c r="BV183" s="111">
        <f t="shared" si="452"/>
        <v>0.75014638228687958</v>
      </c>
      <c r="BW183" s="98">
        <f t="shared" si="453"/>
        <v>0.18294856846785978</v>
      </c>
      <c r="BX183" s="38"/>
      <c r="BY183" s="37"/>
      <c r="BZ183" s="37"/>
      <c r="CA183" s="38"/>
      <c r="CB183" s="37"/>
      <c r="CC183" s="7"/>
      <c r="CD183" s="41"/>
      <c r="CE183" s="37"/>
    </row>
    <row r="184" spans="2:83">
      <c r="C184" s="7"/>
      <c r="D184" s="38"/>
      <c r="E184" s="93"/>
      <c r="F184" s="37"/>
      <c r="G184" s="38"/>
      <c r="H184" s="37"/>
      <c r="I184" s="37"/>
      <c r="J184" s="38"/>
      <c r="K184" s="37"/>
      <c r="L184" s="7"/>
      <c r="M184" s="38"/>
      <c r="N184" s="37"/>
      <c r="O184" s="50"/>
      <c r="P184" s="98"/>
      <c r="Q184" s="110"/>
      <c r="R184" s="4"/>
      <c r="S184" s="98"/>
      <c r="T184" s="111"/>
      <c r="U184" s="98"/>
      <c r="AD184" s="7"/>
      <c r="AE184" s="38"/>
      <c r="AF184" s="93"/>
      <c r="AG184" s="37"/>
      <c r="AH184" s="38"/>
      <c r="AI184" s="37"/>
      <c r="AJ184" s="37"/>
      <c r="AK184" s="38"/>
      <c r="AL184" s="37"/>
      <c r="AM184" s="7"/>
      <c r="AN184" s="38"/>
      <c r="AO184" s="37"/>
      <c r="AP184" s="50"/>
      <c r="AQ184" s="98"/>
      <c r="AR184" s="110"/>
      <c r="AS184" s="4"/>
      <c r="AT184" s="98"/>
      <c r="AU184" s="111"/>
      <c r="AV184" s="98"/>
      <c r="AW184" s="38"/>
      <c r="AX184" s="37"/>
      <c r="AY184" s="38"/>
      <c r="AZ184" s="37"/>
      <c r="BA184" s="37"/>
      <c r="BB184" s="38"/>
      <c r="BC184" s="37"/>
      <c r="BE184" s="7"/>
      <c r="BF184" s="38"/>
      <c r="BG184" s="93"/>
      <c r="BH184" s="37"/>
      <c r="BI184" s="38"/>
      <c r="BJ184" s="37"/>
      <c r="BK184" s="37"/>
      <c r="BL184" s="38"/>
      <c r="BM184" s="37"/>
      <c r="BN184" s="7"/>
      <c r="BO184" s="38"/>
      <c r="BP184" s="37"/>
      <c r="BQ184" s="50"/>
      <c r="BR184" s="98"/>
      <c r="BS184" s="110"/>
      <c r="BT184" s="4"/>
      <c r="BU184" s="98"/>
      <c r="BV184" s="111"/>
      <c r="BW184" s="98"/>
      <c r="BX184" s="38"/>
      <c r="BY184" s="37"/>
      <c r="BZ184" s="37"/>
      <c r="CA184" s="38"/>
      <c r="CB184" s="37"/>
      <c r="CC184" s="7"/>
      <c r="CD184" s="41"/>
      <c r="CE184" s="37"/>
    </row>
    <row r="185" spans="2:83">
      <c r="C185" s="7"/>
      <c r="D185" s="38"/>
      <c r="E185" s="93"/>
      <c r="F185" s="37"/>
      <c r="G185" s="38"/>
      <c r="H185" s="37"/>
      <c r="I185" s="37"/>
      <c r="J185" s="38"/>
      <c r="K185" s="37"/>
      <c r="L185" s="7"/>
      <c r="M185" s="38"/>
      <c r="N185" s="37"/>
      <c r="O185" s="50"/>
      <c r="P185" s="98"/>
      <c r="Q185" s="110"/>
      <c r="R185" s="4"/>
      <c r="S185" s="98"/>
      <c r="T185" s="111"/>
      <c r="U185" s="98"/>
      <c r="AD185" s="7"/>
      <c r="AE185" s="38"/>
      <c r="AF185" s="93"/>
      <c r="AG185" s="37"/>
      <c r="AH185" s="38"/>
      <c r="AI185" s="37"/>
      <c r="AJ185" s="37"/>
      <c r="AK185" s="38"/>
      <c r="AL185" s="37"/>
      <c r="AM185" s="7"/>
      <c r="AN185" s="38"/>
      <c r="AO185" s="37"/>
      <c r="AP185" s="50"/>
      <c r="AQ185" s="98"/>
      <c r="AR185" s="110"/>
      <c r="AS185" s="4"/>
      <c r="AT185" s="98"/>
      <c r="AU185" s="111"/>
      <c r="AV185" s="98"/>
      <c r="AW185" s="38"/>
      <c r="AX185" s="37"/>
      <c r="AY185" s="38"/>
      <c r="AZ185" s="37"/>
      <c r="BA185" s="37"/>
      <c r="BB185" s="38"/>
      <c r="BC185" s="37"/>
      <c r="BE185" s="7"/>
      <c r="BF185" s="38"/>
      <c r="BG185" s="93"/>
      <c r="BH185" s="37"/>
      <c r="BI185" s="38"/>
      <c r="BJ185" s="37"/>
      <c r="BK185" s="37"/>
      <c r="BL185" s="38"/>
      <c r="BM185" s="37"/>
      <c r="BN185" s="7"/>
      <c r="BO185" s="38"/>
      <c r="BP185" s="37"/>
      <c r="BQ185" s="50"/>
      <c r="BR185" s="98"/>
      <c r="BS185" s="110"/>
      <c r="BT185" s="4"/>
      <c r="BU185" s="98"/>
      <c r="BV185" s="111"/>
      <c r="BW185" s="98"/>
      <c r="BX185" s="38"/>
      <c r="BY185" s="37"/>
      <c r="BZ185" s="37"/>
      <c r="CA185" s="38"/>
      <c r="CB185" s="37"/>
      <c r="CC185" s="7"/>
      <c r="CD185" s="41"/>
      <c r="CE185" s="37"/>
    </row>
    <row r="186" spans="2:83">
      <c r="E186" s="94"/>
      <c r="P186" s="95"/>
      <c r="Q186" s="94"/>
      <c r="S186" s="95"/>
      <c r="T186" s="94"/>
      <c r="U186" s="95"/>
      <c r="AF186" s="94"/>
      <c r="AQ186" s="95"/>
      <c r="AR186" s="94"/>
      <c r="AT186" s="95"/>
      <c r="AU186" s="94"/>
      <c r="AV186" s="95"/>
      <c r="AW186" s="38"/>
      <c r="AX186" s="37"/>
      <c r="AY186" s="38"/>
      <c r="AZ186" s="37"/>
      <c r="BA186" s="37"/>
      <c r="BB186" s="38"/>
      <c r="BC186" s="37"/>
      <c r="BG186" s="94"/>
      <c r="BR186" s="95"/>
      <c r="BS186" s="94"/>
      <c r="BU186" s="95"/>
      <c r="BV186" s="94"/>
      <c r="BW186" s="95"/>
      <c r="BX186" s="38"/>
      <c r="BY186" s="37"/>
      <c r="BZ186" s="37"/>
      <c r="CA186" s="38"/>
      <c r="CB186" s="37"/>
      <c r="CC186" s="7"/>
      <c r="CD186" s="41"/>
      <c r="CE186" s="37"/>
    </row>
    <row r="187" spans="2:83" ht="49.5">
      <c r="B187" s="34"/>
      <c r="C187" s="64" t="s">
        <v>149</v>
      </c>
      <c r="D187" s="64" t="s">
        <v>87</v>
      </c>
      <c r="E187" s="96" t="s">
        <v>150</v>
      </c>
      <c r="F187" s="64" t="s">
        <v>123</v>
      </c>
      <c r="G187" s="64" t="s">
        <v>151</v>
      </c>
      <c r="H187" s="33" t="s">
        <v>152</v>
      </c>
      <c r="I187" s="34" t="s">
        <v>153</v>
      </c>
      <c r="J187" s="92" t="s">
        <v>154</v>
      </c>
      <c r="K187" s="35" t="s">
        <v>155</v>
      </c>
      <c r="L187" s="35" t="s">
        <v>156</v>
      </c>
      <c r="M187" s="92" t="s">
        <v>157</v>
      </c>
      <c r="N187" s="35" t="s">
        <v>70</v>
      </c>
      <c r="O187" s="35" t="s">
        <v>158</v>
      </c>
      <c r="P187" s="107" t="s">
        <v>127</v>
      </c>
      <c r="Q187" s="150" t="s">
        <v>159</v>
      </c>
      <c r="R187" s="69" t="s">
        <v>128</v>
      </c>
      <c r="S187" s="107" t="s">
        <v>129</v>
      </c>
      <c r="T187" s="114" t="s">
        <v>128</v>
      </c>
      <c r="U187" s="107" t="s">
        <v>129</v>
      </c>
      <c r="AC187" s="34"/>
      <c r="AD187" s="64" t="s">
        <v>149</v>
      </c>
      <c r="AE187" s="64" t="s">
        <v>87</v>
      </c>
      <c r="AF187" s="96" t="s">
        <v>150</v>
      </c>
      <c r="AG187" s="64" t="s">
        <v>123</v>
      </c>
      <c r="AH187" s="64" t="s">
        <v>151</v>
      </c>
      <c r="AI187" s="33" t="s">
        <v>152</v>
      </c>
      <c r="AJ187" s="34" t="s">
        <v>153</v>
      </c>
      <c r="AK187" s="92" t="s">
        <v>154</v>
      </c>
      <c r="AL187" s="35" t="s">
        <v>155</v>
      </c>
      <c r="AM187" s="35" t="s">
        <v>156</v>
      </c>
      <c r="AN187" s="92" t="s">
        <v>157</v>
      </c>
      <c r="AO187" s="35" t="s">
        <v>70</v>
      </c>
      <c r="AP187" s="35" t="s">
        <v>158</v>
      </c>
      <c r="AQ187" s="107" t="s">
        <v>127</v>
      </c>
      <c r="AR187" s="150" t="s">
        <v>159</v>
      </c>
      <c r="AS187" s="69" t="s">
        <v>128</v>
      </c>
      <c r="AT187" s="107" t="s">
        <v>129</v>
      </c>
      <c r="AU187" s="114" t="s">
        <v>128</v>
      </c>
      <c r="AV187" s="107" t="s">
        <v>129</v>
      </c>
      <c r="AW187" s="38"/>
      <c r="AX187" s="37"/>
      <c r="AY187" s="38"/>
      <c r="AZ187" s="37"/>
      <c r="BA187" s="37"/>
      <c r="BB187" s="38"/>
      <c r="BC187" s="37"/>
      <c r="BD187" s="34"/>
      <c r="BE187" s="64" t="s">
        <v>149</v>
      </c>
      <c r="BF187" s="64" t="s">
        <v>87</v>
      </c>
      <c r="BG187" s="96" t="s">
        <v>150</v>
      </c>
      <c r="BH187" s="64" t="s">
        <v>123</v>
      </c>
      <c r="BI187" s="64" t="s">
        <v>151</v>
      </c>
      <c r="BJ187" s="33" t="s">
        <v>152</v>
      </c>
      <c r="BK187" s="34" t="s">
        <v>153</v>
      </c>
      <c r="BL187" s="92" t="s">
        <v>154</v>
      </c>
      <c r="BM187" s="35" t="s">
        <v>155</v>
      </c>
      <c r="BN187" s="35" t="s">
        <v>156</v>
      </c>
      <c r="BO187" s="92" t="s">
        <v>157</v>
      </c>
      <c r="BP187" s="35" t="s">
        <v>70</v>
      </c>
      <c r="BQ187" s="35" t="s">
        <v>158</v>
      </c>
      <c r="BR187" s="107" t="s">
        <v>127</v>
      </c>
      <c r="BS187" s="150" t="s">
        <v>159</v>
      </c>
      <c r="BT187" s="69" t="s">
        <v>128</v>
      </c>
      <c r="BU187" s="107" t="s">
        <v>129</v>
      </c>
      <c r="BV187" s="114" t="s">
        <v>128</v>
      </c>
      <c r="BW187" s="107" t="s">
        <v>129</v>
      </c>
      <c r="BX187" s="38"/>
      <c r="BY187" s="37"/>
      <c r="BZ187" s="37"/>
      <c r="CA187" s="38"/>
      <c r="CB187" s="37"/>
      <c r="CC187" s="7"/>
      <c r="CD187" s="41"/>
      <c r="CE187" s="37"/>
    </row>
    <row r="188" spans="2:83">
      <c r="B188" s="2" t="s">
        <v>86</v>
      </c>
      <c r="C188" s="7">
        <v>356</v>
      </c>
      <c r="D188" s="38">
        <v>8</v>
      </c>
      <c r="E188" s="93">
        <v>81145.954949300212</v>
      </c>
      <c r="F188" s="37">
        <f>E188/$C$10</f>
        <v>0.86880037418950973</v>
      </c>
      <c r="G188" s="38">
        <v>32603.66</v>
      </c>
      <c r="H188" s="37">
        <f>G188/$C$10</f>
        <v>0.34907558886509638</v>
      </c>
      <c r="I188" s="37">
        <f>1-G188/(E188*$C$8)</f>
        <v>0.56327138066577365</v>
      </c>
      <c r="J188" s="38">
        <v>30422.002</v>
      </c>
      <c r="K188" s="37">
        <f>J188/G188</f>
        <v>0.93308548794828561</v>
      </c>
      <c r="L188" s="7">
        <f>J188/(PI()*$C$18^2)</f>
        <v>707.35018218429889</v>
      </c>
      <c r="M188" s="38">
        <v>27270.719000000001</v>
      </c>
      <c r="N188" s="37">
        <f>M188/J188</f>
        <v>0.89641434511772111</v>
      </c>
      <c r="O188" s="50">
        <f>M188/(PI()*$C$19^2)</f>
        <v>1883.1400800024776</v>
      </c>
      <c r="P188" s="98">
        <f>M188/$C$10</f>
        <v>0.29197771948608137</v>
      </c>
      <c r="Q188" s="110">
        <f>INDEX(Daggett!$B$7:$M$21, MATCH(D188,Daggett!$A$7:$A$21,0), MATCH(B$189,Daggett!$B$6:$M$6,0))</f>
        <v>347.80645161290323</v>
      </c>
      <c r="R188" s="4">
        <f t="shared" ref="R188:R196" si="475">IF(1-$H$7*(($H$5+273)^4-298^4)*(PI()*$C$19^2)*1000/(M188*Q188*1000)&lt;0,#N/A,1-$H$7*(($H$5+273)^4-298^4)*(PI()*$C$19^2)*1000/(M188*Q188*1000))</f>
        <v>0.39995849352341151</v>
      </c>
      <c r="S188" s="98">
        <f>R188*P188</f>
        <v>0.11677896882805433</v>
      </c>
      <c r="T188" s="111">
        <f>IF(1-$H$7*(($H$5+273)^4-298^4)/(O188*1000)&lt;0,#N/A,1-$H$7*(($H$5+273)^4-298^4)/(O188*1000))</f>
        <v>0.79130169281191676</v>
      </c>
      <c r="U188" s="98">
        <f>T188*P188</f>
        <v>0.23104246369269915</v>
      </c>
      <c r="AC188" s="2" t="s">
        <v>86</v>
      </c>
      <c r="AD188" s="7">
        <v>356</v>
      </c>
      <c r="AE188" s="38">
        <v>8</v>
      </c>
      <c r="AF188" s="93">
        <v>42019.424304093271</v>
      </c>
      <c r="AG188" s="37">
        <f>AF188/$C$10</f>
        <v>0.44988676985110571</v>
      </c>
      <c r="AH188" s="38">
        <v>27801.181499999999</v>
      </c>
      <c r="AI188" s="37">
        <f>AH188/$C$10</f>
        <v>0.29765718950749465</v>
      </c>
      <c r="AJ188" s="37">
        <f>1-AH188/(AF188*$C$8)</f>
        <v>0.2808403245892509</v>
      </c>
      <c r="AK188" s="38">
        <v>21549.756000000001</v>
      </c>
      <c r="AL188" s="37">
        <f>AK188/AH188</f>
        <v>0.77513813576592072</v>
      </c>
      <c r="AM188" s="7">
        <f t="shared" ref="AM188:AM196" si="476">AK188/(PI()*$C$18^2)</f>
        <v>501.0591950071921</v>
      </c>
      <c r="AN188" s="38">
        <v>19728.036800000002</v>
      </c>
      <c r="AO188" s="37">
        <f>AN188/AK188</f>
        <v>0.91546450920372369</v>
      </c>
      <c r="AP188" s="50">
        <f t="shared" ref="AP188:AP196" si="477">AN188/(PI()*$C$19^2)</f>
        <v>1362.2910638272435</v>
      </c>
      <c r="AQ188" s="98">
        <f>AN188/$C$10</f>
        <v>0.21122095074946468</v>
      </c>
      <c r="AR188" s="110">
        <f>INDEX(Daggett!$B$7:$M$21, MATCH(AE188,Daggett!$A$7:$A$21,0), MATCH(AC$189,Daggett!$B$6:$M$6,0))</f>
        <v>347.80645161290323</v>
      </c>
      <c r="AS188" s="4">
        <f t="shared" ref="AS188:AS196" si="478">IF(1-$H$7*(($H$5+273)^4-298^4)*(PI()*$C$19^2)*1000/(AN188*AR188*1000)&lt;0,#N/A,1-$H$7*(($H$5+273)^4-298^4)*(PI()*$C$19^2)*1000/(AN188*AR188*1000))</f>
        <v>0.17054274191845964</v>
      </c>
      <c r="AT188" s="98">
        <f>IF(OR(AS188&gt;0,NOT(ISTEXT(AS188)))*AQ188,0)</f>
        <v>0</v>
      </c>
      <c r="AU188" s="111">
        <f>IF(1-$H$7*(($H$5+273)^4-298^4)/(AP188*1000)&lt;0,#N/A,1-$H$7*(($H$5+273)^4-298^4)/(AP188*1000))</f>
        <v>0.71150941430209125</v>
      </c>
      <c r="AV188" s="98">
        <f>AU188*AQ188</f>
        <v>0.15028569495608246</v>
      </c>
      <c r="AW188" s="38"/>
      <c r="AX188" s="37"/>
      <c r="AY188" s="38"/>
      <c r="AZ188" s="37"/>
      <c r="BA188" s="37"/>
      <c r="BB188" s="38"/>
      <c r="BC188" s="37"/>
      <c r="BD188" s="2" t="s">
        <v>86</v>
      </c>
      <c r="BE188" s="7">
        <v>356</v>
      </c>
      <c r="BF188" s="38">
        <v>8</v>
      </c>
      <c r="BG188" s="93">
        <f>AF196</f>
        <v>77755.063627606374</v>
      </c>
      <c r="BH188" s="37">
        <f>BG188/$C$10</f>
        <v>0.83249532791869785</v>
      </c>
      <c r="BI188" s="38">
        <f t="shared" ref="BI188:BQ188" si="479">AH196</f>
        <v>32445.083999999999</v>
      </c>
      <c r="BJ188" s="37">
        <f t="shared" si="479"/>
        <v>0.34737777301927192</v>
      </c>
      <c r="BK188" s="37">
        <f t="shared" si="479"/>
        <v>0.5464424565186411</v>
      </c>
      <c r="BL188" s="38">
        <f t="shared" si="479"/>
        <v>30135.742999999999</v>
      </c>
      <c r="BM188" s="37">
        <f t="shared" si="479"/>
        <v>0.92882308456960694</v>
      </c>
      <c r="BN188" s="7">
        <f t="shared" si="479"/>
        <v>700.69429688779871</v>
      </c>
      <c r="BO188" s="38">
        <f t="shared" si="479"/>
        <v>26972.6986</v>
      </c>
      <c r="BP188" s="37">
        <f t="shared" si="479"/>
        <v>0.89504010569774239</v>
      </c>
      <c r="BQ188" s="50">
        <f t="shared" si="479"/>
        <v>1862.5607120768145</v>
      </c>
      <c r="BR188" s="98">
        <f>BO188/$C$10</f>
        <v>0.28878692291220559</v>
      </c>
      <c r="BS188" s="110">
        <f>INDEX(Daggett!$B$7:$M$21, MATCH(BF188,Daggett!$A$7:$A$21,0), MATCH(BD$189,Daggett!$B$6:$M$6,0))</f>
        <v>347.80645161290323</v>
      </c>
      <c r="BT188" s="4">
        <f t="shared" ref="BT188:BT196" si="480">IF(1-$H$7*(($H$5+273)^4-298^4)*(PI()*$C$19^2)*1000/(BO188*BS188*1000)&lt;0,#N/A,1-$H$7*(($H$5+273)^4-298^4)*(PI()*$C$19^2)*1000/(BO188*BS188*1000))</f>
        <v>0.39332865598180344</v>
      </c>
      <c r="BU188" s="98">
        <f>BT188*BR188</f>
        <v>0.1135881722541785</v>
      </c>
      <c r="BV188" s="111">
        <f>IF(1-$H$7*(($H$5+273)^4-298^4)/(BQ188*1000)&lt;0,#N/A,1-$H$7*(($H$5+273)^4-298^4)/(BQ188*1000))</f>
        <v>0.78899579254180019</v>
      </c>
      <c r="BW188" s="98">
        <f>BV188*BR188</f>
        <v>0.2278516671188234</v>
      </c>
      <c r="BX188" s="38"/>
      <c r="BY188" s="37"/>
      <c r="BZ188" s="37"/>
      <c r="CA188" s="38"/>
      <c r="CB188" s="37"/>
      <c r="CC188" s="7"/>
      <c r="CD188" s="41"/>
      <c r="CE188" s="37"/>
    </row>
    <row r="189" spans="2:83">
      <c r="B189" s="2">
        <v>12</v>
      </c>
      <c r="D189" s="38">
        <v>9</v>
      </c>
      <c r="E189" s="93">
        <v>85546.900712254195</v>
      </c>
      <c r="F189" s="37">
        <f t="shared" ref="F189:F196" si="481">E189/$C$10</f>
        <v>0.91591970783998067</v>
      </c>
      <c r="G189" s="38">
        <v>50705.205000000002</v>
      </c>
      <c r="H189" s="37">
        <f>G189/$C$10</f>
        <v>0.54288228051391862</v>
      </c>
      <c r="I189" s="37">
        <f>1-G189/(E189*$C$8)</f>
        <v>0.35574108702953056</v>
      </c>
      <c r="J189" s="38">
        <v>47789.678999999996</v>
      </c>
      <c r="K189" s="37">
        <f>J189/G189</f>
        <v>0.94250045927237636</v>
      </c>
      <c r="L189" s="7">
        <f>J189/(PI()*$C$18^2)</f>
        <v>1111.1707292366609</v>
      </c>
      <c r="M189" s="38">
        <v>43305.49</v>
      </c>
      <c r="N189" s="37">
        <f>M189/J189</f>
        <v>0.90616825444673943</v>
      </c>
      <c r="O189" s="50">
        <f>M189/(PI()*$C$19^2)</f>
        <v>2990.3980127237014</v>
      </c>
      <c r="P189" s="98">
        <f>M189/$C$10</f>
        <v>0.46365620985010703</v>
      </c>
      <c r="Q189" s="110">
        <f>INDEX(Daggett!$B$7:$M$21, MATCH(D189,Daggett!$A$7:$A$21,0), MATCH(B$189,Daggett!$B$6:$M$6,0))</f>
        <v>550.80645161290317</v>
      </c>
      <c r="R189" s="4">
        <f t="shared" si="475"/>
        <v>0.76139829689968896</v>
      </c>
      <c r="S189" s="98">
        <f t="shared" ref="S189:S196" si="482">R189*P189</f>
        <v>0.35302704852683631</v>
      </c>
      <c r="T189" s="111">
        <f t="shared" ref="T189:T196" si="483">IF(1-$H$7*(($H$5+273)^4-298^4)/(O189*1000)&lt;0,#N/A,1-$H$7*(($H$5+273)^4-298^4)/(O189*1000))</f>
        <v>0.86857664256652223</v>
      </c>
      <c r="U189" s="98">
        <f t="shared" ref="U189:U196" si="484">T189*P189</f>
        <v>0.40272095405672481</v>
      </c>
      <c r="AC189" s="2">
        <v>12</v>
      </c>
      <c r="AE189" s="38">
        <v>9</v>
      </c>
      <c r="AF189" s="93">
        <v>49483.351554899993</v>
      </c>
      <c r="AG189" s="37">
        <f t="shared" ref="AG189:AG196" si="485">AF189/$C$10</f>
        <v>0.52980033784689495</v>
      </c>
      <c r="AH189" s="38">
        <v>37791.339999999997</v>
      </c>
      <c r="AI189" s="37">
        <f t="shared" ref="AI189:AI196" si="486">AH189/$C$10</f>
        <v>0.40461820128479653</v>
      </c>
      <c r="AJ189" s="37">
        <f t="shared" ref="AJ189:AJ196" si="487">1-AH189/(AF189*$C$8)</f>
        <v>0.16987143781708458</v>
      </c>
      <c r="AK189" s="38">
        <v>31399.024300000001</v>
      </c>
      <c r="AL189" s="37">
        <f t="shared" ref="AL189:AL196" si="488">AK189/AH189</f>
        <v>0.83085236723545675</v>
      </c>
      <c r="AM189" s="7">
        <f t="shared" si="476"/>
        <v>730.0671914693263</v>
      </c>
      <c r="AN189" s="38">
        <v>28875.782999999999</v>
      </c>
      <c r="AO189" s="37">
        <f t="shared" ref="AO189:AO196" si="489">AN189/AK189</f>
        <v>0.91963949975350023</v>
      </c>
      <c r="AP189" s="50">
        <f t="shared" si="477"/>
        <v>1993.9754543601941</v>
      </c>
      <c r="AQ189" s="98">
        <f t="shared" ref="AQ189:AQ196" si="490">AN189/$C$10</f>
        <v>0.30916255888650962</v>
      </c>
      <c r="AR189" s="110">
        <f>INDEX(Daggett!$B$7:$M$21, MATCH(AE189,Daggett!$A$7:$A$21,0), MATCH(AC$189,Daggett!$B$6:$M$6,0))</f>
        <v>550.80645161290317</v>
      </c>
      <c r="AS189" s="4">
        <f t="shared" si="478"/>
        <v>0.64216507418713165</v>
      </c>
      <c r="AT189" s="98">
        <f t="shared" ref="AT189:AT196" si="491">AS189*AQ189</f>
        <v>0.1985333975632389</v>
      </c>
      <c r="AU189" s="111">
        <f t="shared" ref="AU189:AU196" si="492">IF(1-$H$7*(($H$5+273)^4-298^4)/(AP189*1000)&lt;0,#N/A,1-$H$7*(($H$5+273)^4-298^4)/(AP189*1000))</f>
        <v>0.80290221424984742</v>
      </c>
      <c r="AV189" s="98">
        <f t="shared" ref="AV189:AV196" si="493">AU189*AQ189</f>
        <v>0.2482273030931274</v>
      </c>
      <c r="AW189" s="38"/>
      <c r="AX189" s="37"/>
      <c r="AY189" s="38"/>
      <c r="AZ189" s="37"/>
      <c r="BA189" s="37"/>
      <c r="BB189" s="38"/>
      <c r="BC189" s="37"/>
      <c r="BD189" s="2">
        <v>12</v>
      </c>
      <c r="BF189" s="38">
        <v>9</v>
      </c>
      <c r="BG189" s="93">
        <f>AF195</f>
        <v>77086.754326225957</v>
      </c>
      <c r="BH189" s="37">
        <f t="shared" ref="BH189:BH196" si="494">BG189/$C$10</f>
        <v>0.82533998207950698</v>
      </c>
      <c r="BI189" s="38">
        <f t="shared" ref="BI189:BQ189" si="495">AH195</f>
        <v>50838.269</v>
      </c>
      <c r="BJ189" s="37">
        <f t="shared" si="495"/>
        <v>0.544306948608137</v>
      </c>
      <c r="BK189" s="37">
        <f t="shared" si="495"/>
        <v>0.28315845534725803</v>
      </c>
      <c r="BL189" s="38">
        <f t="shared" si="495"/>
        <v>47412.432999999997</v>
      </c>
      <c r="BM189" s="37">
        <f t="shared" si="495"/>
        <v>0.93261304785967436</v>
      </c>
      <c r="BN189" s="7">
        <f t="shared" si="495"/>
        <v>1102.3992806374433</v>
      </c>
      <c r="BO189" s="38">
        <f t="shared" si="495"/>
        <v>43255.02622</v>
      </c>
      <c r="BP189" s="37">
        <f t="shared" si="495"/>
        <v>0.91231399620432896</v>
      </c>
      <c r="BQ189" s="50">
        <f t="shared" si="495"/>
        <v>2986.9133093425248</v>
      </c>
      <c r="BR189" s="98">
        <f t="shared" ref="BR189:BR196" si="496">BO189/$C$10</f>
        <v>0.46311591241970024</v>
      </c>
      <c r="BS189" s="110">
        <f>INDEX(Daggett!$B$7:$M$21, MATCH(BF189,Daggett!$A$7:$A$21,0), MATCH(BD$189,Daggett!$B$6:$M$6,0))</f>
        <v>550.80645161290317</v>
      </c>
      <c r="BT189" s="4">
        <f t="shared" si="480"/>
        <v>0.76111993054772709</v>
      </c>
      <c r="BU189" s="98">
        <f t="shared" ref="BU189:BU196" si="497">BT189*BR189</f>
        <v>0.35248675109642952</v>
      </c>
      <c r="BV189" s="111">
        <f t="shared" ref="BV189:BV196" si="498">IF(1-$H$7*(($H$5+273)^4-298^4)/(BQ189*1000)&lt;0,#N/A,1-$H$7*(($H$5+273)^4-298^4)/(BQ189*1000))</f>
        <v>0.86842331658394967</v>
      </c>
      <c r="BW189" s="98">
        <f t="shared" ref="BW189:BW196" si="499">BV189*BR189</f>
        <v>0.40218065662631802</v>
      </c>
      <c r="BX189" s="38"/>
      <c r="BY189" s="37"/>
      <c r="BZ189" s="37"/>
      <c r="CA189" s="38"/>
      <c r="CB189" s="37"/>
      <c r="CC189" s="7"/>
      <c r="CD189" s="41"/>
      <c r="CE189" s="37"/>
    </row>
    <row r="190" spans="2:83">
      <c r="D190" s="38">
        <v>10</v>
      </c>
      <c r="E190" s="93">
        <v>88776.716345235283</v>
      </c>
      <c r="F190" s="37">
        <f t="shared" si="481"/>
        <v>0.95050017500251904</v>
      </c>
      <c r="G190" s="38">
        <v>57666.3367</v>
      </c>
      <c r="H190" s="37">
        <f>G190/$C$10</f>
        <v>0.61741259850107066</v>
      </c>
      <c r="I190" s="37">
        <f>1-G190/(E190*$C$8)</f>
        <v>0.2939499979125586</v>
      </c>
      <c r="J190" s="38">
        <v>54725.127</v>
      </c>
      <c r="K190" s="37">
        <f>J190/G190</f>
        <v>0.94899607174110645</v>
      </c>
      <c r="L190" s="7">
        <f>J190/(PI()*$C$18^2)</f>
        <v>1272.4287031967485</v>
      </c>
      <c r="M190" s="38">
        <v>49787.620999999999</v>
      </c>
      <c r="N190" s="37">
        <f>M190/J190</f>
        <v>0.90977625323738398</v>
      </c>
      <c r="O190" s="50">
        <f>M190/(PI()*$C$19^2)</f>
        <v>3438.0121988376263</v>
      </c>
      <c r="P190" s="98">
        <f>M190/$C$10</f>
        <v>0.53305804068522478</v>
      </c>
      <c r="Q190" s="110">
        <f>INDEX(Daggett!$B$7:$M$21, MATCH(D190,Daggett!$A$7:$A$21,0), MATCH(B$189,Daggett!$B$6:$M$6,0))</f>
        <v>650</v>
      </c>
      <c r="R190" s="4">
        <f t="shared" si="475"/>
        <v>0.82413444649680789</v>
      </c>
      <c r="S190" s="98">
        <f t="shared" si="482"/>
        <v>0.43931149331079061</v>
      </c>
      <c r="T190" s="111">
        <f t="shared" si="483"/>
        <v>0.8856873902229252</v>
      </c>
      <c r="U190" s="98">
        <f t="shared" si="484"/>
        <v>0.47212278489184262</v>
      </c>
      <c r="AE190" s="38">
        <v>10</v>
      </c>
      <c r="AF190" s="93">
        <v>56416.725121724325</v>
      </c>
      <c r="AG190" s="37">
        <f t="shared" si="485"/>
        <v>0.60403345954736964</v>
      </c>
      <c r="AH190" s="38">
        <v>46900.769500000002</v>
      </c>
      <c r="AI190" s="37">
        <f t="shared" si="486"/>
        <v>0.50214956638115638</v>
      </c>
      <c r="AJ190" s="37">
        <f t="shared" si="487"/>
        <v>9.6383259173293823E-2</v>
      </c>
      <c r="AK190" s="38">
        <v>40311.739000000001</v>
      </c>
      <c r="AL190" s="37">
        <f t="shared" si="488"/>
        <v>0.85951124959687497</v>
      </c>
      <c r="AM190" s="7">
        <f t="shared" si="476"/>
        <v>937.29912731633851</v>
      </c>
      <c r="AN190" s="38">
        <v>36962.902000000002</v>
      </c>
      <c r="AO190" s="37">
        <f t="shared" si="489"/>
        <v>0.91692650619711547</v>
      </c>
      <c r="AP190" s="50">
        <f t="shared" si="477"/>
        <v>2552.4197667616954</v>
      </c>
      <c r="AQ190" s="98">
        <f t="shared" si="490"/>
        <v>0.3957484154175589</v>
      </c>
      <c r="AR190" s="110">
        <f>INDEX(Daggett!$B$7:$M$21, MATCH(AE190,Daggett!$A$7:$A$21,0), MATCH(AC$189,Daggett!$B$6:$M$6,0))</f>
        <v>650</v>
      </c>
      <c r="AS190" s="4">
        <f t="shared" si="478"/>
        <v>0.7631157985167899</v>
      </c>
      <c r="AT190" s="98">
        <f t="shared" si="491"/>
        <v>0.30200186804312473</v>
      </c>
      <c r="AU190" s="111">
        <f t="shared" si="492"/>
        <v>0.84602526903591346</v>
      </c>
      <c r="AV190" s="98">
        <f t="shared" si="493"/>
        <v>0.33481315962417668</v>
      </c>
      <c r="AW190" s="38"/>
      <c r="AX190" s="37"/>
      <c r="AY190" s="38"/>
      <c r="AZ190" s="37"/>
      <c r="BA190" s="37"/>
      <c r="BB190" s="38"/>
      <c r="BC190" s="37"/>
      <c r="BF190" s="38">
        <v>10</v>
      </c>
      <c r="BG190" s="93">
        <f>AF194</f>
        <v>75185.256331427139</v>
      </c>
      <c r="BH190" s="37">
        <f t="shared" si="494"/>
        <v>0.80498133117159676</v>
      </c>
      <c r="BI190" s="38">
        <f t="shared" ref="BI190:BQ190" si="500">AH194</f>
        <v>54398.512999999999</v>
      </c>
      <c r="BJ190" s="37">
        <f t="shared" si="500"/>
        <v>0.58242519271948612</v>
      </c>
      <c r="BK190" s="37">
        <f t="shared" si="500"/>
        <v>0.21355833093641718</v>
      </c>
      <c r="BL190" s="38">
        <f t="shared" si="500"/>
        <v>50378.881999999998</v>
      </c>
      <c r="BM190" s="37">
        <f t="shared" si="500"/>
        <v>0.92610770445140655</v>
      </c>
      <c r="BN190" s="7">
        <f t="shared" si="500"/>
        <v>1171.3729872524921</v>
      </c>
      <c r="BO190" s="38">
        <f t="shared" si="500"/>
        <v>45876.69</v>
      </c>
      <c r="BP190" s="37">
        <f t="shared" si="500"/>
        <v>0.9106333483144784</v>
      </c>
      <c r="BQ190" s="50">
        <f t="shared" si="500"/>
        <v>3167.9485119863862</v>
      </c>
      <c r="BR190" s="98">
        <f t="shared" si="496"/>
        <v>0.49118511777301932</v>
      </c>
      <c r="BS190" s="110">
        <f>INDEX(Daggett!$B$7:$M$21, MATCH(BF190,Daggett!$A$7:$A$21,0), MATCH(BD$189,Daggett!$B$6:$M$6,0))</f>
        <v>650</v>
      </c>
      <c r="BT190" s="4">
        <f t="shared" si="480"/>
        <v>0.80914212588632384</v>
      </c>
      <c r="BU190" s="98">
        <f t="shared" si="497"/>
        <v>0.39743857039858521</v>
      </c>
      <c r="BV190" s="111">
        <f t="shared" si="498"/>
        <v>0.87594238182611051</v>
      </c>
      <c r="BW190" s="98">
        <f t="shared" si="499"/>
        <v>0.43024986197963716</v>
      </c>
      <c r="BX190" s="38"/>
      <c r="BY190" s="37"/>
      <c r="BZ190" s="37"/>
      <c r="CA190" s="38"/>
      <c r="CB190" s="37"/>
      <c r="CC190" s="7"/>
      <c r="CD190" s="41"/>
      <c r="CE190" s="37"/>
    </row>
    <row r="191" spans="2:83">
      <c r="D191" s="38">
        <v>11</v>
      </c>
      <c r="E191" s="93">
        <v>90748.464214459425</v>
      </c>
      <c r="F191" s="37">
        <f t="shared" si="481"/>
        <v>0.97161096589356988</v>
      </c>
      <c r="G191" s="38">
        <v>65422.68</v>
      </c>
      <c r="H191" s="37">
        <f>G191/$C$10</f>
        <v>0.70045695931477514</v>
      </c>
      <c r="I191" s="37">
        <f>1-G191/(E191*$C$8)</f>
        <v>0.21638774483721135</v>
      </c>
      <c r="J191" s="38">
        <v>62267.756300000001</v>
      </c>
      <c r="K191" s="37">
        <f>J191/G191</f>
        <v>0.95177629990089063</v>
      </c>
      <c r="L191" s="7">
        <f>J191/(PI()*$C$18^2)</f>
        <v>1447.804413496933</v>
      </c>
      <c r="M191" s="38">
        <v>56905.969100000002</v>
      </c>
      <c r="N191" s="37">
        <f>M191/J191</f>
        <v>0.91389143404866835</v>
      </c>
      <c r="O191" s="50">
        <f>M191/(PI()*$C$19^2)</f>
        <v>3929.5594371234774</v>
      </c>
      <c r="P191" s="98">
        <f>M191/$C$10</f>
        <v>0.6092716177730193</v>
      </c>
      <c r="Q191" s="110">
        <f>INDEX(Daggett!$B$7:$M$21, MATCH(D191,Daggett!$A$7:$A$21,0), MATCH(B$189,Daggett!$B$6:$M$6,0))</f>
        <v>690</v>
      </c>
      <c r="R191" s="4">
        <f t="shared" si="475"/>
        <v>0.85505321051924443</v>
      </c>
      <c r="S191" s="98">
        <f t="shared" si="482"/>
        <v>0.52095965285507406</v>
      </c>
      <c r="T191" s="111">
        <f t="shared" si="483"/>
        <v>0.89998671525827867</v>
      </c>
      <c r="U191" s="98">
        <f t="shared" si="484"/>
        <v>0.54833636197963709</v>
      </c>
      <c r="AE191" s="38">
        <v>11</v>
      </c>
      <c r="AF191" s="93">
        <v>62597.156344328207</v>
      </c>
      <c r="AG191" s="37">
        <f t="shared" si="485"/>
        <v>0.6702051000463406</v>
      </c>
      <c r="AH191" s="38">
        <v>53431.566200000001</v>
      </c>
      <c r="AI191" s="37">
        <f t="shared" si="486"/>
        <v>0.57207244325481799</v>
      </c>
      <c r="AJ191" s="37">
        <f t="shared" si="487"/>
        <v>7.2197640602752577E-2</v>
      </c>
      <c r="AK191" s="38">
        <v>47297.7713</v>
      </c>
      <c r="AL191" s="37">
        <f t="shared" si="488"/>
        <v>0.88520278673770192</v>
      </c>
      <c r="AM191" s="7">
        <f t="shared" si="476"/>
        <v>1099.7332504930575</v>
      </c>
      <c r="AN191" s="38">
        <v>43343.347269999998</v>
      </c>
      <c r="AO191" s="37">
        <f t="shared" si="489"/>
        <v>0.91639301554151664</v>
      </c>
      <c r="AP191" s="50">
        <f t="shared" si="477"/>
        <v>2993.0121917798706</v>
      </c>
      <c r="AQ191" s="98">
        <f t="shared" si="490"/>
        <v>0.46406153394004279</v>
      </c>
      <c r="AR191" s="110">
        <f>INDEX(Daggett!$B$7:$M$21, MATCH(AE191,Daggett!$A$7:$A$21,0), MATCH(AC$189,Daggett!$B$6:$M$6,0))</f>
        <v>690</v>
      </c>
      <c r="AS191" s="4">
        <f t="shared" si="478"/>
        <v>0.80969772657486583</v>
      </c>
      <c r="AT191" s="98">
        <f t="shared" si="491"/>
        <v>0.37574956902209761</v>
      </c>
      <c r="AU191" s="111">
        <f t="shared" si="492"/>
        <v>0.86869143133665738</v>
      </c>
      <c r="AV191" s="98">
        <f t="shared" si="493"/>
        <v>0.40312627814666058</v>
      </c>
      <c r="AW191" s="38"/>
      <c r="AX191" s="37"/>
      <c r="AY191" s="38"/>
      <c r="AZ191" s="37"/>
      <c r="BA191" s="37"/>
      <c r="BB191" s="38"/>
      <c r="BC191" s="37"/>
      <c r="BF191" s="38">
        <v>11</v>
      </c>
      <c r="BG191" s="93">
        <f>AF193</f>
        <v>72088.925754185868</v>
      </c>
      <c r="BH191" s="37">
        <f t="shared" si="494"/>
        <v>0.77183004019470947</v>
      </c>
      <c r="BI191" s="38">
        <f t="shared" ref="BI191:BQ191" si="501">AH193</f>
        <v>56972.84</v>
      </c>
      <c r="BJ191" s="37">
        <f t="shared" si="501"/>
        <v>0.60998758029978584</v>
      </c>
      <c r="BK191" s="37">
        <f t="shared" si="501"/>
        <v>0.14096375619241108</v>
      </c>
      <c r="BL191" s="38">
        <f t="shared" si="501"/>
        <v>52582.597000000002</v>
      </c>
      <c r="BM191" s="37">
        <f t="shared" si="501"/>
        <v>0.92294147527137504</v>
      </c>
      <c r="BN191" s="7">
        <f t="shared" si="501"/>
        <v>1222.6121597018357</v>
      </c>
      <c r="BO191" s="38">
        <f t="shared" si="501"/>
        <v>48269.552000000003</v>
      </c>
      <c r="BP191" s="37">
        <f t="shared" si="501"/>
        <v>0.91797580861211558</v>
      </c>
      <c r="BQ191" s="50">
        <f t="shared" si="501"/>
        <v>3333.1841384513464</v>
      </c>
      <c r="BR191" s="98">
        <f t="shared" si="496"/>
        <v>0.51680462526766602</v>
      </c>
      <c r="BS191" s="110">
        <f>INDEX(Daggett!$B$7:$M$21, MATCH(BF191,Daggett!$A$7:$A$21,0), MATCH(BD$189,Daggett!$B$6:$M$6,0))</f>
        <v>690</v>
      </c>
      <c r="BT191" s="4">
        <f t="shared" si="480"/>
        <v>0.82911924429428963</v>
      </c>
      <c r="BU191" s="98">
        <f t="shared" si="497"/>
        <v>0.42849266034972078</v>
      </c>
      <c r="BV191" s="111">
        <f t="shared" si="498"/>
        <v>0.88209227856305983</v>
      </c>
      <c r="BW191" s="98">
        <f t="shared" si="499"/>
        <v>0.4558693694742838</v>
      </c>
      <c r="BX191" s="38"/>
      <c r="BY191" s="37"/>
      <c r="BZ191" s="37"/>
      <c r="CA191" s="38"/>
      <c r="CB191" s="37"/>
      <c r="CC191" s="7"/>
      <c r="CD191" s="41"/>
      <c r="CE191" s="37"/>
    </row>
    <row r="192" spans="2:83">
      <c r="D192" s="38">
        <v>12</v>
      </c>
      <c r="E192" s="93">
        <v>91411.298358724714</v>
      </c>
      <c r="F192" s="37">
        <f t="shared" si="481"/>
        <v>0.97870769120690271</v>
      </c>
      <c r="G192" s="38">
        <v>67166.92</v>
      </c>
      <c r="H192" s="37">
        <f>G192/$C$10</f>
        <v>0.71913190578158459</v>
      </c>
      <c r="I192" s="37">
        <f>1-G192/(E192*$C$8)</f>
        <v>0.20132934276212189</v>
      </c>
      <c r="J192" s="38">
        <v>63949.739000000001</v>
      </c>
      <c r="K192" s="37">
        <f>J192/G192</f>
        <v>0.95210170423178553</v>
      </c>
      <c r="L192" s="7">
        <f>J192/(PI()*$C$18^2)</f>
        <v>1486.9126473756842</v>
      </c>
      <c r="M192" s="38">
        <v>58290.58</v>
      </c>
      <c r="N192" s="37">
        <f>M192/J192</f>
        <v>0.91150614391092355</v>
      </c>
      <c r="O192" s="50">
        <f>M192/(PI()*$C$19^2)</f>
        <v>4025.1717413314559</v>
      </c>
      <c r="P192" s="98">
        <f>M192/$C$10</f>
        <v>0.62409614561027837</v>
      </c>
      <c r="Q192" s="110">
        <f>INDEX(Daggett!$B$7:$M$21, MATCH(D192,Daggett!$A$7:$A$21,0), MATCH(B$189,Daggett!$B$6:$M$6,0))</f>
        <v>682.51612903225805</v>
      </c>
      <c r="R192" s="4">
        <f t="shared" si="475"/>
        <v>0.85694461213823991</v>
      </c>
      <c r="S192" s="98">
        <f t="shared" si="482"/>
        <v>0.53481582943697048</v>
      </c>
      <c r="T192" s="111">
        <f t="shared" si="483"/>
        <v>0.90236239043938327</v>
      </c>
      <c r="U192" s="98">
        <f t="shared" si="484"/>
        <v>0.56316088981689616</v>
      </c>
      <c r="AE192" s="38">
        <v>12</v>
      </c>
      <c r="AF192" s="93">
        <v>67862.453645557733</v>
      </c>
      <c r="AG192" s="37">
        <f t="shared" si="485"/>
        <v>0.72657873282181729</v>
      </c>
      <c r="AH192" s="38">
        <v>58109.0821</v>
      </c>
      <c r="AI192" s="37">
        <f t="shared" si="486"/>
        <v>0.62215291327623123</v>
      </c>
      <c r="AJ192" s="37">
        <f t="shared" si="487"/>
        <v>6.9263747951675447E-2</v>
      </c>
      <c r="AK192" s="38">
        <v>52750.202599999997</v>
      </c>
      <c r="AL192" s="37">
        <f t="shared" si="488"/>
        <v>0.90777896834133609</v>
      </c>
      <c r="AM192" s="7">
        <f t="shared" si="476"/>
        <v>1226.5092027595249</v>
      </c>
      <c r="AN192" s="38">
        <v>48462.557000000001</v>
      </c>
      <c r="AO192" s="37">
        <f t="shared" si="489"/>
        <v>0.91871793114212619</v>
      </c>
      <c r="AP192" s="50">
        <f t="shared" si="477"/>
        <v>3346.5118197325355</v>
      </c>
      <c r="AQ192" s="98">
        <f t="shared" si="490"/>
        <v>0.51887105995717342</v>
      </c>
      <c r="AR192" s="110">
        <f>INDEX(Daggett!$B$7:$M$21, MATCH(AE192,Daggett!$A$7:$A$21,0), MATCH(AC$189,Daggett!$B$6:$M$6,0))</f>
        <v>682.51612903225805</v>
      </c>
      <c r="AS192" s="4">
        <f t="shared" si="478"/>
        <v>0.82793352132478371</v>
      </c>
      <c r="AT192" s="98">
        <f t="shared" si="491"/>
        <v>0.42959074378386558</v>
      </c>
      <c r="AU192" s="111">
        <f t="shared" si="492"/>
        <v>0.88256185303837975</v>
      </c>
      <c r="AV192" s="98">
        <f t="shared" si="493"/>
        <v>0.4579358041637912</v>
      </c>
      <c r="AW192" s="38"/>
      <c r="AX192" s="37"/>
      <c r="AY192" s="38"/>
      <c r="AZ192" s="37"/>
      <c r="BA192" s="37"/>
      <c r="BB192" s="38"/>
      <c r="BC192" s="37"/>
      <c r="BF192" s="38">
        <v>12</v>
      </c>
      <c r="BG192" s="93">
        <f>AF192</f>
        <v>67862.453645557733</v>
      </c>
      <c r="BH192" s="37">
        <f t="shared" si="494"/>
        <v>0.72657873282181729</v>
      </c>
      <c r="BI192" s="38">
        <f t="shared" ref="BI192:BQ192" si="502">AH192</f>
        <v>58109.0821</v>
      </c>
      <c r="BJ192" s="37">
        <f t="shared" si="502"/>
        <v>0.62215291327623123</v>
      </c>
      <c r="BK192" s="37">
        <f t="shared" si="502"/>
        <v>6.9263747951675447E-2</v>
      </c>
      <c r="BL192" s="38">
        <f t="shared" si="502"/>
        <v>52750.202599999997</v>
      </c>
      <c r="BM192" s="37">
        <f t="shared" si="502"/>
        <v>0.90777896834133609</v>
      </c>
      <c r="BN192" s="7">
        <f t="shared" si="502"/>
        <v>1226.5092027595249</v>
      </c>
      <c r="BO192" s="38">
        <f t="shared" si="502"/>
        <v>48462.557000000001</v>
      </c>
      <c r="BP192" s="37">
        <f t="shared" si="502"/>
        <v>0.91871793114212619</v>
      </c>
      <c r="BQ192" s="50">
        <f t="shared" si="502"/>
        <v>3346.5118197325355</v>
      </c>
      <c r="BR192" s="98">
        <f t="shared" si="496"/>
        <v>0.51887105995717342</v>
      </c>
      <c r="BS192" s="110">
        <f>INDEX(Daggett!$B$7:$M$21, MATCH(BF192,Daggett!$A$7:$A$21,0), MATCH(BD$189,Daggett!$B$6:$M$6,0))</f>
        <v>682.51612903225805</v>
      </c>
      <c r="BT192" s="4">
        <f t="shared" si="480"/>
        <v>0.82793352132478371</v>
      </c>
      <c r="BU192" s="98">
        <f t="shared" si="497"/>
        <v>0.42959074378386558</v>
      </c>
      <c r="BV192" s="111">
        <f t="shared" si="498"/>
        <v>0.88256185303837975</v>
      </c>
      <c r="BW192" s="98">
        <f t="shared" si="499"/>
        <v>0.4579358041637912</v>
      </c>
      <c r="BX192" s="38"/>
      <c r="BY192" s="37"/>
      <c r="BZ192" s="37"/>
      <c r="CA192" s="38"/>
      <c r="CB192" s="37"/>
      <c r="CC192" s="7"/>
      <c r="CD192" s="41"/>
      <c r="CE192" s="37"/>
    </row>
    <row r="193" spans="3:84">
      <c r="D193" s="38">
        <v>13</v>
      </c>
      <c r="E193" s="93">
        <f>E191</f>
        <v>90748.464214459425</v>
      </c>
      <c r="F193" s="37">
        <f t="shared" si="481"/>
        <v>0.97161096589356988</v>
      </c>
      <c r="G193" s="38">
        <f t="shared" ref="G193:P193" si="503">G191</f>
        <v>65422.68</v>
      </c>
      <c r="H193" s="37">
        <f t="shared" si="503"/>
        <v>0.70045695931477514</v>
      </c>
      <c r="I193" s="37">
        <f t="shared" si="503"/>
        <v>0.21638774483721135</v>
      </c>
      <c r="J193" s="38">
        <f t="shared" si="503"/>
        <v>62267.756300000001</v>
      </c>
      <c r="K193" s="37">
        <f t="shared" si="503"/>
        <v>0.95177629990089063</v>
      </c>
      <c r="L193" s="7">
        <f t="shared" si="503"/>
        <v>1447.804413496933</v>
      </c>
      <c r="M193" s="38">
        <f t="shared" si="503"/>
        <v>56905.969100000002</v>
      </c>
      <c r="N193" s="37">
        <f t="shared" si="503"/>
        <v>0.91389143404866835</v>
      </c>
      <c r="O193" s="50">
        <f t="shared" si="503"/>
        <v>3929.5594371234774</v>
      </c>
      <c r="P193" s="98">
        <f t="shared" si="503"/>
        <v>0.6092716177730193</v>
      </c>
      <c r="Q193" s="110">
        <f>INDEX(Daggett!$B$7:$M$21, MATCH(D193,Daggett!$A$7:$A$21,0), MATCH(B$189,Daggett!$B$6:$M$6,0))</f>
        <v>681.48387096774195</v>
      </c>
      <c r="R193" s="4">
        <f t="shared" si="475"/>
        <v>0.85324189023036245</v>
      </c>
      <c r="S193" s="98">
        <f t="shared" si="482"/>
        <v>0.51985606681236185</v>
      </c>
      <c r="T193" s="111">
        <f t="shared" si="483"/>
        <v>0.89998671525827867</v>
      </c>
      <c r="U193" s="98">
        <f t="shared" si="484"/>
        <v>0.54833636197963709</v>
      </c>
      <c r="AE193" s="38">
        <v>13</v>
      </c>
      <c r="AF193" s="93">
        <v>72088.925754185868</v>
      </c>
      <c r="AG193" s="37">
        <f t="shared" si="485"/>
        <v>0.77183004019470947</v>
      </c>
      <c r="AH193" s="38">
        <v>56972.84</v>
      </c>
      <c r="AI193" s="37">
        <f t="shared" si="486"/>
        <v>0.60998758029978584</v>
      </c>
      <c r="AJ193" s="37">
        <f t="shared" si="487"/>
        <v>0.14096375619241108</v>
      </c>
      <c r="AK193" s="38">
        <v>52582.597000000002</v>
      </c>
      <c r="AL193" s="37">
        <f t="shared" si="488"/>
        <v>0.92294147527137504</v>
      </c>
      <c r="AM193" s="7">
        <f t="shared" si="476"/>
        <v>1222.6121597018357</v>
      </c>
      <c r="AN193" s="38">
        <v>48269.552000000003</v>
      </c>
      <c r="AO193" s="37">
        <f t="shared" si="489"/>
        <v>0.91797580861211558</v>
      </c>
      <c r="AP193" s="50">
        <f t="shared" si="477"/>
        <v>3333.1841384513464</v>
      </c>
      <c r="AQ193" s="98">
        <f t="shared" si="490"/>
        <v>0.51680462526766602</v>
      </c>
      <c r="AR193" s="110">
        <f>INDEX(Daggett!$B$7:$M$21, MATCH(AE193,Daggett!$A$7:$A$21,0), MATCH(AC$189,Daggett!$B$6:$M$6,0))</f>
        <v>681.48387096774195</v>
      </c>
      <c r="AS193" s="4">
        <f t="shared" si="478"/>
        <v>0.8269838414964904</v>
      </c>
      <c r="AT193" s="98">
        <f t="shared" si="491"/>
        <v>0.42738907430700862</v>
      </c>
      <c r="AU193" s="111">
        <f t="shared" si="492"/>
        <v>0.88209227856305983</v>
      </c>
      <c r="AV193" s="98">
        <f t="shared" si="493"/>
        <v>0.4558693694742838</v>
      </c>
      <c r="AW193" s="38"/>
      <c r="AX193" s="37"/>
      <c r="AY193" s="38"/>
      <c r="AZ193" s="37"/>
      <c r="BA193" s="37"/>
      <c r="BB193" s="38"/>
      <c r="BC193" s="37"/>
      <c r="BF193" s="38">
        <v>13</v>
      </c>
      <c r="BG193" s="93">
        <f>AF191</f>
        <v>62597.156344328207</v>
      </c>
      <c r="BH193" s="37">
        <f t="shared" si="494"/>
        <v>0.6702051000463406</v>
      </c>
      <c r="BI193" s="38">
        <f t="shared" ref="BI193:BQ193" si="504">AH191</f>
        <v>53431.566200000001</v>
      </c>
      <c r="BJ193" s="37">
        <f t="shared" si="504"/>
        <v>0.57207244325481799</v>
      </c>
      <c r="BK193" s="37">
        <f t="shared" si="504"/>
        <v>7.2197640602752577E-2</v>
      </c>
      <c r="BL193" s="38">
        <f t="shared" si="504"/>
        <v>47297.7713</v>
      </c>
      <c r="BM193" s="37">
        <f t="shared" si="504"/>
        <v>0.88520278673770192</v>
      </c>
      <c r="BN193" s="7">
        <f t="shared" si="504"/>
        <v>1099.7332504930575</v>
      </c>
      <c r="BO193" s="38">
        <f t="shared" si="504"/>
        <v>43343.347269999998</v>
      </c>
      <c r="BP193" s="37">
        <f t="shared" si="504"/>
        <v>0.91639301554151664</v>
      </c>
      <c r="BQ193" s="50">
        <f t="shared" si="504"/>
        <v>2993.0121917798706</v>
      </c>
      <c r="BR193" s="98">
        <f t="shared" si="496"/>
        <v>0.46406153394004279</v>
      </c>
      <c r="BS193" s="110">
        <f>INDEX(Daggett!$B$7:$M$21, MATCH(BF193,Daggett!$A$7:$A$21,0), MATCH(BD$189,Daggett!$B$6:$M$6,0))</f>
        <v>681.48387096774195</v>
      </c>
      <c r="BT193" s="4">
        <f t="shared" si="480"/>
        <v>0.80731962375444377</v>
      </c>
      <c r="BU193" s="98">
        <f t="shared" si="497"/>
        <v>0.37464598297938539</v>
      </c>
      <c r="BV193" s="111">
        <f t="shared" si="498"/>
        <v>0.86869143133665738</v>
      </c>
      <c r="BW193" s="98">
        <f t="shared" si="499"/>
        <v>0.40312627814666058</v>
      </c>
      <c r="BX193" s="38"/>
      <c r="BY193" s="37"/>
      <c r="BZ193" s="37"/>
      <c r="CA193" s="38"/>
      <c r="CB193" s="37"/>
      <c r="CC193" s="7"/>
      <c r="CD193" s="41"/>
      <c r="CE193" s="37"/>
    </row>
    <row r="194" spans="3:84">
      <c r="D194" s="38">
        <v>14</v>
      </c>
      <c r="E194" s="93">
        <f>E190</f>
        <v>88776.716345235283</v>
      </c>
      <c r="F194" s="37">
        <f t="shared" si="481"/>
        <v>0.95050017500251904</v>
      </c>
      <c r="G194" s="38">
        <f t="shared" ref="G194:P194" si="505">G190</f>
        <v>57666.3367</v>
      </c>
      <c r="H194" s="37">
        <f t="shared" si="505"/>
        <v>0.61741259850107066</v>
      </c>
      <c r="I194" s="37">
        <f t="shared" si="505"/>
        <v>0.2939499979125586</v>
      </c>
      <c r="J194" s="38">
        <f t="shared" si="505"/>
        <v>54725.127</v>
      </c>
      <c r="K194" s="37">
        <f t="shared" si="505"/>
        <v>0.94899607174110645</v>
      </c>
      <c r="L194" s="7">
        <f t="shared" si="505"/>
        <v>1272.4287031967485</v>
      </c>
      <c r="M194" s="38">
        <f t="shared" si="505"/>
        <v>49787.620999999999</v>
      </c>
      <c r="N194" s="37">
        <f t="shared" si="505"/>
        <v>0.90977625323738398</v>
      </c>
      <c r="O194" s="50">
        <f t="shared" si="505"/>
        <v>3438.0121988376263</v>
      </c>
      <c r="P194" s="98">
        <f t="shared" si="505"/>
        <v>0.53305804068522478</v>
      </c>
      <c r="Q194" s="110">
        <f>INDEX(Daggett!$B$7:$M$21, MATCH(D194,Daggett!$A$7:$A$21,0), MATCH(B$189,Daggett!$B$6:$M$6,0))</f>
        <v>661.06451612903231</v>
      </c>
      <c r="R194" s="4">
        <f t="shared" si="475"/>
        <v>0.82707798257505882</v>
      </c>
      <c r="S194" s="98">
        <f t="shared" si="482"/>
        <v>0.44088056888534932</v>
      </c>
      <c r="T194" s="111">
        <f t="shared" si="483"/>
        <v>0.8856873902229252</v>
      </c>
      <c r="U194" s="98">
        <f t="shared" si="484"/>
        <v>0.47212278489184262</v>
      </c>
      <c r="AE194" s="38">
        <v>14</v>
      </c>
      <c r="AF194" s="93">
        <v>75185.256331427139</v>
      </c>
      <c r="AG194" s="37">
        <f t="shared" si="485"/>
        <v>0.80498133117159676</v>
      </c>
      <c r="AH194" s="38">
        <v>54398.512999999999</v>
      </c>
      <c r="AI194" s="37">
        <f t="shared" si="486"/>
        <v>0.58242519271948612</v>
      </c>
      <c r="AJ194" s="37">
        <f t="shared" si="487"/>
        <v>0.21355833093641718</v>
      </c>
      <c r="AK194" s="38">
        <v>50378.881999999998</v>
      </c>
      <c r="AL194" s="37">
        <f t="shared" si="488"/>
        <v>0.92610770445140655</v>
      </c>
      <c r="AM194" s="7">
        <f t="shared" si="476"/>
        <v>1171.3729872524921</v>
      </c>
      <c r="AN194" s="38">
        <v>45876.69</v>
      </c>
      <c r="AO194" s="37">
        <f t="shared" si="489"/>
        <v>0.9106333483144784</v>
      </c>
      <c r="AP194" s="50">
        <f t="shared" si="477"/>
        <v>3167.9485119863862</v>
      </c>
      <c r="AQ194" s="98">
        <f t="shared" si="490"/>
        <v>0.49118511777301932</v>
      </c>
      <c r="AR194" s="110">
        <f>INDEX(Daggett!$B$7:$M$21, MATCH(AE194,Daggett!$A$7:$A$21,0), MATCH(AC$189,Daggett!$B$6:$M$6,0))</f>
        <v>661.06451612903231</v>
      </c>
      <c r="AS194" s="4">
        <f t="shared" si="478"/>
        <v>0.81233659476940545</v>
      </c>
      <c r="AT194" s="98">
        <f t="shared" si="491"/>
        <v>0.39900764597314387</v>
      </c>
      <c r="AU194" s="111">
        <f t="shared" si="492"/>
        <v>0.87594238182611051</v>
      </c>
      <c r="AV194" s="98">
        <f t="shared" si="493"/>
        <v>0.43024986197963716</v>
      </c>
      <c r="AW194" s="38"/>
      <c r="AX194" s="37"/>
      <c r="AY194" s="38"/>
      <c r="AZ194" s="37"/>
      <c r="BA194" s="37"/>
      <c r="BB194" s="38"/>
      <c r="BC194" s="37"/>
      <c r="BF194" s="38">
        <v>14</v>
      </c>
      <c r="BG194" s="93">
        <f>AF190</f>
        <v>56416.725121724325</v>
      </c>
      <c r="BH194" s="37">
        <f t="shared" si="494"/>
        <v>0.60403345954736964</v>
      </c>
      <c r="BI194" s="38">
        <f t="shared" ref="BI194:BQ194" si="506">AH190</f>
        <v>46900.769500000002</v>
      </c>
      <c r="BJ194" s="37">
        <f t="shared" si="506"/>
        <v>0.50214956638115638</v>
      </c>
      <c r="BK194" s="37">
        <f t="shared" si="506"/>
        <v>9.6383259173293823E-2</v>
      </c>
      <c r="BL194" s="38">
        <f t="shared" si="506"/>
        <v>40311.739000000001</v>
      </c>
      <c r="BM194" s="37">
        <f t="shared" si="506"/>
        <v>0.85951124959687497</v>
      </c>
      <c r="BN194" s="7">
        <f t="shared" si="506"/>
        <v>937.29912731633851</v>
      </c>
      <c r="BO194" s="38">
        <f t="shared" si="506"/>
        <v>36962.902000000002</v>
      </c>
      <c r="BP194" s="37">
        <f t="shared" si="506"/>
        <v>0.91692650619711547</v>
      </c>
      <c r="BQ194" s="50">
        <f t="shared" si="506"/>
        <v>2552.4197667616954</v>
      </c>
      <c r="BR194" s="98">
        <f t="shared" si="496"/>
        <v>0.3957484154175589</v>
      </c>
      <c r="BS194" s="110">
        <f>INDEX(Daggett!$B$7:$M$21, MATCH(BF194,Daggett!$A$7:$A$21,0), MATCH(BD$189,Daggett!$B$6:$M$6,0))</f>
        <v>661.06451612903231</v>
      </c>
      <c r="BT194" s="4">
        <f t="shared" si="480"/>
        <v>0.76708062948876776</v>
      </c>
      <c r="BU194" s="98">
        <f t="shared" si="497"/>
        <v>0.30357094361768344</v>
      </c>
      <c r="BV194" s="111">
        <f t="shared" si="498"/>
        <v>0.84602526903591346</v>
      </c>
      <c r="BW194" s="98">
        <f t="shared" si="499"/>
        <v>0.33481315962417668</v>
      </c>
      <c r="BX194" s="38"/>
      <c r="BY194" s="37"/>
      <c r="BZ194" s="37"/>
      <c r="CA194" s="38"/>
      <c r="CB194" s="37"/>
      <c r="CC194" s="7"/>
      <c r="CD194" s="41"/>
      <c r="CE194" s="37"/>
    </row>
    <row r="195" spans="3:84">
      <c r="C195" s="7" t="s">
        <v>160</v>
      </c>
      <c r="D195" s="38">
        <v>15</v>
      </c>
      <c r="E195" s="93">
        <f>E189</f>
        <v>85546.900712254195</v>
      </c>
      <c r="F195" s="37">
        <f t="shared" si="481"/>
        <v>0.91591970783998067</v>
      </c>
      <c r="G195" s="38">
        <f t="shared" ref="G195:P195" si="507">G189</f>
        <v>50705.205000000002</v>
      </c>
      <c r="H195" s="37">
        <f t="shared" si="507"/>
        <v>0.54288228051391862</v>
      </c>
      <c r="I195" s="37">
        <f t="shared" si="507"/>
        <v>0.35574108702953056</v>
      </c>
      <c r="J195" s="38">
        <f t="shared" si="507"/>
        <v>47789.678999999996</v>
      </c>
      <c r="K195" s="37">
        <f t="shared" si="507"/>
        <v>0.94250045927237636</v>
      </c>
      <c r="L195" s="7">
        <f t="shared" si="507"/>
        <v>1111.1707292366609</v>
      </c>
      <c r="M195" s="38">
        <f t="shared" si="507"/>
        <v>43305.49</v>
      </c>
      <c r="N195" s="37">
        <f t="shared" si="507"/>
        <v>0.90616825444673943</v>
      </c>
      <c r="O195" s="50">
        <f t="shared" si="507"/>
        <v>2990.3980127237014</v>
      </c>
      <c r="P195" s="98">
        <f t="shared" si="507"/>
        <v>0.46365620985010703</v>
      </c>
      <c r="Q195" s="110">
        <f>INDEX(Daggett!$B$7:$M$21, MATCH(D195,Daggett!$A$7:$A$21,0), MATCH(B$189,Daggett!$B$6:$M$6,0))</f>
        <v>568.09677419354841</v>
      </c>
      <c r="R195" s="4">
        <f t="shared" si="475"/>
        <v>0.7686602645824876</v>
      </c>
      <c r="S195" s="98">
        <f t="shared" si="482"/>
        <v>0.35639410493869667</v>
      </c>
      <c r="T195" s="111">
        <f t="shared" si="483"/>
        <v>0.86857664256652223</v>
      </c>
      <c r="U195" s="98">
        <f t="shared" si="484"/>
        <v>0.40272095405672481</v>
      </c>
      <c r="AD195" s="7" t="s">
        <v>160</v>
      </c>
      <c r="AE195" s="38">
        <v>15</v>
      </c>
      <c r="AF195" s="93">
        <v>77086.754326225957</v>
      </c>
      <c r="AG195" s="37">
        <f t="shared" si="485"/>
        <v>0.82533998207950698</v>
      </c>
      <c r="AH195" s="38">
        <v>50838.269</v>
      </c>
      <c r="AI195" s="37">
        <f t="shared" si="486"/>
        <v>0.544306948608137</v>
      </c>
      <c r="AJ195" s="37">
        <f t="shared" si="487"/>
        <v>0.28315845534725803</v>
      </c>
      <c r="AK195" s="38">
        <v>47412.432999999997</v>
      </c>
      <c r="AL195" s="37">
        <f t="shared" si="488"/>
        <v>0.93261304785967436</v>
      </c>
      <c r="AM195" s="7">
        <f t="shared" si="476"/>
        <v>1102.3992806374433</v>
      </c>
      <c r="AN195" s="38">
        <v>43255.02622</v>
      </c>
      <c r="AO195" s="37">
        <f t="shared" si="489"/>
        <v>0.91231399620432896</v>
      </c>
      <c r="AP195" s="50">
        <f t="shared" si="477"/>
        <v>2986.9133093425248</v>
      </c>
      <c r="AQ195" s="98">
        <f t="shared" si="490"/>
        <v>0.46311591241970024</v>
      </c>
      <c r="AR195" s="110">
        <f>INDEX(Daggett!$B$7:$M$21, MATCH(AE195,Daggett!$A$7:$A$21,0), MATCH(AC$189,Daggett!$B$6:$M$6,0))</f>
        <v>568.09677419354841</v>
      </c>
      <c r="AS195" s="4">
        <f t="shared" si="478"/>
        <v>0.76839037045610359</v>
      </c>
      <c r="AT195" s="98">
        <f t="shared" si="491"/>
        <v>0.35585380750828988</v>
      </c>
      <c r="AU195" s="111">
        <f t="shared" si="492"/>
        <v>0.86842331658394967</v>
      </c>
      <c r="AV195" s="98">
        <f t="shared" si="493"/>
        <v>0.40218065662631802</v>
      </c>
      <c r="AW195" s="38"/>
      <c r="AX195" s="37"/>
      <c r="AY195" s="38"/>
      <c r="AZ195" s="37"/>
      <c r="BA195" s="37"/>
      <c r="BB195" s="38"/>
      <c r="BC195" s="37"/>
      <c r="BE195" s="7" t="s">
        <v>160</v>
      </c>
      <c r="BF195" s="38">
        <v>15</v>
      </c>
      <c r="BG195" s="93">
        <f>AF189</f>
        <v>49483.351554899993</v>
      </c>
      <c r="BH195" s="37">
        <f t="shared" si="494"/>
        <v>0.52980033784689495</v>
      </c>
      <c r="BI195" s="38">
        <f t="shared" ref="BI195:BQ195" si="508">AH189</f>
        <v>37791.339999999997</v>
      </c>
      <c r="BJ195" s="37">
        <f t="shared" si="508"/>
        <v>0.40461820128479653</v>
      </c>
      <c r="BK195" s="37">
        <f t="shared" si="508"/>
        <v>0.16987143781708458</v>
      </c>
      <c r="BL195" s="38">
        <f t="shared" si="508"/>
        <v>31399.024300000001</v>
      </c>
      <c r="BM195" s="37">
        <f t="shared" si="508"/>
        <v>0.83085236723545675</v>
      </c>
      <c r="BN195" s="7">
        <f t="shared" si="508"/>
        <v>730.0671914693263</v>
      </c>
      <c r="BO195" s="38">
        <f t="shared" si="508"/>
        <v>28875.782999999999</v>
      </c>
      <c r="BP195" s="37">
        <f t="shared" si="508"/>
        <v>0.91963949975350023</v>
      </c>
      <c r="BQ195" s="50">
        <f t="shared" si="508"/>
        <v>1993.9754543601941</v>
      </c>
      <c r="BR195" s="98">
        <f t="shared" si="496"/>
        <v>0.30916255888650962</v>
      </c>
      <c r="BS195" s="110">
        <f>INDEX(Daggett!$B$7:$M$21, MATCH(BF195,Daggett!$A$7:$A$21,0), MATCH(BD$189,Daggett!$B$6:$M$6,0))</f>
        <v>568.09677419354841</v>
      </c>
      <c r="BT195" s="4">
        <f t="shared" si="480"/>
        <v>0.65305596739227023</v>
      </c>
      <c r="BU195" s="98">
        <f t="shared" si="497"/>
        <v>0.20190045397509926</v>
      </c>
      <c r="BV195" s="111">
        <f t="shared" si="498"/>
        <v>0.80290221424984742</v>
      </c>
      <c r="BW195" s="98">
        <f t="shared" si="499"/>
        <v>0.2482273030931274</v>
      </c>
      <c r="BX195" s="38"/>
      <c r="BY195" s="37"/>
      <c r="BZ195" s="37"/>
      <c r="CA195" s="38"/>
      <c r="CB195" s="37"/>
      <c r="CC195" s="7"/>
      <c r="CD195" s="41"/>
      <c r="CE195" s="37"/>
    </row>
    <row r="196" spans="3:84">
      <c r="C196" s="7">
        <f>ROW(D196)-ROW(D188)+1</f>
        <v>9</v>
      </c>
      <c r="D196" s="38">
        <v>16</v>
      </c>
      <c r="E196" s="99">
        <f>E188</f>
        <v>81145.954949300212</v>
      </c>
      <c r="F196" s="100">
        <f t="shared" si="481"/>
        <v>0.86880037418950973</v>
      </c>
      <c r="G196" s="101">
        <f t="shared" ref="G196:P196" si="509">G188</f>
        <v>32603.66</v>
      </c>
      <c r="H196" s="100">
        <f t="shared" si="509"/>
        <v>0.34907558886509638</v>
      </c>
      <c r="I196" s="100">
        <f t="shared" si="509"/>
        <v>0.56327138066577365</v>
      </c>
      <c r="J196" s="101">
        <f t="shared" si="509"/>
        <v>30422.002</v>
      </c>
      <c r="K196" s="100">
        <f t="shared" si="509"/>
        <v>0.93308548794828561</v>
      </c>
      <c r="L196" s="102">
        <f t="shared" si="509"/>
        <v>707.35018218429889</v>
      </c>
      <c r="M196" s="101">
        <f t="shared" si="509"/>
        <v>27270.719000000001</v>
      </c>
      <c r="N196" s="100">
        <f t="shared" si="509"/>
        <v>0.89641434511772111</v>
      </c>
      <c r="O196" s="103">
        <f t="shared" si="509"/>
        <v>1883.1400800024776</v>
      </c>
      <c r="P196" s="109">
        <f t="shared" si="509"/>
        <v>0.29197771948608137</v>
      </c>
      <c r="Q196" s="112">
        <f>INDEX(Daggett!$B$7:$M$21, MATCH(D196,Daggett!$A$7:$A$21,0), MATCH(B$189,Daggett!$B$6:$M$6,0))</f>
        <v>409.22580645161293</v>
      </c>
      <c r="R196" s="113">
        <f t="shared" si="475"/>
        <v>0.49001674894918978</v>
      </c>
      <c r="S196" s="109">
        <f t="shared" si="482"/>
        <v>0.14307397286816809</v>
      </c>
      <c r="T196" s="115">
        <f t="shared" si="483"/>
        <v>0.79130169281191676</v>
      </c>
      <c r="U196" s="109">
        <f t="shared" si="484"/>
        <v>0.23104246369269915</v>
      </c>
      <c r="AD196" s="7">
        <f>ROW(AE196)-ROW(AE188)+1</f>
        <v>9</v>
      </c>
      <c r="AE196" s="38">
        <v>16</v>
      </c>
      <c r="AF196" s="99">
        <v>77755.063627606374</v>
      </c>
      <c r="AG196" s="100">
        <f t="shared" si="485"/>
        <v>0.83249532791869785</v>
      </c>
      <c r="AH196" s="101">
        <v>32445.083999999999</v>
      </c>
      <c r="AI196" s="100">
        <f t="shared" si="486"/>
        <v>0.34737777301927192</v>
      </c>
      <c r="AJ196" s="100">
        <f t="shared" si="487"/>
        <v>0.5464424565186411</v>
      </c>
      <c r="AK196" s="101">
        <v>30135.742999999999</v>
      </c>
      <c r="AL196" s="100">
        <f t="shared" si="488"/>
        <v>0.92882308456960694</v>
      </c>
      <c r="AM196" s="102">
        <f t="shared" si="476"/>
        <v>700.69429688779871</v>
      </c>
      <c r="AN196" s="101">
        <v>26972.6986</v>
      </c>
      <c r="AO196" s="100">
        <f t="shared" si="489"/>
        <v>0.89504010569774239</v>
      </c>
      <c r="AP196" s="103">
        <f t="shared" si="477"/>
        <v>1862.5607120768145</v>
      </c>
      <c r="AQ196" s="109">
        <f t="shared" si="490"/>
        <v>0.28878692291220559</v>
      </c>
      <c r="AR196" s="112">
        <f>INDEX(Daggett!$B$7:$M$21, MATCH(AE196,Daggett!$A$7:$A$21,0), MATCH(AC$189,Daggett!$B$6:$M$6,0))</f>
        <v>409.22580645161293</v>
      </c>
      <c r="AS196" s="113">
        <f t="shared" si="478"/>
        <v>0.48438196191043703</v>
      </c>
      <c r="AT196" s="109">
        <f t="shared" si="491"/>
        <v>0.13988317629429228</v>
      </c>
      <c r="AU196" s="115">
        <f t="shared" si="492"/>
        <v>0.78899579254180019</v>
      </c>
      <c r="AV196" s="109">
        <f t="shared" si="493"/>
        <v>0.2278516671188234</v>
      </c>
      <c r="AW196" s="38"/>
      <c r="AX196" s="37"/>
      <c r="AY196" s="38"/>
      <c r="AZ196" s="37"/>
      <c r="BA196" s="37"/>
      <c r="BB196" s="38"/>
      <c r="BC196" s="37"/>
      <c r="BE196" s="7">
        <f>ROW(BF196)-ROW(BF188)+1</f>
        <v>9</v>
      </c>
      <c r="BF196" s="38">
        <v>16</v>
      </c>
      <c r="BG196" s="99">
        <f>AF188</f>
        <v>42019.424304093271</v>
      </c>
      <c r="BH196" s="100">
        <f t="shared" si="494"/>
        <v>0.44988676985110571</v>
      </c>
      <c r="BI196" s="101">
        <f t="shared" ref="BI196:BQ196" si="510">AH188</f>
        <v>27801.181499999999</v>
      </c>
      <c r="BJ196" s="100">
        <f t="shared" si="510"/>
        <v>0.29765718950749465</v>
      </c>
      <c r="BK196" s="100">
        <f t="shared" si="510"/>
        <v>0.2808403245892509</v>
      </c>
      <c r="BL196" s="101">
        <f t="shared" si="510"/>
        <v>21549.756000000001</v>
      </c>
      <c r="BM196" s="100">
        <f t="shared" si="510"/>
        <v>0.77513813576592072</v>
      </c>
      <c r="BN196" s="102">
        <f t="shared" si="510"/>
        <v>501.0591950071921</v>
      </c>
      <c r="BO196" s="101">
        <f t="shared" si="510"/>
        <v>19728.036800000002</v>
      </c>
      <c r="BP196" s="100">
        <f t="shared" si="510"/>
        <v>0.91546450920372369</v>
      </c>
      <c r="BQ196" s="103">
        <f t="shared" si="510"/>
        <v>1362.2910638272435</v>
      </c>
      <c r="BR196" s="109">
        <f t="shared" si="496"/>
        <v>0.21122095074946468</v>
      </c>
      <c r="BS196" s="112">
        <f>INDEX(Daggett!$B$7:$M$21, MATCH(BF196,Daggett!$A$7:$A$21,0), MATCH(BD$189,Daggett!$B$6:$M$6,0))</f>
        <v>409.22580645161293</v>
      </c>
      <c r="BT196" s="113">
        <f t="shared" si="480"/>
        <v>0.2950332526694649</v>
      </c>
      <c r="BU196" s="109">
        <f t="shared" si="497"/>
        <v>6.231720413155141E-2</v>
      </c>
      <c r="BV196" s="115">
        <f t="shared" si="498"/>
        <v>0.71150941430209125</v>
      </c>
      <c r="BW196" s="109">
        <f t="shared" si="499"/>
        <v>0.15028569495608246</v>
      </c>
      <c r="BX196" s="38"/>
      <c r="BY196" s="37"/>
      <c r="BZ196" s="37"/>
      <c r="CA196" s="38"/>
      <c r="CB196" s="37"/>
      <c r="CC196" s="7"/>
      <c r="CD196" s="41"/>
      <c r="CE196" s="37"/>
    </row>
    <row r="197" spans="3:84">
      <c r="F197" s="37"/>
      <c r="AV197" s="38"/>
      <c r="AW197" s="38"/>
      <c r="AX197" s="37"/>
      <c r="AY197" s="38"/>
      <c r="AZ197" s="37"/>
      <c r="BA197" s="37"/>
      <c r="BB197" s="38"/>
      <c r="BC197" s="37"/>
      <c r="BG197" s="50"/>
      <c r="BH197" s="4"/>
      <c r="BI197" s="4"/>
      <c r="BJ197" s="4"/>
      <c r="BU197" s="38"/>
      <c r="BV197" s="38"/>
      <c r="BW197" s="37"/>
      <c r="BX197" s="38"/>
      <c r="BY197" s="37"/>
      <c r="BZ197" s="37"/>
      <c r="CA197" s="38"/>
      <c r="CB197" s="37"/>
      <c r="CC197" s="7"/>
      <c r="CD197" s="41"/>
      <c r="CE197" s="37"/>
    </row>
    <row r="198" spans="3:84">
      <c r="AV198" s="38"/>
      <c r="AW198" s="38"/>
      <c r="AX198" s="37"/>
      <c r="AY198" s="38"/>
      <c r="AZ198" s="37"/>
      <c r="BA198" s="37"/>
      <c r="BB198" s="38"/>
      <c r="BC198" s="37"/>
      <c r="BG198" s="50"/>
      <c r="BH198" s="4"/>
      <c r="BI198" s="4"/>
      <c r="BJ198" s="4"/>
      <c r="BU198" s="38"/>
      <c r="BV198" s="38"/>
      <c r="BW198" s="37"/>
      <c r="BX198" s="38"/>
      <c r="BY198" s="37"/>
      <c r="BZ198" s="37"/>
      <c r="CA198" s="38"/>
      <c r="CB198" s="37"/>
      <c r="CC198" s="7"/>
      <c r="CD198" s="41"/>
      <c r="CE198" s="37"/>
    </row>
    <row r="199" spans="3:84">
      <c r="AV199" s="38"/>
      <c r="AW199" s="38"/>
      <c r="AX199" s="37"/>
      <c r="AY199" s="38"/>
      <c r="AZ199" s="37"/>
      <c r="BA199" s="37"/>
      <c r="BB199" s="38"/>
      <c r="BC199" s="37"/>
      <c r="BG199" s="50"/>
      <c r="BH199" s="4"/>
      <c r="BI199" s="4"/>
      <c r="BJ199" s="4"/>
      <c r="BU199" s="38"/>
      <c r="BV199" s="38"/>
      <c r="BW199" s="37"/>
      <c r="BX199" s="38"/>
      <c r="BY199" s="37"/>
      <c r="BZ199" s="37"/>
      <c r="CA199" s="38"/>
      <c r="CB199" s="37"/>
      <c r="CC199" s="7"/>
      <c r="CD199" s="41"/>
      <c r="CE199" s="37"/>
    </row>
    <row r="200" spans="3:84">
      <c r="D200" s="3" t="s">
        <v>168</v>
      </c>
      <c r="E200" s="38">
        <f>MIN(E35:E196)</f>
        <v>61037.242809329844</v>
      </c>
      <c r="F200" s="37">
        <f t="shared" ref="F200:Q200" si="511">MIN(F35:F196)</f>
        <v>0.65350367033543733</v>
      </c>
      <c r="G200" s="38">
        <f t="shared" si="511"/>
        <v>28328.52</v>
      </c>
      <c r="H200" s="37">
        <f t="shared" si="511"/>
        <v>0.30330321199143467</v>
      </c>
      <c r="I200" s="37">
        <f t="shared" si="511"/>
        <v>9.1278014519556638E-2</v>
      </c>
      <c r="J200" s="38">
        <f t="shared" si="511"/>
        <v>24462.239000000001</v>
      </c>
      <c r="K200" s="37">
        <f t="shared" si="511"/>
        <v>0.86351983795835441</v>
      </c>
      <c r="L200" s="7">
        <f t="shared" si="511"/>
        <v>568.77812358587914</v>
      </c>
      <c r="M200" s="38">
        <f t="shared" si="511"/>
        <v>22107.993900000001</v>
      </c>
      <c r="N200" s="37">
        <f t="shared" si="511"/>
        <v>0.89641434511772111</v>
      </c>
      <c r="O200" s="50">
        <f t="shared" si="511"/>
        <v>1526.6355610770763</v>
      </c>
      <c r="P200" s="4">
        <f t="shared" si="511"/>
        <v>0.23670229014989294</v>
      </c>
      <c r="Q200" s="7">
        <f t="shared" si="511"/>
        <v>264</v>
      </c>
      <c r="R200" s="4">
        <f t="array" ref="R200">MIN(IF(ISNUMBER(R35:R196),R35:R196,FALSE))</f>
        <v>0.13246450340759219</v>
      </c>
      <c r="S200" s="4">
        <f t="array" ref="S200">MIN(IF(ISNUMBER(S35:S196),S35:S196,FALSE))</f>
        <v>3.1354651320145373E-2</v>
      </c>
      <c r="T200" s="4">
        <f t="array" ref="T200">MIN(IF(ISNUMBER(T35:T196),T35:T196,FALSE))</f>
        <v>0.74256583764020778</v>
      </c>
      <c r="U200" s="4">
        <f t="array" ref="U200">MIN(IF(ISNUMBER(U35:U196),U35:U196,FALSE))</f>
        <v>0.17576703435651075</v>
      </c>
      <c r="AE200" s="3" t="s">
        <v>168</v>
      </c>
      <c r="AF200" s="38">
        <f>MIN(AF35:AF196)</f>
        <v>42019.424304093271</v>
      </c>
      <c r="AG200" s="37">
        <f t="shared" ref="AG200:AR200" si="512">MIN(AG35:AG196)</f>
        <v>0.44988676985110571</v>
      </c>
      <c r="AH200" s="38">
        <f t="shared" si="512"/>
        <v>25025.050200000001</v>
      </c>
      <c r="AI200" s="37">
        <f t="shared" si="512"/>
        <v>0.26793415631691653</v>
      </c>
      <c r="AJ200" s="37">
        <f t="shared" si="512"/>
        <v>1.0457700199084208E-2</v>
      </c>
      <c r="AK200" s="38">
        <f t="shared" si="512"/>
        <v>19879.028620000001</v>
      </c>
      <c r="AL200" s="37">
        <f t="shared" si="512"/>
        <v>0.77513813576592072</v>
      </c>
      <c r="AM200" s="7">
        <f t="shared" si="512"/>
        <v>462.21266161260166</v>
      </c>
      <c r="AN200" s="38">
        <f t="shared" si="512"/>
        <v>18446.386999999999</v>
      </c>
      <c r="AO200" s="37">
        <f t="shared" si="512"/>
        <v>0.89060269799828051</v>
      </c>
      <c r="AP200" s="50">
        <f t="shared" si="512"/>
        <v>1273.7885895467832</v>
      </c>
      <c r="AQ200" s="4">
        <f t="shared" si="512"/>
        <v>0.19749879014989291</v>
      </c>
      <c r="AR200" s="7">
        <f t="shared" si="512"/>
        <v>264</v>
      </c>
      <c r="AS200" s="4">
        <f t="array" ref="AS200">MIN(IF(ISNUMBER(AS35:AS196),AS35:AS196,FALSE))</f>
        <v>5.3584781389695468E-2</v>
      </c>
      <c r="AT200" s="4">
        <f t="array" ref="AT200">MIN(IF(ISNUMBER(AT35:AT196),AT35:AT196,FALSE))</f>
        <v>0</v>
      </c>
      <c r="AU200" s="4">
        <f t="array" ref="AU200">MIN(IF(ISNUMBER(AU35:AU196),AU35:AU196,FALSE))</f>
        <v>0.6914651692441508</v>
      </c>
      <c r="AV200" s="4">
        <f t="array" ref="AV200">MIN(IF(ISNUMBER(AV35:AV196),AV35:AV196,FALSE))</f>
        <v>0.13656353435651072</v>
      </c>
      <c r="AW200" s="38"/>
      <c r="AX200" s="37"/>
      <c r="AY200" s="38"/>
      <c r="AZ200" s="37"/>
      <c r="BA200" s="37"/>
      <c r="BB200" s="38"/>
      <c r="BC200" s="37"/>
      <c r="BF200" s="3" t="s">
        <v>168</v>
      </c>
      <c r="BG200" s="38">
        <f>MIN(BG35:BG196)</f>
        <v>42019.424304093271</v>
      </c>
      <c r="BH200" s="37">
        <f t="shared" ref="BH200:BS200" si="513">MIN(BH35:BH196)</f>
        <v>0.44988676985110571</v>
      </c>
      <c r="BI200" s="38">
        <f t="shared" si="513"/>
        <v>25025.050200000001</v>
      </c>
      <c r="BJ200" s="37">
        <f t="shared" si="513"/>
        <v>0.26793415631691653</v>
      </c>
      <c r="BK200" s="37">
        <f t="shared" si="513"/>
        <v>1.0457700199084208E-2</v>
      </c>
      <c r="BL200" s="38">
        <f t="shared" si="513"/>
        <v>19879.028620000001</v>
      </c>
      <c r="BM200" s="37">
        <f t="shared" si="513"/>
        <v>0.77513813576592072</v>
      </c>
      <c r="BN200" s="7">
        <f t="shared" si="513"/>
        <v>462.21266161260166</v>
      </c>
      <c r="BO200" s="38">
        <f t="shared" si="513"/>
        <v>18446.386999999999</v>
      </c>
      <c r="BP200" s="37">
        <f t="shared" si="513"/>
        <v>0.89060269799828051</v>
      </c>
      <c r="BQ200" s="50">
        <f t="shared" si="513"/>
        <v>1273.7885895467832</v>
      </c>
      <c r="BR200" s="4">
        <f t="shared" si="513"/>
        <v>0.19749879014989291</v>
      </c>
      <c r="BS200" s="7">
        <f t="shared" si="513"/>
        <v>264</v>
      </c>
      <c r="BT200" s="4">
        <f t="array" ref="BT200">MIN(IF(ISNUMBER(BT35:BT196),BT35:BT196,FALSE))</f>
        <v>0.21505769951652476</v>
      </c>
      <c r="BU200" s="4">
        <f t="array" ref="BU200">MIN(IF(ISNUMBER(BU35:BU196),BU35:BU196,FALSE))</f>
        <v>5.6260938900445201E-2</v>
      </c>
      <c r="BV200" s="4">
        <f t="array" ref="BV200">MIN(IF(ISNUMBER(BV35:BV196),BV35:BV196,FALSE))</f>
        <v>0.6914651692441508</v>
      </c>
      <c r="BW200" s="4">
        <f t="array" ref="BW200">MIN(IF(ISNUMBER(BW35:BW196),BW35:BW196,FALSE))</f>
        <v>0.13656353435651072</v>
      </c>
      <c r="BX200" s="38"/>
      <c r="BY200" s="37"/>
      <c r="BZ200" s="37"/>
      <c r="CA200" s="38"/>
      <c r="CB200" s="37"/>
      <c r="CC200" s="7"/>
      <c r="CD200" s="41"/>
      <c r="CE200" s="37"/>
    </row>
    <row r="201" spans="3:84">
      <c r="D201" s="3" t="s">
        <v>169</v>
      </c>
      <c r="E201" s="38">
        <f>AVERAGE(E35:E196)</f>
        <v>81964.53645951084</v>
      </c>
      <c r="F201" s="37">
        <f t="shared" ref="F201:Q201" si="514">AVERAGE(F35:F196)</f>
        <v>0.8775646301874821</v>
      </c>
      <c r="G201" s="38">
        <f t="shared" si="514"/>
        <v>59255.081635937502</v>
      </c>
      <c r="H201" s="37">
        <f t="shared" si="514"/>
        <v>0.63442271558819585</v>
      </c>
      <c r="I201" s="37">
        <f t="shared" si="514"/>
        <v>0.2213569540068992</v>
      </c>
      <c r="J201" s="38">
        <f t="shared" si="514"/>
        <v>55779.299965624996</v>
      </c>
      <c r="K201" s="37">
        <f t="shared" si="514"/>
        <v>0.93751061196516283</v>
      </c>
      <c r="L201" s="7">
        <f t="shared" si="514"/>
        <v>1296.9395634382479</v>
      </c>
      <c r="M201" s="38">
        <f t="shared" si="514"/>
        <v>50918.709958750012</v>
      </c>
      <c r="N201" s="37">
        <f t="shared" si="514"/>
        <v>0.9121135151712394</v>
      </c>
      <c r="O201" s="50">
        <f t="shared" si="514"/>
        <v>3516.1179118652303</v>
      </c>
      <c r="P201" s="4">
        <f t="shared" si="514"/>
        <v>0.54516820084314743</v>
      </c>
      <c r="Q201" s="7">
        <f t="shared" si="514"/>
        <v>682.00609218990019</v>
      </c>
      <c r="R201" s="4">
        <f t="array" ref="R201">AVERAGE(IF(ISNUMBER(R35:R196),R35:R196,FALSE))</f>
        <v>0.79138882039829617</v>
      </c>
      <c r="S201" s="4">
        <f t="array" ref="S201">AVERAGE(IF(ISNUMBER(S35:S196),S35:S196,FALSE))</f>
        <v>0.45035939854415169</v>
      </c>
      <c r="T201" s="4">
        <f t="array" ref="T201">AVERAGE(IF(ISNUMBER(T35:T196),T35:T196,FALSE))</f>
        <v>0.87865293915706189</v>
      </c>
      <c r="U201" s="4">
        <f t="array" ref="U201">AVERAGE(IF(ISNUMBER(U35:U196),U35:U196,FALSE))</f>
        <v>0.48423294504976561</v>
      </c>
      <c r="AE201" s="3" t="s">
        <v>169</v>
      </c>
      <c r="AF201" s="38">
        <f>AVERAGE(AF35:AF196)</f>
        <v>72217.2510219658</v>
      </c>
      <c r="AG201" s="37">
        <f t="shared" ref="AG201:AR201" si="515">AVERAGE(AG35:AG196)</f>
        <v>0.77320397239792005</v>
      </c>
      <c r="AH201" s="38">
        <f t="shared" si="515"/>
        <v>55185.517221460927</v>
      </c>
      <c r="AI201" s="37">
        <f t="shared" si="515"/>
        <v>0.5908513621141428</v>
      </c>
      <c r="AJ201" s="37">
        <f t="shared" si="515"/>
        <v>0.16302079154879501</v>
      </c>
      <c r="AK201" s="38">
        <f t="shared" si="515"/>
        <v>50574.305808982615</v>
      </c>
      <c r="AL201" s="37">
        <f t="shared" si="515"/>
        <v>0.90933796449160775</v>
      </c>
      <c r="AM201" s="7">
        <f t="shared" si="515"/>
        <v>1175.9168389979163</v>
      </c>
      <c r="AN201" s="38">
        <f t="shared" si="515"/>
        <v>46366.024841992206</v>
      </c>
      <c r="AO201" s="37">
        <f t="shared" si="515"/>
        <v>0.91664873023360594</v>
      </c>
      <c r="AP201" s="50">
        <f t="shared" si="515"/>
        <v>3201.7388221537576</v>
      </c>
      <c r="AQ201" s="4">
        <f t="shared" si="515"/>
        <v>0.49642424884359948</v>
      </c>
      <c r="AR201" s="7">
        <f t="shared" si="515"/>
        <v>689.57587545602917</v>
      </c>
      <c r="AS201" s="4">
        <f t="array" ref="AS201">AVERAGE(IF(ISNUMBER(AS35:AS196),AS35:AS196,FALSE))</f>
        <v>0.780197192028938</v>
      </c>
      <c r="AT201" s="4">
        <f t="array" ref="AT201">AVERAGE(IF(ISNUMBER(AT35:AT196),AT35:AT196,FALSE))</f>
        <v>0.40578236875799101</v>
      </c>
      <c r="AU201" s="4">
        <f t="array" ref="AU201">AVERAGE(IF(ISNUMBER(AU35:AU196),AU35:AU196,FALSE))</f>
        <v>0.86529410301115262</v>
      </c>
      <c r="AV201" s="4">
        <f t="array" ref="AV201">AVERAGE(IF(ISNUMBER(AV35:AV196),AV35:AV196,FALSE))</f>
        <v>0.4354889930502171</v>
      </c>
      <c r="AW201" s="38"/>
      <c r="AX201" s="37"/>
      <c r="AY201" s="38"/>
      <c r="AZ201" s="37"/>
      <c r="BA201" s="37"/>
      <c r="BB201" s="38"/>
      <c r="BC201" s="37"/>
      <c r="BF201" s="3" t="s">
        <v>169</v>
      </c>
      <c r="BG201" s="38">
        <f>AVERAGE(BG35:BG196)</f>
        <v>72217.251021965785</v>
      </c>
      <c r="BH201" s="37">
        <f t="shared" ref="BH201:BS201" si="516">AVERAGE(BH35:BH196)</f>
        <v>0.77320397239791994</v>
      </c>
      <c r="BI201" s="38">
        <f t="shared" si="516"/>
        <v>55185.517221460934</v>
      </c>
      <c r="BJ201" s="37">
        <f t="shared" si="516"/>
        <v>0.5908513621141428</v>
      </c>
      <c r="BK201" s="37">
        <f t="shared" si="516"/>
        <v>0.16302079154879504</v>
      </c>
      <c r="BL201" s="38">
        <f t="shared" si="516"/>
        <v>50574.305808982615</v>
      </c>
      <c r="BM201" s="37">
        <f t="shared" si="516"/>
        <v>0.90933796449160753</v>
      </c>
      <c r="BN201" s="7">
        <f t="shared" si="516"/>
        <v>1175.9168389979163</v>
      </c>
      <c r="BO201" s="38">
        <f t="shared" si="516"/>
        <v>46366.024841992199</v>
      </c>
      <c r="BP201" s="37">
        <f t="shared" si="516"/>
        <v>0.9166487302336056</v>
      </c>
      <c r="BQ201" s="50">
        <f t="shared" si="516"/>
        <v>3201.7388221537576</v>
      </c>
      <c r="BR201" s="4">
        <f t="shared" si="516"/>
        <v>0.49642424884359959</v>
      </c>
      <c r="BS201" s="7">
        <f t="shared" si="516"/>
        <v>689.57587545602917</v>
      </c>
      <c r="BT201" s="4">
        <f t="array" ref="BT201">AVERAGE(IF(ISNUMBER(BT35:BT196),BT35:BT196,FALSE))</f>
        <v>0.77803356717631456</v>
      </c>
      <c r="BU201" s="4">
        <f t="array" ref="BU201">AVERAGE(IF(ISNUMBER(BU35:BU196),BU35:BU196,FALSE))</f>
        <v>0.40268968312298159</v>
      </c>
      <c r="BV201" s="4">
        <f t="array" ref="BV201">AVERAGE(IF(ISNUMBER(BV35:BV196),BV35:BV196,FALSE))</f>
        <v>0.8652941030111525</v>
      </c>
      <c r="BW201" s="4">
        <f t="array" ref="BW201">AVERAGE(IF(ISNUMBER(BW35:BW196),BW35:BW196,FALSE))</f>
        <v>0.43548899305021715</v>
      </c>
      <c r="BX201" s="38"/>
      <c r="BY201" s="37"/>
      <c r="BZ201" s="37"/>
      <c r="CA201" s="38"/>
      <c r="CB201" s="37"/>
      <c r="CC201" s="7"/>
      <c r="CD201" s="41"/>
      <c r="CE201" s="37"/>
    </row>
    <row r="202" spans="3:84">
      <c r="D202" s="3" t="s">
        <v>170</v>
      </c>
      <c r="E202" s="38">
        <f>MAX(E35:E196)</f>
        <v>91464.231497869026</v>
      </c>
      <c r="F202" s="37">
        <f t="shared" ref="F202:Q202" si="517">MAX(F35:F196)</f>
        <v>0.97927442717204527</v>
      </c>
      <c r="G202" s="38">
        <f t="shared" si="517"/>
        <v>72321.87</v>
      </c>
      <c r="H202" s="37">
        <f t="shared" si="517"/>
        <v>0.77432408993576007</v>
      </c>
      <c r="I202" s="37">
        <f t="shared" si="517"/>
        <v>0.56327138066577365</v>
      </c>
      <c r="J202" s="38">
        <f t="shared" si="517"/>
        <v>68922.679999999993</v>
      </c>
      <c r="K202" s="37">
        <f t="shared" si="517"/>
        <v>0.95492008097783276</v>
      </c>
      <c r="L202" s="7">
        <f t="shared" si="517"/>
        <v>1602.5398412185407</v>
      </c>
      <c r="M202" s="38">
        <f t="shared" si="517"/>
        <v>63255.69</v>
      </c>
      <c r="N202" s="37">
        <f t="shared" si="517"/>
        <v>0.92496270089226407</v>
      </c>
      <c r="O202" s="50">
        <f t="shared" si="517"/>
        <v>4368.0302351841883</v>
      </c>
      <c r="P202" s="4">
        <f t="shared" si="517"/>
        <v>0.67725578158458244</v>
      </c>
      <c r="Q202" s="7">
        <f t="shared" si="517"/>
        <v>890.3</v>
      </c>
      <c r="R202" s="4">
        <f t="array" ref="R202">MAX(IF(ISNUMBER(R35:R196),R35:R196,FALSE))</f>
        <v>0.89893994180845571</v>
      </c>
      <c r="S202" s="4">
        <f t="array" ref="S202">MAX(IF(ISNUMBER(S35:S196),S35:S196,FALSE))</f>
        <v>0.60881227288708473</v>
      </c>
      <c r="T202" s="4">
        <f t="array" ref="T202">MAX(IF(ISNUMBER(T35:T196),T35:T196,FALSE))</f>
        <v>0.91002623019206808</v>
      </c>
      <c r="U202" s="4">
        <f t="array" ref="U202">MAX(IF(ISNUMBER(U35:U196),U35:U196,FALSE))</f>
        <v>0.61632052579120022</v>
      </c>
      <c r="AE202" s="3" t="s">
        <v>170</v>
      </c>
      <c r="AF202" s="38">
        <f>MAX(AF35:AF196)</f>
        <v>90434.077214012912</v>
      </c>
      <c r="AG202" s="37">
        <f t="shared" ref="AG202:AR202" si="518">MAX(AG35:AG196)</f>
        <v>0.96824493805153011</v>
      </c>
      <c r="AH202" s="38">
        <f t="shared" si="518"/>
        <v>71758.317999999999</v>
      </c>
      <c r="AI202" s="37">
        <f t="shared" si="518"/>
        <v>0.76829034261241969</v>
      </c>
      <c r="AJ202" s="37">
        <f t="shared" si="518"/>
        <v>0.6415860146526311</v>
      </c>
      <c r="AK202" s="38">
        <f t="shared" si="518"/>
        <v>68428.13</v>
      </c>
      <c r="AL202" s="37">
        <f t="shared" si="518"/>
        <v>0.95415974470600129</v>
      </c>
      <c r="AM202" s="7">
        <f t="shared" si="518"/>
        <v>1591.040925644239</v>
      </c>
      <c r="AN202" s="38">
        <f t="shared" si="518"/>
        <v>62935.428</v>
      </c>
      <c r="AO202" s="37">
        <f t="shared" si="518"/>
        <v>0.93213053363200971</v>
      </c>
      <c r="AP202" s="50">
        <f t="shared" si="518"/>
        <v>4345.9150057213437</v>
      </c>
      <c r="AQ202" s="4">
        <f t="shared" si="518"/>
        <v>0.673826852248394</v>
      </c>
      <c r="AR202" s="7">
        <f t="shared" si="518"/>
        <v>890.3</v>
      </c>
      <c r="AS202" s="4">
        <f t="array" ref="AS202">MAX(IF(ISNUMBER(AS35:AS196),AS35:AS196,FALSE))</f>
        <v>0.88999009817590502</v>
      </c>
      <c r="AT202" s="4">
        <f t="array" ref="AT202">MAX(IF(ISNUMBER(AT35:AT196),AT35:AT196,FALSE))</f>
        <v>0.59736488383734976</v>
      </c>
      <c r="AU202" s="4">
        <f t="array" ref="AU202">MAX(IF(ISNUMBER(AU35:AU196),AU35:AU196,FALSE))</f>
        <v>0.90956837711341376</v>
      </c>
      <c r="AV202" s="4">
        <f t="array" ref="AV202">MAX(IF(ISNUMBER(AV35:AV196),AV35:AV196,FALSE))</f>
        <v>0.61289159645501179</v>
      </c>
      <c r="AW202" s="38"/>
      <c r="AX202" s="37"/>
      <c r="AY202" s="38"/>
      <c r="AZ202" s="37"/>
      <c r="BA202" s="37"/>
      <c r="BB202" s="38"/>
      <c r="BC202" s="37"/>
      <c r="BF202" s="3" t="s">
        <v>170</v>
      </c>
      <c r="BG202" s="38">
        <f>MAX(BG35:BG196)</f>
        <v>90434.077214012912</v>
      </c>
      <c r="BH202" s="37">
        <f t="shared" ref="BH202:BS202" si="519">MAX(BH35:BH196)</f>
        <v>0.96824493805153011</v>
      </c>
      <c r="BI202" s="38">
        <f t="shared" si="519"/>
        <v>71758.317999999999</v>
      </c>
      <c r="BJ202" s="37">
        <f t="shared" si="519"/>
        <v>0.76829034261241969</v>
      </c>
      <c r="BK202" s="37">
        <f t="shared" si="519"/>
        <v>0.6415860146526311</v>
      </c>
      <c r="BL202" s="38">
        <f t="shared" si="519"/>
        <v>68428.13</v>
      </c>
      <c r="BM202" s="37">
        <f t="shared" si="519"/>
        <v>0.95415974470600129</v>
      </c>
      <c r="BN202" s="7">
        <f t="shared" si="519"/>
        <v>1591.040925644239</v>
      </c>
      <c r="BO202" s="38">
        <f t="shared" si="519"/>
        <v>62935.428</v>
      </c>
      <c r="BP202" s="37">
        <f t="shared" si="519"/>
        <v>0.93213053363200971</v>
      </c>
      <c r="BQ202" s="50">
        <f t="shared" si="519"/>
        <v>4345.9150057213437</v>
      </c>
      <c r="BR202" s="4">
        <f t="shared" si="519"/>
        <v>0.673826852248394</v>
      </c>
      <c r="BS202" s="7">
        <f t="shared" si="519"/>
        <v>890.3</v>
      </c>
      <c r="BT202" s="4">
        <f t="array" ref="BT202">MAX(IF(ISNUMBER(BT35:BT196),BT35:BT196,FALSE))</f>
        <v>0.89204078740122583</v>
      </c>
      <c r="BU202" s="4">
        <f t="array" ref="BU202">MAX(IF(ISNUMBER(BU35:BU196),BU35:BU196,FALSE))</f>
        <v>0.59465240964038757</v>
      </c>
      <c r="BV202" s="4">
        <f t="array" ref="BV202">MAX(IF(ISNUMBER(BV35:BV196),BV35:BV196,FALSE))</f>
        <v>0.90956837711341376</v>
      </c>
      <c r="BW202" s="4">
        <f t="array" ref="BW202">MAX(IF(ISNUMBER(BW35:BW196),BW35:BW196,FALSE))</f>
        <v>0.61289159645501179</v>
      </c>
      <c r="BX202" s="38"/>
      <c r="BY202" s="37"/>
      <c r="BZ202" s="37"/>
      <c r="CA202" s="38"/>
      <c r="CB202" s="37"/>
      <c r="CC202" s="7"/>
      <c r="CD202" s="41"/>
      <c r="CE202" s="37"/>
    </row>
    <row r="203" spans="3:84">
      <c r="C203" s="7"/>
      <c r="AW203" s="38"/>
      <c r="AX203" s="37"/>
      <c r="AY203" s="38"/>
      <c r="AZ203" s="37"/>
      <c r="BA203" s="37"/>
      <c r="BB203" s="38"/>
      <c r="BC203" s="37"/>
      <c r="BG203" s="50"/>
      <c r="BH203" s="4"/>
      <c r="BI203" s="4"/>
      <c r="BJ203" s="4"/>
      <c r="BU203" s="38"/>
      <c r="BV203" s="38"/>
      <c r="BW203" s="37"/>
      <c r="BX203" s="38"/>
      <c r="BY203" s="37"/>
      <c r="BZ203" s="37"/>
      <c r="CA203" s="38"/>
      <c r="CB203" s="37"/>
      <c r="CC203" s="7"/>
      <c r="CD203" s="41"/>
      <c r="CE203" s="37"/>
    </row>
    <row r="204" spans="3:84">
      <c r="C204" s="7"/>
      <c r="D204" t="s">
        <v>171</v>
      </c>
      <c r="AE204" t="s">
        <v>171</v>
      </c>
      <c r="AW204" s="38"/>
      <c r="AX204" s="37"/>
      <c r="AY204" s="38"/>
      <c r="AZ204" s="37"/>
      <c r="BA204" s="37"/>
      <c r="BB204" s="38"/>
      <c r="BC204" s="37"/>
      <c r="BF204" t="s">
        <v>171</v>
      </c>
      <c r="BG204" s="50"/>
      <c r="BH204" s="4"/>
      <c r="BI204" s="4"/>
      <c r="BJ204" s="4"/>
      <c r="BU204" s="38"/>
      <c r="BV204" s="38"/>
      <c r="BW204" s="37"/>
      <c r="BX204" s="38"/>
      <c r="BY204" s="37"/>
      <c r="BZ204" s="37"/>
      <c r="CA204" s="38"/>
      <c r="CB204" s="37"/>
      <c r="CC204" s="7"/>
      <c r="CD204" s="41"/>
      <c r="CE204" s="37"/>
    </row>
    <row r="205" spans="3:84">
      <c r="D205" s="7">
        <f>SUM(C71,C116,C196,C43,C55,C86,C101,C158,C183,C170,C144,C131)</f>
        <v>128</v>
      </c>
      <c r="AE205" s="7">
        <f>SUM(AD71,AD116,AD196,AD43,AD55,AD86,AD101,AD158,AD183,AD170,AD144,AD131)</f>
        <v>128</v>
      </c>
      <c r="AW205" s="38"/>
      <c r="AX205" s="38"/>
      <c r="AY205" s="38"/>
      <c r="AZ205" s="37"/>
      <c r="BA205" s="37"/>
      <c r="BB205" s="38"/>
      <c r="BC205" s="37"/>
      <c r="BF205" s="7">
        <f>SUM(BE71,BE116,BE196,BE43,BE55,BE86,BE101,BE158,BE183,BE170,BE144,BE131)</f>
        <v>128</v>
      </c>
      <c r="BG205" s="50"/>
      <c r="BH205" s="4"/>
      <c r="BI205" s="4"/>
      <c r="BJ205" s="4"/>
    </row>
    <row r="206" spans="3:84">
      <c r="V206" s="4"/>
      <c r="AW206" s="7"/>
      <c r="AX206" s="4"/>
      <c r="AY206" s="7"/>
      <c r="AZ206" s="4"/>
      <c r="BA206" s="4"/>
      <c r="BB206" s="7"/>
      <c r="BC206" s="4"/>
      <c r="BG206" s="50"/>
      <c r="BH206" s="4"/>
      <c r="BI206" s="4"/>
      <c r="BJ206" s="4"/>
      <c r="BU206" s="3"/>
      <c r="BV206" s="7"/>
      <c r="BW206" s="4"/>
      <c r="BX206" s="7"/>
      <c r="BY206" s="4"/>
      <c r="BZ206" s="4"/>
      <c r="CA206" s="7"/>
      <c r="CB206" s="4"/>
      <c r="CC206" s="7"/>
      <c r="CD206" s="7"/>
      <c r="CE206" s="4"/>
      <c r="CF206" s="4"/>
    </row>
    <row r="207" spans="3:84">
      <c r="D207" t="s">
        <v>172</v>
      </c>
      <c r="V207" s="4"/>
      <c r="AE207" t="s">
        <v>172</v>
      </c>
      <c r="AW207" s="7"/>
      <c r="AX207" s="4"/>
      <c r="AY207" s="7"/>
      <c r="AZ207" s="4"/>
      <c r="BA207" s="4"/>
      <c r="BB207" s="7"/>
      <c r="BC207" s="4"/>
      <c r="BF207" t="s">
        <v>172</v>
      </c>
      <c r="BG207" s="7"/>
      <c r="BH207" s="4"/>
      <c r="BI207" s="4"/>
      <c r="BJ207" s="4"/>
      <c r="BU207" s="3"/>
      <c r="BV207" s="7"/>
      <c r="BW207" s="4"/>
      <c r="BX207" s="7"/>
      <c r="BY207" s="4"/>
      <c r="BZ207" s="4"/>
      <c r="CA207" s="7"/>
      <c r="CB207" s="4"/>
      <c r="CC207" s="7"/>
      <c r="CD207" s="7"/>
      <c r="CE207" s="4"/>
      <c r="CF207" s="4"/>
    </row>
    <row r="208" spans="3:84">
      <c r="D208" s="7">
        <f>D205*365/24</f>
        <v>1946.6666666666667</v>
      </c>
      <c r="V208" s="4"/>
      <c r="AE208" s="7">
        <f>SUM(AD71*2,AD116,AD196,AD43*2,AD55*2,AD86*2,AD101*2)*365/24</f>
        <v>1946.6666666666667</v>
      </c>
      <c r="AW208" s="7"/>
      <c r="AX208" s="4"/>
      <c r="AY208" s="7"/>
      <c r="AZ208" s="4"/>
      <c r="BA208" s="4"/>
      <c r="BB208" s="7"/>
      <c r="BC208" s="4"/>
      <c r="BF208" s="7">
        <f>SUM(BE71*2,BE116,BE196,BE43*2,BE55*2,BE86*2,BE101*2)*365/24</f>
        <v>1946.6666666666667</v>
      </c>
      <c r="BG208" s="7"/>
      <c r="BH208" s="4"/>
      <c r="BI208" s="4"/>
      <c r="BJ208" s="4"/>
      <c r="BU208" s="3"/>
      <c r="BV208" s="7"/>
      <c r="BW208" s="4"/>
      <c r="BX208" s="7"/>
      <c r="BY208" s="4"/>
      <c r="BZ208" s="4"/>
      <c r="CA208" s="7"/>
      <c r="CB208" s="4"/>
      <c r="CC208" s="7"/>
      <c r="CD208" s="7"/>
      <c r="CE208" s="4"/>
      <c r="CF208" s="4"/>
    </row>
    <row r="209" spans="4:62">
      <c r="BG209" s="7"/>
      <c r="BH209" s="4"/>
      <c r="BI209" s="4"/>
      <c r="BJ209" s="4"/>
    </row>
    <row r="210" spans="4:62">
      <c r="D210" t="s">
        <v>173</v>
      </c>
      <c r="AE210" t="s">
        <v>173</v>
      </c>
      <c r="BF210" t="s">
        <v>173</v>
      </c>
    </row>
    <row r="211" spans="4:62">
      <c r="D211" s="4">
        <f>D208/8760</f>
        <v>0.22222222222222224</v>
      </c>
      <c r="AE211" s="4">
        <f>AE208/8760</f>
        <v>0.22222222222222224</v>
      </c>
      <c r="BF211" s="4">
        <f>BF208/8760</f>
        <v>0.22222222222222224</v>
      </c>
    </row>
  </sheetData>
  <mergeCells count="12">
    <mergeCell ref="BV32:BW32"/>
    <mergeCell ref="G5:G6"/>
    <mergeCell ref="H5:H6"/>
    <mergeCell ref="T32:U32"/>
    <mergeCell ref="Q32:S32"/>
    <mergeCell ref="AR32:AT32"/>
    <mergeCell ref="AU32:AV32"/>
    <mergeCell ref="K12:K17"/>
    <mergeCell ref="BS32:BU32"/>
    <mergeCell ref="E32:P32"/>
    <mergeCell ref="AF32:AQ32"/>
    <mergeCell ref="BG32:BR32"/>
  </mergeCells>
  <phoneticPr fontId="5" type="noConversion"/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L81"/>
  <sheetViews>
    <sheetView zoomScale="75" workbookViewId="0">
      <selection activeCell="J2" sqref="J2"/>
    </sheetView>
  </sheetViews>
  <sheetFormatPr defaultRowHeight="15.6"/>
  <cols>
    <col min="4" max="4" width="7.88671875" customWidth="1"/>
    <col min="5" max="5" width="10.109375" customWidth="1"/>
    <col min="6" max="6" width="13.5546875" customWidth="1"/>
    <col min="7" max="7" width="13.77734375" customWidth="1"/>
    <col min="10" max="10" width="11" customWidth="1"/>
    <col min="11" max="11" width="15" style="9" customWidth="1"/>
    <col min="12" max="12" width="11.77734375" customWidth="1"/>
    <col min="13" max="13" width="14.6640625" customWidth="1"/>
    <col min="14" max="14" width="12.109375" customWidth="1"/>
    <col min="16" max="16" width="10.33203125" customWidth="1"/>
    <col min="17" max="17" width="10.77734375" customWidth="1"/>
    <col min="18" max="19" width="10.5546875" customWidth="1"/>
    <col min="21" max="21" width="10.88671875" customWidth="1"/>
    <col min="23" max="23" width="10.6640625" customWidth="1"/>
    <col min="25" max="25" width="11" customWidth="1"/>
    <col min="26" max="26" width="11.33203125" customWidth="1"/>
    <col min="27" max="27" width="11" customWidth="1"/>
  </cols>
  <sheetData>
    <row r="1" spans="1:38">
      <c r="A1" s="58" t="s">
        <v>174</v>
      </c>
    </row>
    <row r="3" spans="1:38">
      <c r="B3" t="s">
        <v>175</v>
      </c>
    </row>
    <row r="4" spans="1:38">
      <c r="AE4" t="s">
        <v>176</v>
      </c>
      <c r="AJ4" t="s">
        <v>177</v>
      </c>
    </row>
    <row r="5" spans="1:38" ht="16.5">
      <c r="B5" s="3" t="s">
        <v>178</v>
      </c>
      <c r="C5" s="2">
        <v>200</v>
      </c>
      <c r="F5" s="1" t="s">
        <v>134</v>
      </c>
      <c r="H5" s="2" t="s">
        <v>179</v>
      </c>
      <c r="AD5" s="1" t="s">
        <v>133</v>
      </c>
      <c r="AE5" s="2">
        <v>30</v>
      </c>
      <c r="AI5" s="1" t="s">
        <v>133</v>
      </c>
      <c r="AJ5">
        <v>23.5</v>
      </c>
    </row>
    <row r="6" spans="1:38" ht="16.5">
      <c r="B6" s="3" t="s">
        <v>115</v>
      </c>
      <c r="C6" s="2">
        <v>10</v>
      </c>
      <c r="D6" s="1" t="s">
        <v>116</v>
      </c>
      <c r="E6" s="2">
        <v>0.92</v>
      </c>
      <c r="F6" s="42">
        <v>30</v>
      </c>
      <c r="H6" s="10">
        <v>5.35</v>
      </c>
      <c r="K6" s="1" t="s">
        <v>180</v>
      </c>
      <c r="L6" s="5">
        <v>1.3</v>
      </c>
      <c r="AD6" s="1" t="s">
        <v>134</v>
      </c>
      <c r="AE6" s="5">
        <v>30</v>
      </c>
      <c r="AF6" s="5">
        <f>S12/1000</f>
        <v>30.710712000000001</v>
      </c>
      <c r="AG6" s="4">
        <f>V12</f>
        <v>0.72774199052132704</v>
      </c>
      <c r="AI6" s="1" t="s">
        <v>134</v>
      </c>
      <c r="AJ6">
        <v>20</v>
      </c>
      <c r="AK6" s="41">
        <v>12.29</v>
      </c>
      <c r="AL6" s="4">
        <v>0.74939024390243902</v>
      </c>
    </row>
    <row r="7" spans="1:38" ht="16.5">
      <c r="B7" s="3" t="s">
        <v>114</v>
      </c>
      <c r="C7" s="5">
        <f>C5/C6</f>
        <v>20</v>
      </c>
      <c r="F7" s="73">
        <v>35</v>
      </c>
      <c r="H7" s="10">
        <v>6.05</v>
      </c>
      <c r="K7" s="1" t="s">
        <v>181</v>
      </c>
      <c r="L7" s="2">
        <v>0.5</v>
      </c>
      <c r="AE7" s="5">
        <v>35</v>
      </c>
      <c r="AF7" s="2">
        <f>S13/1000</f>
        <v>38.665844</v>
      </c>
      <c r="AG7" s="2">
        <f>V13</f>
        <v>0.70173945553539019</v>
      </c>
      <c r="AJ7">
        <v>30</v>
      </c>
      <c r="AK7" s="41">
        <v>16.509</v>
      </c>
      <c r="AL7" s="4">
        <v>0.75040909090909091</v>
      </c>
    </row>
    <row r="8" spans="1:38" ht="16.5">
      <c r="B8" s="1" t="s">
        <v>133</v>
      </c>
      <c r="C8" s="2">
        <v>30</v>
      </c>
      <c r="D8" s="3" t="s">
        <v>80</v>
      </c>
      <c r="E8" s="8">
        <f>1/SIN(RADIANS(C8))^2</f>
        <v>4.0000000000000009</v>
      </c>
      <c r="F8" s="73">
        <v>40</v>
      </c>
      <c r="H8" s="10">
        <v>7.25</v>
      </c>
      <c r="AE8" s="5">
        <v>40</v>
      </c>
      <c r="AF8" s="2">
        <f>S14/1000</f>
        <v>50.609430000000003</v>
      </c>
      <c r="AG8" s="2">
        <f>V14</f>
        <v>0.66242709424083768</v>
      </c>
      <c r="AJ8">
        <v>40</v>
      </c>
      <c r="AK8" s="55">
        <v>25.266999999999999</v>
      </c>
      <c r="AL8" s="4">
        <v>0.70578212290502795</v>
      </c>
    </row>
    <row r="9" spans="1:38">
      <c r="B9" s="3" t="s">
        <v>182</v>
      </c>
      <c r="C9" s="2">
        <v>3</v>
      </c>
      <c r="F9" s="73">
        <v>45</v>
      </c>
      <c r="H9" s="10">
        <v>9.1999999999999993</v>
      </c>
      <c r="AE9" s="5">
        <v>45</v>
      </c>
      <c r="AF9" s="2">
        <f>S15/1000</f>
        <v>69.494450000000001</v>
      </c>
      <c r="AG9" s="2">
        <f>V15</f>
        <v>0.57960341951626349</v>
      </c>
      <c r="AJ9">
        <v>50</v>
      </c>
      <c r="AK9" s="41">
        <v>46.868000000000002</v>
      </c>
      <c r="AL9" s="4">
        <v>0.59251580278128946</v>
      </c>
    </row>
    <row r="11" spans="1:38" ht="50.1">
      <c r="B11" s="6" t="s">
        <v>134</v>
      </c>
      <c r="C11" s="2" t="s">
        <v>183</v>
      </c>
      <c r="D11" s="2" t="s">
        <v>184</v>
      </c>
      <c r="E11" s="2" t="s">
        <v>118</v>
      </c>
      <c r="F11" s="2" t="s">
        <v>150</v>
      </c>
      <c r="G11" s="2" t="s">
        <v>151</v>
      </c>
      <c r="H11" s="6" t="s">
        <v>152</v>
      </c>
      <c r="I11" s="2" t="s">
        <v>153</v>
      </c>
      <c r="J11" s="11" t="s">
        <v>154</v>
      </c>
      <c r="K11" s="11" t="s">
        <v>185</v>
      </c>
      <c r="L11" s="11" t="s">
        <v>186</v>
      </c>
      <c r="M11" s="11" t="s">
        <v>187</v>
      </c>
      <c r="N11" s="11" t="s">
        <v>141</v>
      </c>
      <c r="O11" s="11" t="s">
        <v>80</v>
      </c>
      <c r="P11" s="11" t="s">
        <v>188</v>
      </c>
      <c r="Q11" s="11" t="s">
        <v>189</v>
      </c>
      <c r="R11" s="35" t="s">
        <v>190</v>
      </c>
      <c r="S11" s="35" t="s">
        <v>157</v>
      </c>
      <c r="T11" s="35" t="s">
        <v>158</v>
      </c>
      <c r="U11" s="35" t="s">
        <v>70</v>
      </c>
      <c r="V11" s="35" t="s">
        <v>166</v>
      </c>
      <c r="W11" s="35" t="s">
        <v>189</v>
      </c>
      <c r="X11" s="11" t="s">
        <v>120</v>
      </c>
      <c r="Y11" s="11" t="s">
        <v>122</v>
      </c>
      <c r="Z11" s="35" t="s">
        <v>125</v>
      </c>
    </row>
    <row r="12" spans="1:38" ht="16.5">
      <c r="B12" s="5">
        <v>30</v>
      </c>
      <c r="C12" s="4">
        <f>(COS(RADIANS($C$8+B12))/COS(RADIANS(B12)))^2</f>
        <v>0.33333333333333343</v>
      </c>
      <c r="D12" s="2">
        <v>422</v>
      </c>
      <c r="E12" s="2">
        <v>42200</v>
      </c>
      <c r="F12" s="7">
        <v>40010.635031105034</v>
      </c>
      <c r="G12" s="7">
        <v>35761.813999999998</v>
      </c>
      <c r="H12" s="4">
        <f>G12/E12</f>
        <v>0.8474363507109004</v>
      </c>
      <c r="I12" s="4">
        <f>1-G12/(F12*$E$6)</f>
        <v>2.8469882412457181E-2</v>
      </c>
      <c r="J12" s="7">
        <f>0.95*G12</f>
        <v>33973.723299999998</v>
      </c>
      <c r="K12" s="12">
        <f>0.5*H6</f>
        <v>2.6749999999999998</v>
      </c>
      <c r="L12" s="4">
        <v>1.3539946527173405</v>
      </c>
      <c r="M12" s="4">
        <v>5.628450242633833</v>
      </c>
      <c r="N12" s="8">
        <f>PI()*SQRT(M12^2-(K12-L12)^2)*(K12+L12)</f>
        <v>69.251920340290411</v>
      </c>
      <c r="O12" s="8">
        <f>(K12/L12)^2</f>
        <v>3.9031359127501313</v>
      </c>
      <c r="P12" s="13">
        <f>G12*0.95/(PI()*K12^2)*O12</f>
        <v>5898.7416315990858</v>
      </c>
      <c r="Q12" s="4">
        <f>P12*SIN(0.00465)^2</f>
        <v>0.12754462164741523</v>
      </c>
      <c r="R12" s="7">
        <v>33778.089999999997</v>
      </c>
      <c r="S12" s="7">
        <v>30710.712</v>
      </c>
      <c r="T12" s="7">
        <f>S12/(PI()*L12^2)</f>
        <v>5332.1961155329009</v>
      </c>
      <c r="U12" s="4">
        <f>S12/J12</f>
        <v>0.90395485148370536</v>
      </c>
      <c r="V12" s="4">
        <f>S12/E12</f>
        <v>0.72774199052132704</v>
      </c>
      <c r="W12" s="4">
        <f>T12*SIN(0.00465)^2</f>
        <v>0.11529457951883462</v>
      </c>
      <c r="X12" s="7">
        <v>83118.728820660777</v>
      </c>
      <c r="Y12" s="8">
        <f>E12/X12</f>
        <v>0.50770747578505282</v>
      </c>
      <c r="Z12" s="5">
        <v>23.081112971860804</v>
      </c>
      <c r="AD12" s="1" t="s">
        <v>133</v>
      </c>
      <c r="AE12" s="2">
        <v>35</v>
      </c>
    </row>
    <row r="13" spans="1:38">
      <c r="B13" s="5">
        <v>35</v>
      </c>
      <c r="C13" s="4">
        <f>(COS(RADIANS($C$8+B13))/COS(RADIANS(B13)))^2</f>
        <v>0.26617513313045388</v>
      </c>
      <c r="D13" s="2">
        <v>551</v>
      </c>
      <c r="E13" s="2">
        <v>55100</v>
      </c>
      <c r="F13" s="7">
        <v>51982.441749909092</v>
      </c>
      <c r="G13" s="7">
        <v>44303.379000000001</v>
      </c>
      <c r="H13" s="4">
        <f>G13/E13</f>
        <v>0.80405406533575319</v>
      </c>
      <c r="I13" s="4">
        <f>1-G13/(F13*$E$6)</f>
        <v>7.3613221733381806E-2</v>
      </c>
      <c r="J13" s="7">
        <f>0.95*G13</f>
        <v>42088.210050000002</v>
      </c>
      <c r="K13" s="12">
        <f>0.5*H7</f>
        <v>3.0249999999999999</v>
      </c>
      <c r="L13" s="4">
        <v>1.5311528315775531</v>
      </c>
      <c r="M13" s="4">
        <v>6.3648829846606887</v>
      </c>
      <c r="N13" s="8">
        <f>PI()*SQRT(M13^2-(K13-L13)^2)*(K13+L13)</f>
        <v>88.559469447304693</v>
      </c>
      <c r="O13" s="8">
        <f>(K13/L13)^2</f>
        <v>3.9031359127501322</v>
      </c>
      <c r="P13" s="13">
        <f>G13*0.95/(PI()*K13^2)*O13</f>
        <v>5714.4376677618811</v>
      </c>
      <c r="Q13" s="4">
        <f>P13*SIN(0.00465)^2</f>
        <v>0.12355953791196052</v>
      </c>
      <c r="R13" s="7">
        <v>42047.125</v>
      </c>
      <c r="S13" s="7">
        <v>38665.843999999997</v>
      </c>
      <c r="T13" s="7">
        <f>S13/(PI()*L13^2)</f>
        <v>5249.7731584906096</v>
      </c>
      <c r="U13" s="4">
        <f>S13/J13</f>
        <v>0.91868587317126815</v>
      </c>
      <c r="V13" s="4">
        <f>S13/E13</f>
        <v>0.70173945553539019</v>
      </c>
      <c r="W13" s="4">
        <f>T13*SIN(0.00465)^2</f>
        <v>0.11351240197528788</v>
      </c>
      <c r="X13" s="7">
        <v>111817.34738934212</v>
      </c>
      <c r="Y13" s="8">
        <f>E13/X13</f>
        <v>0.49276790485956262</v>
      </c>
      <c r="Z13" s="5">
        <v>31.551471749766122</v>
      </c>
      <c r="AD13" s="1" t="s">
        <v>134</v>
      </c>
      <c r="AE13" s="5">
        <v>35</v>
      </c>
      <c r="AF13" s="5">
        <f>S26/1000</f>
        <v>62.082439100000002</v>
      </c>
      <c r="AG13" s="4">
        <f>V26</f>
        <v>0.6646942087794433</v>
      </c>
    </row>
    <row r="14" spans="1:38">
      <c r="B14" s="5">
        <v>40</v>
      </c>
      <c r="C14" s="4">
        <f>(COS(RADIANS($C$8+B14))/COS(RADIANS(B14)))^2</f>
        <v>0.19934045085478447</v>
      </c>
      <c r="D14" s="2">
        <v>764</v>
      </c>
      <c r="E14" s="2">
        <v>76400</v>
      </c>
      <c r="F14" s="7">
        <v>71495.005981889655</v>
      </c>
      <c r="G14" s="7">
        <v>57232.665999999997</v>
      </c>
      <c r="H14" s="4">
        <f>G14/E14</f>
        <v>0.74911866492146595</v>
      </c>
      <c r="I14" s="4">
        <f>1-G14/(F14*$E$6)</f>
        <v>0.12987741296258359</v>
      </c>
      <c r="J14" s="7">
        <f>0.95*G14</f>
        <v>54371.032699999996</v>
      </c>
      <c r="K14" s="12">
        <f>0.5*H8</f>
        <v>3.625</v>
      </c>
      <c r="L14" s="4">
        <v>1.8348525667664894</v>
      </c>
      <c r="M14" s="4">
        <v>7.6273391138495858</v>
      </c>
      <c r="N14" s="8">
        <f>PI()*SQRT(M14^2-(K14-L14)^2)*(K14+L14)</f>
        <v>127.17456766133336</v>
      </c>
      <c r="O14" s="8">
        <f>(K14/L14)^2</f>
        <v>3.9031359127501322</v>
      </c>
      <c r="P14" s="13">
        <f>G14*0.95/(PI()*K14^2)*O14</f>
        <v>5140.6183442736401</v>
      </c>
      <c r="Q14" s="4">
        <f>P14*SIN(0.00465)^2</f>
        <v>0.11115221901597369</v>
      </c>
      <c r="R14" s="7">
        <v>54990.3</v>
      </c>
      <c r="S14" s="7">
        <v>50609.43</v>
      </c>
      <c r="T14" s="7">
        <f>S14/(PI()*L14^2)</f>
        <v>4784.9700719632037</v>
      </c>
      <c r="U14" s="4">
        <f>S14/J14</f>
        <v>0.93081605198203277</v>
      </c>
      <c r="V14" s="4">
        <f>S14/E14</f>
        <v>0.66242709424083768</v>
      </c>
      <c r="W14" s="4">
        <f>T14*SIN(0.00465)^2</f>
        <v>0.10346226967349086</v>
      </c>
      <c r="X14" s="7">
        <v>165201.85823288426</v>
      </c>
      <c r="Y14" s="8">
        <f>E14/X14</f>
        <v>0.46246453167796264</v>
      </c>
      <c r="Z14" s="5">
        <v>44.299174586764536</v>
      </c>
      <c r="AE14" s="5">
        <v>40</v>
      </c>
      <c r="AF14" s="5">
        <f>S27/1000</f>
        <v>84.591580730000004</v>
      </c>
      <c r="AG14" s="4">
        <f>V27</f>
        <v>0.59279313756131746</v>
      </c>
    </row>
    <row r="15" spans="1:38">
      <c r="B15" s="5">
        <v>45</v>
      </c>
      <c r="C15" s="4">
        <f>(COS(RADIANS($C$8+B15))/COS(RADIANS(B15)))^2</f>
        <v>0.13397459621556132</v>
      </c>
      <c r="D15" s="2">
        <v>1199</v>
      </c>
      <c r="E15" s="2">
        <v>119900</v>
      </c>
      <c r="F15" s="7">
        <v>110805.20881532897</v>
      </c>
      <c r="G15" s="7">
        <v>79823.47</v>
      </c>
      <c r="H15" s="4">
        <f>G15/E15</f>
        <v>0.6657503753127606</v>
      </c>
      <c r="I15" s="4">
        <f>1-G15/(F15*$E$6)</f>
        <v>0.21696243135147031</v>
      </c>
      <c r="J15" s="7">
        <f>0.95*G15</f>
        <v>75832.296499999997</v>
      </c>
      <c r="K15" s="12">
        <f>0.5*H9</f>
        <v>4.5999999999999996</v>
      </c>
      <c r="L15" s="4">
        <v>2.32836463644851</v>
      </c>
      <c r="M15" s="4">
        <v>9.6788303237815416</v>
      </c>
      <c r="N15" s="8">
        <f>PI()*SQRT(M15^2-(K15-L15)^2)*(K15+L15)</f>
        <v>204.78583413755536</v>
      </c>
      <c r="O15" s="8">
        <f>(K15/L15)^2</f>
        <v>3.9031359127501339</v>
      </c>
      <c r="P15" s="13">
        <f>G15*0.95/(PI()*K15^2)*O15</f>
        <v>4452.4837854022462</v>
      </c>
      <c r="Q15" s="4">
        <f>P15*SIN(0.00465)^2</f>
        <v>9.627313675822613E-2</v>
      </c>
      <c r="R15" s="7">
        <v>75502.649999999994</v>
      </c>
      <c r="S15" s="7">
        <v>69494.45</v>
      </c>
      <c r="T15" s="7">
        <f>S15/(PI()*L15^2)</f>
        <v>4080.3579224380615</v>
      </c>
      <c r="U15" s="4">
        <f>S15/J15</f>
        <v>0.91642285948705249</v>
      </c>
      <c r="V15" s="4">
        <f>S15/E15</f>
        <v>0.57960341951626349</v>
      </c>
      <c r="W15" s="4">
        <f>T15*SIN(0.00465)^2</f>
        <v>8.8226903279761626E-2</v>
      </c>
      <c r="X15" s="7">
        <v>280992.58924162906</v>
      </c>
      <c r="Y15" s="8">
        <f>E15/X15</f>
        <v>0.42670164477859762</v>
      </c>
      <c r="Z15" s="5">
        <v>70.783214875581436</v>
      </c>
      <c r="AE15" s="5">
        <v>45</v>
      </c>
      <c r="AF15" s="5">
        <f>S28/1000</f>
        <v>124.13033999999999</v>
      </c>
      <c r="AG15" s="4">
        <f>V28</f>
        <v>0.47054715693707355</v>
      </c>
    </row>
    <row r="16" spans="1:38">
      <c r="B16" s="5"/>
      <c r="C16" s="4"/>
      <c r="D16" s="2"/>
      <c r="E16" s="2"/>
      <c r="F16" s="7"/>
      <c r="G16" s="7"/>
      <c r="H16" s="4"/>
      <c r="I16" s="4"/>
      <c r="J16" s="7"/>
      <c r="K16" s="12"/>
      <c r="L16" s="4"/>
      <c r="M16" s="4"/>
      <c r="N16" s="5"/>
      <c r="O16" s="8"/>
      <c r="P16" s="13"/>
      <c r="Q16" s="4"/>
      <c r="R16" s="7"/>
      <c r="S16" s="8"/>
    </row>
    <row r="17" spans="2:33">
      <c r="K17" s="10"/>
    </row>
    <row r="18" spans="2:33">
      <c r="K18" s="10"/>
    </row>
    <row r="19" spans="2:33">
      <c r="B19" s="3" t="s">
        <v>178</v>
      </c>
      <c r="C19" s="2">
        <v>200</v>
      </c>
      <c r="F19" s="1" t="s">
        <v>134</v>
      </c>
      <c r="H19" s="2" t="s">
        <v>179</v>
      </c>
    </row>
    <row r="20" spans="2:33" ht="16.5">
      <c r="B20" s="3" t="s">
        <v>115</v>
      </c>
      <c r="C20" s="2">
        <v>10</v>
      </c>
      <c r="D20" s="1" t="s">
        <v>116</v>
      </c>
      <c r="E20" s="2">
        <v>0.92</v>
      </c>
      <c r="F20" s="73">
        <v>35</v>
      </c>
      <c r="H20" s="10">
        <v>7.4</v>
      </c>
      <c r="L20" s="4"/>
      <c r="AD20" s="1" t="s">
        <v>133</v>
      </c>
      <c r="AE20" s="2">
        <v>40</v>
      </c>
    </row>
    <row r="21" spans="2:33">
      <c r="B21" s="3" t="s">
        <v>114</v>
      </c>
      <c r="C21" s="5">
        <f>C19/C20</f>
        <v>20</v>
      </c>
      <c r="F21" s="73">
        <v>40</v>
      </c>
      <c r="H21" s="10">
        <v>9.33</v>
      </c>
      <c r="L21" s="4"/>
      <c r="AD21" s="1" t="s">
        <v>134</v>
      </c>
      <c r="AE21" s="2">
        <v>40</v>
      </c>
      <c r="AF21" s="5">
        <f>S39/1000</f>
        <v>142.88454999999999</v>
      </c>
      <c r="AG21" s="4">
        <f>V39</f>
        <v>0.47250181878306874</v>
      </c>
    </row>
    <row r="22" spans="2:33" ht="16.5">
      <c r="B22" s="1" t="s">
        <v>133</v>
      </c>
      <c r="C22" s="2">
        <v>35</v>
      </c>
      <c r="D22" s="3" t="s">
        <v>80</v>
      </c>
      <c r="E22" s="8">
        <f>1/SIN(RADIANS(C22))^2</f>
        <v>3.0396067291614752</v>
      </c>
      <c r="F22" s="73">
        <v>45</v>
      </c>
      <c r="H22" s="10">
        <v>12.9</v>
      </c>
      <c r="L22" s="3"/>
      <c r="M22" s="3"/>
    </row>
    <row r="23" spans="2:33">
      <c r="B23" s="3" t="s">
        <v>182</v>
      </c>
      <c r="C23" s="2">
        <v>3</v>
      </c>
      <c r="K23" s="13"/>
      <c r="L23" s="4"/>
    </row>
    <row r="24" spans="2:33">
      <c r="K24" s="10"/>
    </row>
    <row r="25" spans="2:33" ht="50.1">
      <c r="B25" s="6" t="s">
        <v>134</v>
      </c>
      <c r="C25" s="2" t="s">
        <v>183</v>
      </c>
      <c r="D25" s="2" t="s">
        <v>184</v>
      </c>
      <c r="E25" s="2" t="s">
        <v>118</v>
      </c>
      <c r="F25" s="2" t="s">
        <v>150</v>
      </c>
      <c r="G25" s="2" t="s">
        <v>151</v>
      </c>
      <c r="H25" s="6" t="s">
        <v>152</v>
      </c>
      <c r="I25" s="2" t="s">
        <v>153</v>
      </c>
      <c r="J25" s="11" t="s">
        <v>154</v>
      </c>
      <c r="K25" s="11" t="s">
        <v>185</v>
      </c>
      <c r="L25" s="11" t="s">
        <v>186</v>
      </c>
      <c r="M25" s="11" t="s">
        <v>187</v>
      </c>
      <c r="N25" s="11" t="s">
        <v>141</v>
      </c>
      <c r="O25" s="11" t="s">
        <v>80</v>
      </c>
      <c r="P25" s="11" t="s">
        <v>188</v>
      </c>
      <c r="Q25" s="11" t="s">
        <v>189</v>
      </c>
      <c r="R25" s="35" t="s">
        <v>190</v>
      </c>
      <c r="S25" s="35" t="s">
        <v>157</v>
      </c>
      <c r="T25" s="35" t="s">
        <v>158</v>
      </c>
      <c r="U25" s="35" t="s">
        <v>70</v>
      </c>
      <c r="V25" s="35" t="s">
        <v>166</v>
      </c>
      <c r="W25" s="35" t="s">
        <v>189</v>
      </c>
      <c r="X25" s="11" t="s">
        <v>120</v>
      </c>
      <c r="Y25" s="11" t="s">
        <v>122</v>
      </c>
      <c r="Z25" s="35" t="s">
        <v>125</v>
      </c>
    </row>
    <row r="26" spans="2:33">
      <c r="B26" s="74">
        <v>35</v>
      </c>
      <c r="C26" s="65">
        <f>(COS(RADIANS($C$22+B26))/COS(RADIANS(B26)))^2</f>
        <v>0.17433088321703971</v>
      </c>
      <c r="D26" s="59">
        <v>934</v>
      </c>
      <c r="E26" s="59">
        <v>93400</v>
      </c>
      <c r="F26" s="59">
        <v>87241.598906092273</v>
      </c>
      <c r="G26" s="59">
        <v>70851.94</v>
      </c>
      <c r="H26" s="65">
        <f>G26/E26</f>
        <v>0.75858608137044969</v>
      </c>
      <c r="I26" s="65">
        <f>1-G26/(F26*$E$20)</f>
        <v>0.11724476366180425</v>
      </c>
      <c r="J26" s="59">
        <f>0.95*G26</f>
        <v>67309.342999999993</v>
      </c>
      <c r="K26" s="75">
        <f>0.5*H20</f>
        <v>3.7</v>
      </c>
      <c r="L26" s="65">
        <v>2.146559786244338</v>
      </c>
      <c r="M26" s="65">
        <v>6.7282595481639245</v>
      </c>
      <c r="N26" s="76">
        <f>PI()*SQRT(M26^2-(K26-L26)^2)*(K26+L26)</f>
        <v>120.2423913437169</v>
      </c>
      <c r="O26" s="76">
        <f>(K26/L26)^2</f>
        <v>2.9711013735443133</v>
      </c>
      <c r="P26" s="77">
        <f>G26*0.95/(PI()*K26^2)*O26</f>
        <v>4649.8559700340647</v>
      </c>
      <c r="Q26" s="65">
        <f>P26*SIN(0.00465)^2</f>
        <v>0.10054078606121225</v>
      </c>
      <c r="R26" s="59">
        <v>67333.106</v>
      </c>
      <c r="S26" s="59">
        <v>62082.439100000003</v>
      </c>
      <c r="T26" s="59">
        <f>S26/(PI()*L26^2)</f>
        <v>4288.7716209532955</v>
      </c>
      <c r="U26" s="65">
        <f>S26/J26</f>
        <v>0.92234504651159666</v>
      </c>
      <c r="V26" s="65">
        <f>S26/E26</f>
        <v>0.6646942087794433</v>
      </c>
      <c r="W26" s="65">
        <f>T26*SIN(0.00465)^2</f>
        <v>9.2733295995941309E-2</v>
      </c>
      <c r="X26" s="59">
        <v>205388.47058134654</v>
      </c>
      <c r="Y26" s="76">
        <f>E26/X26</f>
        <v>0.45474801840450835</v>
      </c>
      <c r="Z26" s="151">
        <v>52.236203041579721</v>
      </c>
    </row>
    <row r="27" spans="2:33">
      <c r="B27" s="5">
        <v>40</v>
      </c>
      <c r="C27" s="4">
        <f>(COS(RADIANS($C$22+B27))/COS(RADIANS(B27)))^2</f>
        <v>0.11415226365526893</v>
      </c>
      <c r="D27" s="7">
        <v>1427</v>
      </c>
      <c r="E27" s="7">
        <v>142700</v>
      </c>
      <c r="F27" s="7">
        <v>131793.02412796902</v>
      </c>
      <c r="G27" s="7">
        <v>96654.93</v>
      </c>
      <c r="H27" s="4">
        <f>G27/E27</f>
        <v>0.67732957252978276</v>
      </c>
      <c r="I27" s="4">
        <f>1-G27/(F27*$E$6)</f>
        <v>0.20284319130785144</v>
      </c>
      <c r="J27" s="7">
        <f>0.95*G27</f>
        <v>91822.183499999985</v>
      </c>
      <c r="K27" s="12">
        <f>0.5*H21</f>
        <v>4.665</v>
      </c>
      <c r="L27" s="4">
        <v>2.7064057845486045</v>
      </c>
      <c r="M27" s="4">
        <v>8.4830623762661368</v>
      </c>
      <c r="N27" s="8">
        <f>PI()*SQRT(M27^2-(K27-L27)^2)*(K27+L27)</f>
        <v>191.14258400000145</v>
      </c>
      <c r="O27" s="8">
        <f>(K27/L27)^2</f>
        <v>2.9711013735443133</v>
      </c>
      <c r="P27" s="13">
        <f>G27*0.95/(PI()*K27^2)*O27</f>
        <v>3990.3585189111072</v>
      </c>
      <c r="Q27" s="4">
        <f>P27*SIN(0.00465)^2</f>
        <v>8.6280905202841859E-2</v>
      </c>
      <c r="R27" s="7">
        <v>91810.555890000003</v>
      </c>
      <c r="S27" s="7">
        <v>84591.580730000001</v>
      </c>
      <c r="T27" s="7">
        <f>S27/(PI()*L27^2)</f>
        <v>3676.1349156341093</v>
      </c>
      <c r="U27" s="4">
        <f>S27/J27</f>
        <v>0.92125429286921734</v>
      </c>
      <c r="V27" s="4">
        <f>S27/E27</f>
        <v>0.59279313756131746</v>
      </c>
      <c r="W27" s="4">
        <f>T27*SIN(0.00465)^2</f>
        <v>7.9486654310760047E-2</v>
      </c>
      <c r="X27" s="38">
        <v>345659.61914514547</v>
      </c>
      <c r="Y27" s="8">
        <f>E27/X27</f>
        <v>0.41283387499214663</v>
      </c>
      <c r="Z27" s="40">
        <v>81.445109890797852</v>
      </c>
    </row>
    <row r="28" spans="2:33">
      <c r="B28" s="5">
        <v>45</v>
      </c>
      <c r="C28" s="4">
        <f>(COS(RADIANS($C$22+B28))/COS(RADIANS(B28)))^2</f>
        <v>6.0307379214091655E-2</v>
      </c>
      <c r="D28" s="7">
        <v>2638</v>
      </c>
      <c r="E28" s="7">
        <v>263800</v>
      </c>
      <c r="F28" s="7">
        <v>239507.82741513223</v>
      </c>
      <c r="G28" s="7">
        <v>142612.8971</v>
      </c>
      <c r="H28" s="4">
        <f>G28/E28</f>
        <v>0.54060992077331316</v>
      </c>
      <c r="I28" s="4">
        <f>1-G28/(F28*$E$6)</f>
        <v>0.35278099150273257</v>
      </c>
      <c r="J28" s="7">
        <v>133169</v>
      </c>
      <c r="K28" s="12">
        <f>0.5*H22</f>
        <v>6.45</v>
      </c>
      <c r="L28" s="4">
        <v>3.741975843588103</v>
      </c>
      <c r="M28" s="4">
        <v>11.728992996123599</v>
      </c>
      <c r="N28" s="8">
        <f>PI()*SQRT(M28^2-(K28-L28)^2)*(K28+L28)</f>
        <v>365.40424294207332</v>
      </c>
      <c r="O28" s="8">
        <f>(K28/L28)^2</f>
        <v>2.9711013735443124</v>
      </c>
      <c r="P28" s="13">
        <f>G28*0.95/(PI()*K28^2)*O28</f>
        <v>3079.8571666658231</v>
      </c>
      <c r="Q28" s="4">
        <f>P28*SIN(0.00465)^2</f>
        <v>6.6593731609835505E-2</v>
      </c>
      <c r="R28" s="7">
        <v>134939.31</v>
      </c>
      <c r="S28" s="7">
        <v>124130.34</v>
      </c>
      <c r="T28" s="7">
        <f>S28/(PI()*L28^2)</f>
        <v>2821.799246135387</v>
      </c>
      <c r="U28" s="4">
        <f>S28/J28</f>
        <v>0.93212639578280232</v>
      </c>
      <c r="V28" s="4">
        <f>S28/E28</f>
        <v>0.47054715693707355</v>
      </c>
      <c r="W28" s="4">
        <f>T28*SIN(0.00465)^2</f>
        <v>6.1013914439872322E-2</v>
      </c>
      <c r="X28" s="7">
        <v>747035.70505678875</v>
      </c>
      <c r="Y28" s="8">
        <f>E28/X28</f>
        <v>0.3531290381628362</v>
      </c>
      <c r="Z28" s="40">
        <v>153.54640800512635</v>
      </c>
    </row>
    <row r="29" spans="2:33">
      <c r="B29" s="5"/>
      <c r="C29" s="4"/>
      <c r="D29" s="7"/>
      <c r="E29" s="43"/>
      <c r="F29" s="7"/>
      <c r="G29" s="7"/>
      <c r="H29" s="4"/>
      <c r="I29" s="4"/>
      <c r="J29" s="7"/>
      <c r="K29" s="12"/>
      <c r="L29" s="4"/>
      <c r="M29" s="4"/>
      <c r="N29" s="8"/>
      <c r="O29" s="8"/>
      <c r="P29" s="13"/>
      <c r="Q29" s="4"/>
      <c r="R29" s="2"/>
      <c r="S29" s="8"/>
    </row>
    <row r="30" spans="2:33">
      <c r="B30" s="5"/>
      <c r="C30" s="4"/>
      <c r="D30" s="7"/>
      <c r="E30" s="7"/>
      <c r="F30" s="7"/>
      <c r="G30" s="7"/>
      <c r="H30" s="4"/>
      <c r="I30" s="4"/>
      <c r="J30" s="7"/>
      <c r="K30" s="12"/>
      <c r="L30" s="4"/>
      <c r="M30" s="4"/>
      <c r="N30" s="8"/>
      <c r="O30" s="8"/>
      <c r="P30" s="13"/>
      <c r="Q30" s="4"/>
      <c r="R30" s="2"/>
      <c r="S30" s="8"/>
    </row>
    <row r="31" spans="2:33">
      <c r="B31" s="5"/>
      <c r="C31" s="4"/>
      <c r="D31" s="7"/>
      <c r="E31" s="7"/>
      <c r="F31" s="7"/>
      <c r="G31" s="7"/>
      <c r="H31" s="4"/>
      <c r="I31" s="4"/>
      <c r="J31" s="7"/>
      <c r="K31" s="12"/>
      <c r="L31" s="4"/>
      <c r="M31" s="4"/>
      <c r="N31" s="8"/>
      <c r="O31" s="8"/>
      <c r="P31" s="13"/>
      <c r="Q31" s="4"/>
      <c r="R31" s="2"/>
      <c r="S31" s="8"/>
    </row>
    <row r="32" spans="2:33">
      <c r="B32" s="3" t="s">
        <v>178</v>
      </c>
      <c r="C32" s="2">
        <v>200</v>
      </c>
    </row>
    <row r="33" spans="2:26">
      <c r="B33" s="3" t="s">
        <v>115</v>
      </c>
      <c r="C33" s="2">
        <v>10</v>
      </c>
      <c r="D33" s="1" t="s">
        <v>116</v>
      </c>
      <c r="E33" s="2">
        <v>0.92</v>
      </c>
      <c r="K33" s="13"/>
      <c r="L33" s="4"/>
    </row>
    <row r="34" spans="2:26">
      <c r="B34" s="3" t="s">
        <v>114</v>
      </c>
      <c r="C34" s="5">
        <f>C32/C33</f>
        <v>20</v>
      </c>
      <c r="F34" s="1" t="s">
        <v>134</v>
      </c>
      <c r="H34" s="2" t="s">
        <v>179</v>
      </c>
      <c r="L34" s="4"/>
    </row>
    <row r="35" spans="2:26" ht="16.5">
      <c r="B35" s="1" t="s">
        <v>133</v>
      </c>
      <c r="C35" s="2">
        <v>40</v>
      </c>
      <c r="D35" s="3" t="s">
        <v>80</v>
      </c>
      <c r="E35" s="8">
        <f>1/SIN(RADIANS(C35))^2</f>
        <v>2.4202766254612067</v>
      </c>
      <c r="F35" s="73">
        <v>40</v>
      </c>
      <c r="H35" s="10">
        <v>13.2</v>
      </c>
      <c r="L35" s="4"/>
    </row>
    <row r="36" spans="2:26">
      <c r="B36" s="3" t="s">
        <v>182</v>
      </c>
      <c r="C36" s="2">
        <v>3</v>
      </c>
      <c r="K36" s="13"/>
      <c r="L36" s="4"/>
    </row>
    <row r="37" spans="2:26">
      <c r="K37" s="10"/>
    </row>
    <row r="38" spans="2:26" ht="50.1">
      <c r="B38" s="6" t="s">
        <v>134</v>
      </c>
      <c r="C38" s="2" t="s">
        <v>183</v>
      </c>
      <c r="D38" s="2" t="s">
        <v>184</v>
      </c>
      <c r="E38" s="2" t="s">
        <v>118</v>
      </c>
      <c r="F38" s="2" t="s">
        <v>150</v>
      </c>
      <c r="G38" s="2" t="s">
        <v>151</v>
      </c>
      <c r="H38" s="6" t="s">
        <v>152</v>
      </c>
      <c r="I38" s="2" t="s">
        <v>153</v>
      </c>
      <c r="J38" s="11" t="s">
        <v>154</v>
      </c>
      <c r="K38" s="11" t="s">
        <v>185</v>
      </c>
      <c r="L38" s="11" t="s">
        <v>186</v>
      </c>
      <c r="M38" s="11" t="s">
        <v>187</v>
      </c>
      <c r="N38" s="11" t="s">
        <v>141</v>
      </c>
      <c r="O38" s="11" t="s">
        <v>80</v>
      </c>
      <c r="P38" s="11" t="s">
        <v>188</v>
      </c>
      <c r="Q38" s="11" t="s">
        <v>189</v>
      </c>
      <c r="R38" s="35" t="s">
        <v>190</v>
      </c>
      <c r="S38" s="35" t="s">
        <v>157</v>
      </c>
      <c r="T38" s="35" t="s">
        <v>158</v>
      </c>
      <c r="U38" s="35" t="s">
        <v>70</v>
      </c>
      <c r="V38" s="35" t="s">
        <v>166</v>
      </c>
      <c r="W38" s="35" t="s">
        <v>189</v>
      </c>
      <c r="X38" s="35" t="s">
        <v>120</v>
      </c>
      <c r="Y38" s="35" t="s">
        <v>122</v>
      </c>
      <c r="Z38" s="35" t="s">
        <v>125</v>
      </c>
    </row>
    <row r="39" spans="2:26">
      <c r="B39" s="5">
        <v>40</v>
      </c>
      <c r="C39" s="4">
        <f>(COS(RADIANS($C$22+B39))/COS(RADIANS(B39)))^2</f>
        <v>0.11415226365526893</v>
      </c>
      <c r="D39" s="7">
        <v>3024</v>
      </c>
      <c r="E39" s="7">
        <v>302400</v>
      </c>
      <c r="F39" s="7">
        <v>228669.41787992831</v>
      </c>
      <c r="G39" s="7">
        <v>162683</v>
      </c>
      <c r="H39" s="4">
        <f>G39/E39</f>
        <v>0.53797288359788364</v>
      </c>
      <c r="I39" s="4">
        <f>1-G39/(F39*$E$20)</f>
        <v>0.22670311812776811</v>
      </c>
      <c r="J39" s="7">
        <f>0.95*G39</f>
        <v>154548.85</v>
      </c>
      <c r="K39" s="12">
        <f>0.5*H35</f>
        <v>6.6</v>
      </c>
      <c r="L39" s="4">
        <v>4.2863384419863078</v>
      </c>
      <c r="M39" s="4">
        <v>10.44423988136953</v>
      </c>
      <c r="N39" s="8">
        <f>PI()*SQRT(M39^2-(K39-L39)^2)*(K39+L39)</f>
        <v>348.32291388329276</v>
      </c>
      <c r="O39" s="8">
        <f>(K39/L39)^2</f>
        <v>2.3709093680019246</v>
      </c>
      <c r="P39" s="13">
        <f>G39*0.95/(PI()*K39^2)*O39</f>
        <v>2677.5832754834523</v>
      </c>
      <c r="Q39" s="4">
        <f>P39*SIN(0.00465)^2</f>
        <v>5.7895627089604135E-2</v>
      </c>
      <c r="R39" s="7">
        <v>154616.976</v>
      </c>
      <c r="S39" s="7">
        <v>142884.54999999999</v>
      </c>
      <c r="T39" s="7">
        <f>S39/(PI()*L39^2)</f>
        <v>2475.4974327209748</v>
      </c>
      <c r="U39" s="4">
        <f>S39/J39</f>
        <v>0.92452677583818954</v>
      </c>
      <c r="V39" s="4">
        <f>S39/E39</f>
        <v>0.47250181878306874</v>
      </c>
      <c r="W39" s="4">
        <f>T39*SIN(0.00465)^2</f>
        <v>5.3526057448281851E-2</v>
      </c>
      <c r="X39" s="7">
        <v>899040.97230497247</v>
      </c>
      <c r="Y39" s="8">
        <f>E39/X39</f>
        <v>0.33635841893245766</v>
      </c>
      <c r="Z39" s="5">
        <v>170.07135874002699</v>
      </c>
    </row>
    <row r="40" spans="2:26">
      <c r="B40" s="5"/>
      <c r="C40" s="4"/>
      <c r="D40" s="7"/>
      <c r="E40" s="7"/>
      <c r="F40" s="7"/>
      <c r="G40" s="7"/>
      <c r="H40" s="4"/>
      <c r="I40" s="4"/>
      <c r="J40" s="7"/>
      <c r="K40" s="12"/>
      <c r="L40" s="4"/>
      <c r="M40" s="4"/>
      <c r="N40" s="8"/>
      <c r="O40" s="8"/>
      <c r="P40" s="13"/>
      <c r="Q40" s="4"/>
      <c r="R40" s="38"/>
      <c r="S40" s="8"/>
      <c r="T40" s="11"/>
      <c r="U40" s="11"/>
      <c r="V40" s="11"/>
    </row>
    <row r="41" spans="2:26">
      <c r="B41" s="5"/>
      <c r="C41" s="4"/>
      <c r="D41" s="7"/>
      <c r="E41" s="7"/>
      <c r="F41" s="7"/>
      <c r="G41" s="7"/>
      <c r="H41" s="4"/>
      <c r="I41" s="4"/>
      <c r="J41" s="7"/>
      <c r="K41" s="12"/>
      <c r="L41" s="4"/>
      <c r="M41" s="4"/>
      <c r="N41" s="8"/>
      <c r="O41" s="8"/>
      <c r="P41" s="13"/>
      <c r="Q41" s="4"/>
      <c r="R41" s="7"/>
      <c r="S41" s="8"/>
      <c r="T41" s="4"/>
      <c r="U41" s="2"/>
      <c r="V41" s="8"/>
      <c r="X41" s="42"/>
    </row>
    <row r="42" spans="2:26">
      <c r="B42" s="5"/>
      <c r="C42" s="4"/>
      <c r="D42" s="7"/>
      <c r="E42" s="7"/>
      <c r="F42" s="7"/>
      <c r="G42" s="7"/>
      <c r="H42" s="4"/>
      <c r="I42" s="4"/>
      <c r="J42" s="7"/>
      <c r="K42" s="10"/>
      <c r="L42" s="4"/>
      <c r="M42" s="4"/>
      <c r="N42" s="8"/>
      <c r="O42" s="8"/>
      <c r="P42" s="7"/>
      <c r="Q42" s="4"/>
      <c r="R42" s="4"/>
      <c r="S42" s="13"/>
      <c r="T42" s="4"/>
      <c r="U42" s="2"/>
      <c r="V42" s="8"/>
      <c r="X42" s="42"/>
    </row>
    <row r="43" spans="2:26">
      <c r="B43" s="5"/>
      <c r="C43" s="4"/>
      <c r="D43" s="7"/>
      <c r="E43" s="7"/>
      <c r="F43" s="7"/>
      <c r="G43" s="7"/>
      <c r="H43" s="4"/>
      <c r="I43" s="4"/>
      <c r="J43" s="7"/>
      <c r="K43" s="10"/>
      <c r="L43" s="4"/>
      <c r="M43" s="4"/>
      <c r="N43" s="8"/>
      <c r="O43" s="8"/>
      <c r="P43" s="7"/>
      <c r="Q43" s="4"/>
      <c r="R43" s="4"/>
      <c r="S43" s="13"/>
      <c r="T43" s="4"/>
      <c r="U43" s="2"/>
      <c r="V43" s="8"/>
      <c r="X43" s="42"/>
    </row>
    <row r="44" spans="2:26">
      <c r="B44" s="5"/>
      <c r="C44" s="4"/>
      <c r="D44" s="7"/>
      <c r="E44" s="7"/>
      <c r="F44" s="7"/>
      <c r="G44" s="7"/>
      <c r="H44" s="4"/>
      <c r="I44" s="4"/>
      <c r="J44" s="7"/>
      <c r="K44" s="10"/>
      <c r="L44" s="4"/>
      <c r="M44" s="4"/>
      <c r="N44" s="8"/>
      <c r="O44" s="8"/>
      <c r="P44" s="7"/>
      <c r="Q44" s="4"/>
      <c r="R44" s="4"/>
      <c r="S44" s="13"/>
      <c r="T44" s="4"/>
      <c r="U44" s="2"/>
      <c r="V44" s="8"/>
      <c r="X44" s="42"/>
    </row>
    <row r="45" spans="2:26">
      <c r="B45" s="5"/>
      <c r="C45" s="4"/>
      <c r="D45" s="7"/>
      <c r="E45" s="7"/>
      <c r="F45" s="7"/>
      <c r="G45" s="7"/>
      <c r="H45" s="4"/>
      <c r="I45" s="4"/>
      <c r="J45" s="7"/>
      <c r="K45" s="10"/>
      <c r="L45" s="4"/>
      <c r="M45" s="4"/>
      <c r="N45" s="8"/>
      <c r="O45" s="8"/>
      <c r="P45" s="7"/>
      <c r="Q45" s="4"/>
      <c r="R45" s="4"/>
      <c r="S45" s="13"/>
      <c r="T45" s="4"/>
      <c r="U45" s="2"/>
      <c r="V45" s="8"/>
      <c r="X45" s="42"/>
    </row>
    <row r="46" spans="2:26">
      <c r="B46" s="5"/>
      <c r="C46" s="4"/>
      <c r="D46" s="7"/>
      <c r="E46" s="7"/>
      <c r="F46" s="7"/>
      <c r="G46" s="7"/>
      <c r="H46" s="4"/>
      <c r="I46" s="4"/>
      <c r="J46" s="7"/>
      <c r="K46" s="10"/>
      <c r="L46" s="4"/>
      <c r="M46" s="4"/>
      <c r="N46" s="8"/>
      <c r="O46" s="8"/>
      <c r="P46" s="7"/>
      <c r="Q46" s="4"/>
      <c r="R46" s="4"/>
      <c r="S46" s="13"/>
      <c r="T46" s="4"/>
      <c r="U46" s="2"/>
      <c r="V46" s="8"/>
      <c r="X46" s="42"/>
    </row>
    <row r="47" spans="2:26">
      <c r="C47" s="4"/>
      <c r="E47" s="7"/>
      <c r="F47" s="7"/>
      <c r="G47" s="7"/>
      <c r="H47" s="4"/>
      <c r="I47" s="4"/>
      <c r="J47" s="4"/>
    </row>
    <row r="48" spans="2:26">
      <c r="B48" s="3"/>
      <c r="C48" s="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2:23">
      <c r="B49" s="3"/>
      <c r="C49" s="2"/>
      <c r="D49" s="1"/>
      <c r="E49" s="15"/>
      <c r="F49" s="15"/>
      <c r="G49" s="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2:23">
      <c r="B50" s="3"/>
      <c r="C50" s="5"/>
      <c r="E50" s="15"/>
      <c r="F50" s="15"/>
      <c r="G50" s="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2:23">
      <c r="B51" s="1"/>
      <c r="C51" s="2"/>
      <c r="E51" s="15"/>
      <c r="F51" s="15"/>
      <c r="G51" s="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2:23">
      <c r="B52" s="3"/>
      <c r="C52" s="2"/>
      <c r="G52" s="5"/>
      <c r="K52" s="13"/>
      <c r="L52" s="4"/>
    </row>
    <row r="53" spans="2:23">
      <c r="B53" s="3"/>
      <c r="C53" s="2"/>
      <c r="D53" s="1"/>
      <c r="E53" s="2"/>
      <c r="G53" s="5"/>
      <c r="K53" s="13"/>
      <c r="L53" s="4"/>
    </row>
    <row r="54" spans="2:23">
      <c r="B54" s="3"/>
      <c r="C54" s="5"/>
      <c r="K54" s="13"/>
      <c r="L54" s="4"/>
    </row>
    <row r="55" spans="2:23">
      <c r="B55" s="1"/>
      <c r="C55" s="2"/>
      <c r="D55" s="3"/>
      <c r="E55" s="8"/>
      <c r="F55" s="2"/>
      <c r="K55" s="13"/>
      <c r="L55" s="4"/>
    </row>
    <row r="56" spans="2:23">
      <c r="B56" s="3"/>
      <c r="C56" s="2"/>
      <c r="K56" s="13"/>
      <c r="L56" s="4"/>
    </row>
    <row r="57" spans="2:23">
      <c r="K57" s="10"/>
      <c r="L57" s="2"/>
    </row>
    <row r="58" spans="2:23" s="36" customFormat="1">
      <c r="B58" s="33"/>
      <c r="C58" s="34"/>
      <c r="D58" s="34"/>
      <c r="E58" s="34"/>
      <c r="F58" s="34"/>
      <c r="G58" s="34"/>
      <c r="H58" s="33"/>
      <c r="I58" s="34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2:23">
      <c r="B59" s="5"/>
      <c r="C59" s="37"/>
      <c r="D59" s="38"/>
      <c r="E59" s="38"/>
      <c r="F59" s="38"/>
      <c r="G59" s="38"/>
      <c r="H59" s="37"/>
      <c r="I59" s="37"/>
      <c r="J59" s="38"/>
      <c r="K59" s="39"/>
      <c r="L59" s="37"/>
      <c r="M59" s="37"/>
      <c r="N59" s="40"/>
      <c r="O59" s="40"/>
      <c r="P59" s="41"/>
      <c r="Q59" s="4"/>
      <c r="R59" s="4"/>
      <c r="S59" s="13"/>
      <c r="T59" s="37"/>
      <c r="U59" s="41"/>
      <c r="V59" s="40"/>
      <c r="W59" s="43"/>
    </row>
    <row r="60" spans="2:23">
      <c r="B60" s="5"/>
      <c r="C60" s="37"/>
      <c r="D60" s="38"/>
      <c r="E60" s="38"/>
      <c r="F60" s="38"/>
      <c r="G60" s="38"/>
      <c r="H60" s="37"/>
      <c r="I60" s="37"/>
      <c r="J60" s="38"/>
      <c r="K60" s="39"/>
      <c r="L60" s="37"/>
      <c r="M60" s="37"/>
      <c r="N60" s="40"/>
      <c r="O60" s="40"/>
      <c r="P60" s="41"/>
      <c r="Q60" s="4"/>
      <c r="R60" s="4"/>
      <c r="S60" s="13"/>
      <c r="T60" s="37"/>
      <c r="U60" s="41"/>
      <c r="V60" s="40"/>
      <c r="W60" s="43"/>
    </row>
    <row r="61" spans="2:23">
      <c r="B61" s="5"/>
      <c r="C61" s="37"/>
      <c r="D61" s="38"/>
      <c r="E61" s="38"/>
      <c r="F61" s="38"/>
      <c r="G61" s="38"/>
      <c r="H61" s="37"/>
      <c r="I61" s="37"/>
      <c r="J61" s="38"/>
      <c r="K61" s="39"/>
      <c r="L61" s="37"/>
      <c r="M61" s="37"/>
      <c r="N61" s="40"/>
      <c r="O61" s="40"/>
      <c r="P61" s="41"/>
      <c r="Q61" s="4"/>
      <c r="R61" s="4"/>
      <c r="S61" s="13"/>
      <c r="T61" s="37"/>
      <c r="U61" s="41"/>
      <c r="V61" s="40"/>
      <c r="W61" s="43"/>
    </row>
    <row r="62" spans="2:23">
      <c r="K62"/>
    </row>
    <row r="63" spans="2:23">
      <c r="B63" s="5"/>
      <c r="C63" s="37"/>
      <c r="D63" s="38"/>
      <c r="E63" s="38"/>
      <c r="F63" s="38"/>
      <c r="G63" s="38"/>
      <c r="H63" s="37"/>
      <c r="I63" s="37"/>
      <c r="J63" s="38"/>
      <c r="K63" s="39"/>
      <c r="L63" s="37"/>
      <c r="M63" s="37"/>
      <c r="N63" s="40"/>
      <c r="O63" s="40"/>
      <c r="P63" s="41"/>
      <c r="Q63" s="4"/>
      <c r="R63" s="4"/>
      <c r="S63" s="13"/>
      <c r="T63" s="37"/>
      <c r="U63" s="41"/>
      <c r="V63" s="40"/>
      <c r="W63" s="43"/>
    </row>
    <row r="64" spans="2:23">
      <c r="B64" s="5"/>
      <c r="C64" s="28"/>
      <c r="D64" s="29"/>
      <c r="E64" s="29"/>
      <c r="F64" s="29"/>
      <c r="G64" s="29"/>
      <c r="H64" s="28"/>
      <c r="I64" s="28"/>
      <c r="J64" s="29"/>
      <c r="K64" s="30"/>
      <c r="L64" s="28"/>
      <c r="M64" s="28"/>
      <c r="N64" s="31"/>
      <c r="O64" s="31"/>
      <c r="P64" s="41"/>
      <c r="Q64" s="4"/>
      <c r="R64" s="4"/>
      <c r="S64" s="13"/>
      <c r="T64" s="28"/>
      <c r="U64" s="32"/>
      <c r="V64" s="31"/>
      <c r="W64" s="43"/>
    </row>
    <row r="67" spans="2:25">
      <c r="B67" s="3"/>
      <c r="C67" s="2"/>
      <c r="G67" s="5"/>
      <c r="K67" s="13"/>
      <c r="L67" s="4"/>
    </row>
    <row r="68" spans="2:25">
      <c r="B68" s="3"/>
      <c r="C68" s="2"/>
      <c r="D68" s="1"/>
      <c r="E68" s="2"/>
      <c r="G68" s="5"/>
      <c r="K68" s="13"/>
      <c r="L68" s="4"/>
    </row>
    <row r="69" spans="2:25">
      <c r="B69" s="3"/>
      <c r="C69" s="5"/>
      <c r="K69" s="13"/>
      <c r="L69" s="4"/>
    </row>
    <row r="70" spans="2:25">
      <c r="B70" s="1"/>
      <c r="C70" s="2"/>
      <c r="D70" s="3"/>
      <c r="E70" s="8"/>
      <c r="F70" s="2"/>
      <c r="K70" s="13"/>
      <c r="L70" s="4"/>
    </row>
    <row r="71" spans="2:25">
      <c r="B71" s="3"/>
      <c r="C71" s="2"/>
      <c r="K71" s="13"/>
      <c r="L71" s="4"/>
    </row>
    <row r="72" spans="2:25">
      <c r="K72"/>
      <c r="M72" s="10"/>
      <c r="N72" s="2"/>
    </row>
    <row r="73" spans="2:25">
      <c r="B73" s="33"/>
      <c r="C73" s="34"/>
      <c r="D73" s="34"/>
      <c r="E73" s="34"/>
      <c r="F73" s="34"/>
      <c r="G73" s="34"/>
      <c r="H73" s="33"/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2:25">
      <c r="B74" s="5"/>
      <c r="C74" s="37"/>
      <c r="D74" s="38"/>
      <c r="E74" s="38"/>
      <c r="F74" s="38"/>
      <c r="G74" s="38"/>
      <c r="H74" s="37"/>
      <c r="I74" s="37"/>
      <c r="J74" s="38"/>
      <c r="K74" s="4"/>
      <c r="L74" s="7"/>
      <c r="M74" s="39"/>
      <c r="N74" s="37"/>
      <c r="O74" s="37"/>
      <c r="P74" s="40"/>
      <c r="Q74" s="40"/>
      <c r="R74" s="41"/>
      <c r="S74" s="4"/>
      <c r="T74" s="4"/>
      <c r="U74" s="13"/>
      <c r="V74" s="37"/>
      <c r="W74" s="41"/>
      <c r="X74" s="40"/>
      <c r="Y74" s="43"/>
    </row>
    <row r="75" spans="2:25">
      <c r="B75" s="5"/>
      <c r="C75" s="37"/>
      <c r="D75" s="38"/>
      <c r="E75" s="38"/>
      <c r="F75" s="38"/>
      <c r="G75" s="38"/>
      <c r="H75" s="37"/>
      <c r="I75" s="37"/>
      <c r="J75" s="38"/>
      <c r="K75" s="37"/>
      <c r="L75" s="7"/>
      <c r="M75" s="39"/>
      <c r="N75" s="37"/>
      <c r="O75" s="37"/>
      <c r="P75" s="40"/>
      <c r="Q75" s="40"/>
      <c r="R75" s="41"/>
      <c r="S75" s="37"/>
      <c r="T75" s="4"/>
      <c r="U75" s="50"/>
      <c r="V75" s="37"/>
      <c r="W75" s="41"/>
      <c r="X75" s="40"/>
      <c r="Y75" s="43"/>
    </row>
    <row r="76" spans="2:25">
      <c r="B76" s="5"/>
      <c r="C76" s="37"/>
      <c r="D76" s="38"/>
      <c r="E76" s="38"/>
      <c r="F76" s="38"/>
      <c r="G76" s="38"/>
      <c r="H76" s="37"/>
      <c r="I76" s="37"/>
      <c r="J76" s="38"/>
      <c r="K76" s="37"/>
      <c r="L76" s="7"/>
      <c r="M76" s="39"/>
      <c r="N76" s="37"/>
      <c r="O76" s="37"/>
      <c r="P76" s="40"/>
      <c r="Q76" s="40"/>
      <c r="R76" s="41"/>
      <c r="S76" s="37"/>
      <c r="T76" s="4"/>
      <c r="U76" s="50"/>
      <c r="V76" s="37"/>
      <c r="W76" s="41"/>
      <c r="X76" s="40"/>
      <c r="Y76" s="43"/>
    </row>
    <row r="77" spans="2:25">
      <c r="B77" s="45"/>
      <c r="C77" s="51"/>
      <c r="D77" s="52"/>
      <c r="E77" s="52"/>
      <c r="F77" s="52"/>
      <c r="G77" s="52"/>
      <c r="H77" s="51"/>
      <c r="I77" s="51"/>
      <c r="J77" s="52"/>
      <c r="K77" s="51"/>
      <c r="L77" s="47"/>
      <c r="M77" s="53"/>
      <c r="N77" s="51"/>
      <c r="O77" s="51"/>
      <c r="P77" s="54"/>
      <c r="Q77" s="54"/>
      <c r="R77" s="55"/>
      <c r="S77" s="51"/>
      <c r="T77" s="46"/>
      <c r="U77" s="56"/>
      <c r="V77" s="51"/>
      <c r="W77" s="55"/>
      <c r="X77" s="54"/>
      <c r="Y77" s="57"/>
    </row>
    <row r="78" spans="2:25">
      <c r="B78" s="5"/>
      <c r="C78" s="37"/>
      <c r="D78" s="38"/>
      <c r="E78" s="38"/>
      <c r="F78" s="38"/>
      <c r="G78" s="38"/>
      <c r="H78" s="37"/>
      <c r="I78" s="37"/>
      <c r="J78" s="38"/>
      <c r="K78" s="37"/>
      <c r="L78" s="7"/>
      <c r="M78" s="39"/>
      <c r="N78" s="37"/>
      <c r="O78" s="37"/>
      <c r="P78" s="40"/>
      <c r="Q78" s="40"/>
      <c r="R78" s="41"/>
      <c r="S78" s="37"/>
      <c r="T78" s="4"/>
      <c r="U78" s="50"/>
      <c r="V78" s="37"/>
      <c r="W78" s="41"/>
      <c r="X78" s="40"/>
      <c r="Y78" s="43"/>
    </row>
    <row r="79" spans="2:25">
      <c r="B79" s="5"/>
      <c r="C79" s="28"/>
      <c r="D79" s="29"/>
      <c r="E79" s="29"/>
      <c r="F79" s="29"/>
      <c r="G79" s="29"/>
      <c r="H79" s="28"/>
      <c r="I79" s="28"/>
      <c r="J79" s="29"/>
      <c r="M79" s="30"/>
      <c r="N79" s="28"/>
      <c r="O79" s="28"/>
      <c r="P79" s="31"/>
      <c r="Q79" s="31"/>
      <c r="R79" s="41"/>
      <c r="S79" s="4"/>
      <c r="T79" s="4"/>
      <c r="U79" s="13"/>
      <c r="V79" s="28"/>
      <c r="W79" s="32"/>
      <c r="X79" s="31"/>
      <c r="Y79" s="43"/>
    </row>
    <row r="80" spans="2:25">
      <c r="L80" s="9"/>
    </row>
    <row r="81" spans="2:25">
      <c r="B81" s="5"/>
      <c r="C81" s="37"/>
      <c r="D81" s="38"/>
      <c r="E81" s="38"/>
      <c r="F81" s="38"/>
      <c r="G81" s="38"/>
      <c r="H81" s="37"/>
      <c r="I81" s="37"/>
      <c r="J81" s="38"/>
      <c r="K81" s="37"/>
      <c r="L81" s="7"/>
      <c r="M81" s="39"/>
      <c r="N81" s="37"/>
      <c r="O81" s="37"/>
      <c r="P81" s="40"/>
      <c r="Q81" s="40"/>
      <c r="R81" s="41"/>
      <c r="S81" s="37"/>
      <c r="T81" s="37"/>
      <c r="U81" s="50"/>
      <c r="V81" s="37"/>
      <c r="W81" s="41"/>
      <c r="X81" s="40"/>
      <c r="Y81" s="43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58"/>
  <sheetViews>
    <sheetView zoomScale="75" workbookViewId="0">
      <selection activeCell="R18" sqref="R18"/>
    </sheetView>
  </sheetViews>
  <sheetFormatPr defaultRowHeight="15.6"/>
  <cols>
    <col min="1" max="1" width="21.21875" bestFit="1" customWidth="1"/>
  </cols>
  <sheetData>
    <row r="1" spans="1:14" ht="17.45">
      <c r="B1" s="90" t="s">
        <v>191</v>
      </c>
      <c r="G1" s="70" t="s">
        <v>192</v>
      </c>
      <c r="H1" s="70" t="s">
        <v>193</v>
      </c>
      <c r="J1" s="90" t="s">
        <v>194</v>
      </c>
    </row>
    <row r="2" spans="1:14">
      <c r="A2" s="137"/>
      <c r="B2" s="137"/>
      <c r="C2" s="137"/>
      <c r="D2" s="137"/>
      <c r="E2" s="137"/>
      <c r="G2" s="137"/>
      <c r="H2" s="137"/>
      <c r="I2" s="137"/>
      <c r="J2" s="137"/>
      <c r="K2" s="137"/>
      <c r="L2" s="137"/>
      <c r="M2" s="137"/>
    </row>
    <row r="3" spans="1:14">
      <c r="A3" s="71" t="s">
        <v>195</v>
      </c>
      <c r="B3" s="70">
        <v>22</v>
      </c>
      <c r="C3" s="70">
        <v>53</v>
      </c>
      <c r="D3" s="70">
        <v>82</v>
      </c>
      <c r="E3" s="70">
        <v>112</v>
      </c>
      <c r="F3" s="70">
        <v>142</v>
      </c>
      <c r="G3" s="70">
        <v>173</v>
      </c>
      <c r="H3" s="70">
        <v>203</v>
      </c>
      <c r="I3" s="70">
        <v>234</v>
      </c>
      <c r="J3" s="70">
        <v>262</v>
      </c>
      <c r="K3" s="70">
        <v>295</v>
      </c>
      <c r="L3" s="70">
        <v>326</v>
      </c>
      <c r="M3" s="70">
        <v>356</v>
      </c>
      <c r="N3" s="58"/>
    </row>
    <row r="4" spans="1:14">
      <c r="A4" s="71" t="s">
        <v>196</v>
      </c>
      <c r="B4" s="70">
        <v>31</v>
      </c>
      <c r="C4" s="70">
        <v>28</v>
      </c>
      <c r="D4" s="70">
        <v>31</v>
      </c>
      <c r="E4" s="70">
        <v>30</v>
      </c>
      <c r="F4" s="70">
        <v>31</v>
      </c>
      <c r="G4" s="70">
        <v>30</v>
      </c>
      <c r="H4" s="70">
        <v>31</v>
      </c>
      <c r="I4" s="70">
        <v>30</v>
      </c>
      <c r="J4" s="70">
        <v>31</v>
      </c>
      <c r="K4" s="70">
        <v>31</v>
      </c>
      <c r="L4" s="70">
        <v>30</v>
      </c>
      <c r="M4" s="70">
        <v>31</v>
      </c>
      <c r="N4" s="58"/>
    </row>
    <row r="5" spans="1:14">
      <c r="A5" s="71"/>
      <c r="B5" s="70" t="s">
        <v>86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91"/>
    </row>
    <row r="6" spans="1:14">
      <c r="A6" s="71" t="s">
        <v>87</v>
      </c>
      <c r="B6" s="70">
        <v>1</v>
      </c>
      <c r="C6" s="70">
        <v>2</v>
      </c>
      <c r="D6" s="70">
        <v>3</v>
      </c>
      <c r="E6" s="70">
        <v>4</v>
      </c>
      <c r="F6" s="70">
        <v>5</v>
      </c>
      <c r="G6" s="70">
        <v>6</v>
      </c>
      <c r="H6" s="70">
        <v>7</v>
      </c>
      <c r="I6" s="70">
        <v>8</v>
      </c>
      <c r="J6" s="70">
        <v>9</v>
      </c>
      <c r="K6" s="70">
        <v>10</v>
      </c>
      <c r="L6" s="70">
        <v>11</v>
      </c>
      <c r="M6" s="70">
        <v>12</v>
      </c>
      <c r="N6" s="91"/>
    </row>
    <row r="7" spans="1:14">
      <c r="A7" s="71">
        <v>5</v>
      </c>
      <c r="B7" s="38">
        <v>0</v>
      </c>
      <c r="C7" s="41">
        <v>0</v>
      </c>
      <c r="D7" s="41">
        <v>0</v>
      </c>
      <c r="E7" s="41">
        <v>0</v>
      </c>
      <c r="F7" s="38">
        <v>15.161290322580646</v>
      </c>
      <c r="G7" s="38">
        <v>40.56666666666667</v>
      </c>
      <c r="H7" s="38">
        <v>13.064516129032258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88"/>
    </row>
    <row r="8" spans="1:14">
      <c r="A8" s="71">
        <v>6</v>
      </c>
      <c r="B8" s="38">
        <v>0</v>
      </c>
      <c r="C8" s="38">
        <v>0</v>
      </c>
      <c r="D8" s="38">
        <v>11.838709677419354</v>
      </c>
      <c r="E8" s="38">
        <v>155.03333333333333</v>
      </c>
      <c r="F8" s="38">
        <v>296.74193548387098</v>
      </c>
      <c r="G8" s="38">
        <v>408.7</v>
      </c>
      <c r="H8" s="38">
        <v>297.22580645161293</v>
      </c>
      <c r="I8" s="38">
        <v>179.38709677419354</v>
      </c>
      <c r="J8" s="38">
        <v>78.903225806451616</v>
      </c>
      <c r="K8" s="38">
        <v>9.2903225806451619</v>
      </c>
      <c r="L8" s="38">
        <v>0</v>
      </c>
      <c r="M8" s="38">
        <v>0</v>
      </c>
      <c r="N8" s="87"/>
    </row>
    <row r="9" spans="1:14">
      <c r="A9" s="71">
        <v>7</v>
      </c>
      <c r="B9" s="38">
        <v>3.4838709677419355</v>
      </c>
      <c r="C9" s="38">
        <v>71.035714285714292</v>
      </c>
      <c r="D9" s="38">
        <v>272.51612903225805</v>
      </c>
      <c r="E9" s="38">
        <v>510.9</v>
      </c>
      <c r="F9" s="38">
        <v>549.93548387096769</v>
      </c>
      <c r="G9" s="38">
        <v>642.29999999999995</v>
      </c>
      <c r="H9" s="38">
        <v>543.12903225806451</v>
      </c>
      <c r="I9" s="38">
        <v>504.64516129032256</v>
      </c>
      <c r="J9" s="38">
        <v>475.83870967741933</v>
      </c>
      <c r="K9" s="38">
        <v>324.83870967741933</v>
      </c>
      <c r="L9" s="38">
        <v>118.5</v>
      </c>
      <c r="M9" s="38">
        <v>24.258064516129032</v>
      </c>
      <c r="N9" s="88"/>
    </row>
    <row r="10" spans="1:14">
      <c r="A10" s="71">
        <v>8</v>
      </c>
      <c r="B10" s="38">
        <v>264</v>
      </c>
      <c r="C10" s="38">
        <v>387.35714285714283</v>
      </c>
      <c r="D10" s="38">
        <v>557.16129032258061</v>
      </c>
      <c r="E10" s="38">
        <v>681.33333333333337</v>
      </c>
      <c r="F10" s="38">
        <v>676</v>
      </c>
      <c r="G10" s="38">
        <v>749.86666666666667</v>
      </c>
      <c r="H10" s="38">
        <v>667.12903225806451</v>
      </c>
      <c r="I10" s="38">
        <v>669.32258064516134</v>
      </c>
      <c r="J10" s="38">
        <v>673.38709677419354</v>
      </c>
      <c r="K10" s="38">
        <v>580.64516129032256</v>
      </c>
      <c r="L10" s="38">
        <v>496</v>
      </c>
      <c r="M10" s="38">
        <v>347.80645161290323</v>
      </c>
      <c r="N10" s="89"/>
    </row>
    <row r="11" spans="1:14">
      <c r="A11" s="71">
        <v>9</v>
      </c>
      <c r="B11" s="38">
        <v>518.41935483870964</v>
      </c>
      <c r="C11" s="38">
        <v>545.35714285714289</v>
      </c>
      <c r="D11" s="38">
        <v>691.70967741935488</v>
      </c>
      <c r="E11" s="38">
        <v>797.86666666666667</v>
      </c>
      <c r="F11" s="38">
        <v>735.74193548387098</v>
      </c>
      <c r="G11" s="38">
        <v>812.16666666666663</v>
      </c>
      <c r="H11" s="38">
        <v>731.77419354838707</v>
      </c>
      <c r="I11" s="38">
        <v>745.93548387096769</v>
      </c>
      <c r="J11" s="38">
        <v>771.41935483870964</v>
      </c>
      <c r="K11" s="38">
        <v>703.64516129032256</v>
      </c>
      <c r="L11" s="38">
        <v>672.5333333333333</v>
      </c>
      <c r="M11" s="38">
        <v>550.80645161290317</v>
      </c>
      <c r="N11" s="89"/>
    </row>
    <row r="12" spans="1:14">
      <c r="A12" s="71">
        <v>10</v>
      </c>
      <c r="B12" s="38">
        <v>655.22580645161293</v>
      </c>
      <c r="C12" s="38">
        <v>628.78571428571433</v>
      </c>
      <c r="D12" s="38">
        <v>737</v>
      </c>
      <c r="E12" s="38">
        <v>846.7</v>
      </c>
      <c r="F12" s="38">
        <v>769.9677419354839</v>
      </c>
      <c r="G12" s="38">
        <v>837.43333333333328</v>
      </c>
      <c r="H12" s="38">
        <v>782.48387096774195</v>
      </c>
      <c r="I12" s="38">
        <v>809.35483870967744</v>
      </c>
      <c r="J12" s="38">
        <v>840.45161290322585</v>
      </c>
      <c r="K12" s="38">
        <v>763.12903225806451</v>
      </c>
      <c r="L12" s="38">
        <v>739.0333333333333</v>
      </c>
      <c r="M12" s="38">
        <v>650</v>
      </c>
      <c r="N12" s="89"/>
    </row>
    <row r="13" spans="1:14">
      <c r="A13" s="71">
        <v>11</v>
      </c>
      <c r="B13" s="38">
        <v>692.29032258064512</v>
      </c>
      <c r="C13" s="38">
        <v>664.60714285714289</v>
      </c>
      <c r="D13" s="38">
        <v>780.35483870967744</v>
      </c>
      <c r="E13" s="38">
        <v>871.16666666666663</v>
      </c>
      <c r="F13" s="38">
        <v>805.9677419354839</v>
      </c>
      <c r="G13" s="38">
        <v>853.83333333333337</v>
      </c>
      <c r="H13" s="38">
        <v>798.35483870967744</v>
      </c>
      <c r="I13" s="38">
        <v>806.87096774193549</v>
      </c>
      <c r="J13" s="38">
        <v>837.90322580645159</v>
      </c>
      <c r="K13" s="38">
        <v>806.70967741935488</v>
      </c>
      <c r="L13" s="38">
        <v>779.3</v>
      </c>
      <c r="M13" s="38">
        <v>690</v>
      </c>
      <c r="N13" s="89"/>
    </row>
    <row r="14" spans="1:14">
      <c r="A14" s="71">
        <v>12</v>
      </c>
      <c r="B14" s="38">
        <v>722.54838709677415</v>
      </c>
      <c r="C14" s="38">
        <v>683.75</v>
      </c>
      <c r="D14" s="38">
        <v>768.19354838709683</v>
      </c>
      <c r="E14" s="38">
        <v>890.3</v>
      </c>
      <c r="F14" s="38">
        <v>829.45161290322585</v>
      </c>
      <c r="G14" s="38">
        <v>859.43333333333328</v>
      </c>
      <c r="H14" s="38">
        <v>806.58064516129036</v>
      </c>
      <c r="I14" s="38">
        <v>828.90322580645159</v>
      </c>
      <c r="J14" s="38">
        <v>845.41935483870964</v>
      </c>
      <c r="K14" s="38">
        <v>776.51612903225805</v>
      </c>
      <c r="L14" s="38">
        <v>775</v>
      </c>
      <c r="M14" s="38">
        <v>682.51612903225805</v>
      </c>
      <c r="N14" s="89"/>
    </row>
    <row r="15" spans="1:14">
      <c r="A15" s="71">
        <v>13</v>
      </c>
      <c r="B15" s="38">
        <v>724.09677419354841</v>
      </c>
      <c r="C15" s="38">
        <v>667.85714285714289</v>
      </c>
      <c r="D15" s="38">
        <v>769.16129032258061</v>
      </c>
      <c r="E15" s="38">
        <v>846.13333333333333</v>
      </c>
      <c r="F15" s="38">
        <v>822.61290322580646</v>
      </c>
      <c r="G15" s="38">
        <v>826.4666666666667</v>
      </c>
      <c r="H15" s="38">
        <v>821.32258064516134</v>
      </c>
      <c r="I15" s="38">
        <v>799.22580645161293</v>
      </c>
      <c r="J15" s="38">
        <v>810.29032258064512</v>
      </c>
      <c r="K15" s="38">
        <v>752.90322580645159</v>
      </c>
      <c r="L15" s="38">
        <v>731.5333333333333</v>
      </c>
      <c r="M15" s="38">
        <v>681.48387096774195</v>
      </c>
      <c r="N15" s="89"/>
    </row>
    <row r="16" spans="1:14">
      <c r="A16" s="71">
        <v>14</v>
      </c>
      <c r="B16" s="38">
        <v>716.58064516129036</v>
      </c>
      <c r="C16" s="38">
        <v>677.10714285714289</v>
      </c>
      <c r="D16" s="38">
        <v>744.12903225806451</v>
      </c>
      <c r="E16" s="38">
        <v>833.76666666666665</v>
      </c>
      <c r="F16" s="38">
        <v>801.67741935483866</v>
      </c>
      <c r="G16" s="38">
        <v>842.2</v>
      </c>
      <c r="H16" s="38">
        <v>801.80645161290317</v>
      </c>
      <c r="I16" s="38">
        <v>784.87096774193549</v>
      </c>
      <c r="J16" s="38">
        <v>771.32258064516134</v>
      </c>
      <c r="K16" s="38">
        <v>756.70967741935488</v>
      </c>
      <c r="L16" s="38">
        <v>668</v>
      </c>
      <c r="M16" s="38">
        <v>661.06451612903231</v>
      </c>
      <c r="N16" s="89"/>
    </row>
    <row r="17" spans="1:14">
      <c r="A17" s="71">
        <v>15</v>
      </c>
      <c r="B17" s="38">
        <v>652.64516129032256</v>
      </c>
      <c r="C17" s="38">
        <v>645.64285714285711</v>
      </c>
      <c r="D17" s="38">
        <v>701.32258064516134</v>
      </c>
      <c r="E17" s="38">
        <v>814.16666666666663</v>
      </c>
      <c r="F17" s="38">
        <v>756.32258064516134</v>
      </c>
      <c r="G17" s="38">
        <v>776.63333333333333</v>
      </c>
      <c r="H17" s="38">
        <v>796.93548387096769</v>
      </c>
      <c r="I17" s="38">
        <v>743.32258064516134</v>
      </c>
      <c r="J17" s="38">
        <v>722.09677419354841</v>
      </c>
      <c r="K17" s="38">
        <v>699.06451612903231</v>
      </c>
      <c r="L17" s="38">
        <v>567.33333333333337</v>
      </c>
      <c r="M17" s="38">
        <v>568.09677419354841</v>
      </c>
      <c r="N17" s="89"/>
    </row>
    <row r="18" spans="1:14">
      <c r="A18" s="71">
        <v>16</v>
      </c>
      <c r="B18" s="38">
        <v>523.32258064516134</v>
      </c>
      <c r="C18" s="38">
        <v>581.07142857142856</v>
      </c>
      <c r="D18" s="38">
        <v>624.19354838709683</v>
      </c>
      <c r="E18" s="38">
        <v>721.76666666666665</v>
      </c>
      <c r="F18" s="38">
        <v>716.54838709677415</v>
      </c>
      <c r="G18" s="38">
        <v>747.5333333333333</v>
      </c>
      <c r="H18" s="38">
        <v>749.29032258064512</v>
      </c>
      <c r="I18" s="38">
        <v>663.41935483870964</v>
      </c>
      <c r="J18" s="38">
        <v>586.74193548387098</v>
      </c>
      <c r="K18" s="38">
        <v>596.45161290322585</v>
      </c>
      <c r="L18" s="38">
        <v>461.36666666666667</v>
      </c>
      <c r="M18" s="38">
        <v>409.22580645161293</v>
      </c>
      <c r="N18" s="89"/>
    </row>
    <row r="19" spans="1:14">
      <c r="A19" s="71">
        <v>17</v>
      </c>
      <c r="B19" s="38">
        <v>240.35483870967741</v>
      </c>
      <c r="C19" s="38">
        <v>426.14285714285717</v>
      </c>
      <c r="D19" s="38">
        <v>510.51612903225805</v>
      </c>
      <c r="E19" s="38">
        <v>653.43333333333328</v>
      </c>
      <c r="F19" s="38">
        <v>642.87096774193549</v>
      </c>
      <c r="G19" s="38">
        <v>670.3</v>
      </c>
      <c r="H19" s="38">
        <v>658.83870967741939</v>
      </c>
      <c r="I19" s="38">
        <v>569.51612903225805</v>
      </c>
      <c r="J19" s="38">
        <v>505.41935483870969</v>
      </c>
      <c r="K19" s="38">
        <v>343.25806451612902</v>
      </c>
      <c r="L19" s="38">
        <v>107.33333333333333</v>
      </c>
      <c r="M19" s="38">
        <v>109.3225806451613</v>
      </c>
      <c r="N19" s="89"/>
    </row>
    <row r="20" spans="1:14">
      <c r="A20" s="71">
        <v>18</v>
      </c>
      <c r="B20" s="38">
        <v>2.935483870967742</v>
      </c>
      <c r="C20" s="38">
        <v>83.857142857142861</v>
      </c>
      <c r="D20" s="38">
        <v>204.83870967741936</v>
      </c>
      <c r="E20" s="38">
        <v>429.06666666666666</v>
      </c>
      <c r="F20" s="38">
        <v>457.06451612903226</v>
      </c>
      <c r="G20" s="38">
        <v>528.06666666666672</v>
      </c>
      <c r="H20" s="38">
        <v>519.06451612903231</v>
      </c>
      <c r="I20" s="38">
        <v>403.45161290322579</v>
      </c>
      <c r="J20" s="38">
        <v>230.2258064516129</v>
      </c>
      <c r="K20" s="38">
        <v>19.225806451612904</v>
      </c>
      <c r="L20" s="38">
        <v>0</v>
      </c>
      <c r="M20" s="38">
        <v>0</v>
      </c>
      <c r="N20" s="89"/>
    </row>
    <row r="21" spans="1:14">
      <c r="A21" s="71">
        <v>19</v>
      </c>
      <c r="B21" s="38">
        <v>0</v>
      </c>
      <c r="C21" s="38">
        <v>0</v>
      </c>
      <c r="D21" s="38">
        <v>0.70967741935483875</v>
      </c>
      <c r="E21" s="38">
        <v>37.06666666666667</v>
      </c>
      <c r="F21" s="38">
        <v>108.35483870967742</v>
      </c>
      <c r="G21" s="38">
        <v>216.96666666666667</v>
      </c>
      <c r="H21" s="38">
        <v>197.12903225806451</v>
      </c>
      <c r="I21" s="38">
        <v>73.612903225806448</v>
      </c>
      <c r="J21" s="38">
        <v>2.2580645161290325</v>
      </c>
      <c r="K21" s="38">
        <v>0</v>
      </c>
      <c r="L21" s="38">
        <v>0</v>
      </c>
      <c r="M21" s="38">
        <v>0</v>
      </c>
      <c r="N21" s="89"/>
    </row>
    <row r="22" spans="1:14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89"/>
    </row>
    <row r="23" spans="1:14" ht="17.45">
      <c r="A23" s="71" t="s">
        <v>93</v>
      </c>
      <c r="B23" s="38">
        <f>SUM(B7:B21)*B4/1000</f>
        <v>177.19299999999998</v>
      </c>
      <c r="C23" s="38">
        <f t="shared" ref="C23:M23" si="0">SUM(C7:C21)*C4/1000</f>
        <v>169.75200000000001</v>
      </c>
      <c r="D23" s="38">
        <f t="shared" si="0"/>
        <v>228.58299999999997</v>
      </c>
      <c r="E23" s="38">
        <f t="shared" si="0"/>
        <v>272.661</v>
      </c>
      <c r="F23" s="38">
        <f t="shared" si="0"/>
        <v>278.517</v>
      </c>
      <c r="G23" s="38">
        <f t="shared" si="0"/>
        <v>294.37400000000002</v>
      </c>
      <c r="H23" s="38">
        <f t="shared" si="0"/>
        <v>284.70800000000003</v>
      </c>
      <c r="I23" s="38">
        <f t="shared" si="0"/>
        <v>257.45516129032256</v>
      </c>
      <c r="J23" s="38">
        <f t="shared" si="0"/>
        <v>252.70199999999994</v>
      </c>
      <c r="K23" s="38">
        <f t="shared" si="0"/>
        <v>221.10399999999998</v>
      </c>
      <c r="L23" s="38">
        <f t="shared" si="0"/>
        <v>183.47799999999998</v>
      </c>
      <c r="M23" s="38">
        <f t="shared" si="0"/>
        <v>166.61199999999997</v>
      </c>
      <c r="N23" s="89"/>
    </row>
    <row r="24" spans="1:14" ht="17.45">
      <c r="A24" s="71" t="s">
        <v>197</v>
      </c>
      <c r="B24" s="38">
        <f>SUM(B23:M23)</f>
        <v>2787.1391612903226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87"/>
    </row>
    <row r="25" spans="1:14" ht="17.45">
      <c r="A25" s="71" t="s">
        <v>198</v>
      </c>
      <c r="B25" s="40">
        <f>B24/365</f>
        <v>7.635997702165267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89"/>
    </row>
    <row r="26" spans="1:14">
      <c r="A26" s="71" t="s">
        <v>88</v>
      </c>
      <c r="B26" s="38">
        <f>COUNTIF(B7:B21,"&gt;0")</f>
        <v>12</v>
      </c>
      <c r="C26" s="38">
        <f t="shared" ref="C26:M26" si="1">COUNTIF(C7:C21,"&gt;0")</f>
        <v>12</v>
      </c>
      <c r="D26" s="38">
        <f t="shared" si="1"/>
        <v>14</v>
      </c>
      <c r="E26" s="38">
        <f t="shared" si="1"/>
        <v>14</v>
      </c>
      <c r="F26" s="38">
        <f t="shared" si="1"/>
        <v>15</v>
      </c>
      <c r="G26" s="38">
        <f t="shared" si="1"/>
        <v>15</v>
      </c>
      <c r="H26" s="38">
        <f t="shared" si="1"/>
        <v>15</v>
      </c>
      <c r="I26" s="38">
        <f t="shared" si="1"/>
        <v>14</v>
      </c>
      <c r="J26" s="38">
        <f t="shared" si="1"/>
        <v>14</v>
      </c>
      <c r="K26" s="38">
        <f t="shared" si="1"/>
        <v>13</v>
      </c>
      <c r="L26" s="38">
        <f t="shared" si="1"/>
        <v>11</v>
      </c>
      <c r="M26" s="38">
        <f t="shared" si="1"/>
        <v>11</v>
      </c>
      <c r="N26" s="87"/>
    </row>
    <row r="27" spans="1:14">
      <c r="A27" s="71" t="s">
        <v>92</v>
      </c>
      <c r="B27" s="2">
        <f>B4*B26</f>
        <v>372</v>
      </c>
      <c r="C27" s="2">
        <f t="shared" ref="C27:M27" si="2">C4*C26</f>
        <v>336</v>
      </c>
      <c r="D27" s="2">
        <f t="shared" si="2"/>
        <v>434</v>
      </c>
      <c r="E27" s="2">
        <f t="shared" si="2"/>
        <v>420</v>
      </c>
      <c r="F27" s="2">
        <f t="shared" si="2"/>
        <v>465</v>
      </c>
      <c r="G27" s="2">
        <f t="shared" si="2"/>
        <v>450</v>
      </c>
      <c r="H27" s="2">
        <f t="shared" si="2"/>
        <v>465</v>
      </c>
      <c r="I27" s="2">
        <f t="shared" si="2"/>
        <v>420</v>
      </c>
      <c r="J27" s="2">
        <f t="shared" si="2"/>
        <v>434</v>
      </c>
      <c r="K27" s="2">
        <f t="shared" si="2"/>
        <v>403</v>
      </c>
      <c r="L27" s="2">
        <f t="shared" si="2"/>
        <v>330</v>
      </c>
      <c r="M27" s="2">
        <f t="shared" si="2"/>
        <v>341</v>
      </c>
      <c r="N27" s="87"/>
    </row>
    <row r="28" spans="1:14">
      <c r="A28" s="71" t="s">
        <v>199</v>
      </c>
      <c r="B28" s="38">
        <f>SUM(B27:M27)</f>
        <v>4870</v>
      </c>
    </row>
    <row r="29" spans="1:14">
      <c r="A29" s="71" t="s">
        <v>91</v>
      </c>
      <c r="B29" s="40">
        <f>B28/8760</f>
        <v>0.55593607305936077</v>
      </c>
    </row>
    <row r="30" spans="1:14">
      <c r="A30" s="71"/>
      <c r="B30" s="38"/>
    </row>
    <row r="31" spans="1:14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</row>
    <row r="33" spans="1:13">
      <c r="B33" s="90" t="s">
        <v>200</v>
      </c>
      <c r="M33" s="87"/>
    </row>
    <row r="34" spans="1:13">
      <c r="A34" s="137"/>
      <c r="B34" s="137"/>
      <c r="C34" s="137"/>
      <c r="D34" s="137"/>
      <c r="E34" s="137"/>
      <c r="G34" s="137"/>
      <c r="H34" s="137"/>
      <c r="I34" s="137"/>
      <c r="J34" s="137"/>
      <c r="K34" s="137"/>
      <c r="L34" s="137"/>
      <c r="M34" s="87"/>
    </row>
    <row r="35" spans="1:13">
      <c r="A35" s="71" t="s">
        <v>196</v>
      </c>
      <c r="B35" s="70">
        <v>31</v>
      </c>
      <c r="C35" s="70">
        <v>28</v>
      </c>
      <c r="D35" s="70">
        <v>31</v>
      </c>
      <c r="E35" s="70">
        <v>30</v>
      </c>
      <c r="F35" s="70">
        <v>31</v>
      </c>
      <c r="G35" s="70">
        <v>30</v>
      </c>
      <c r="H35" s="70">
        <v>31</v>
      </c>
      <c r="I35" s="70">
        <v>30</v>
      </c>
      <c r="J35" s="70">
        <v>31</v>
      </c>
      <c r="K35" s="70">
        <v>31</v>
      </c>
      <c r="L35" s="70">
        <v>30</v>
      </c>
      <c r="M35" s="70">
        <v>31</v>
      </c>
    </row>
    <row r="36" spans="1:13">
      <c r="A36" s="71"/>
      <c r="B36" s="70" t="s">
        <v>86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</row>
    <row r="37" spans="1:13">
      <c r="A37" s="71" t="s">
        <v>87</v>
      </c>
      <c r="B37" s="70">
        <v>1</v>
      </c>
      <c r="C37" s="70">
        <v>2</v>
      </c>
      <c r="D37" s="70">
        <v>3</v>
      </c>
      <c r="E37" s="70">
        <v>4</v>
      </c>
      <c r="F37" s="70">
        <v>5</v>
      </c>
      <c r="G37" s="70">
        <v>6</v>
      </c>
      <c r="H37" s="70">
        <v>7</v>
      </c>
      <c r="I37" s="70">
        <v>8</v>
      </c>
      <c r="J37" s="70">
        <v>9</v>
      </c>
      <c r="K37" s="70">
        <v>10</v>
      </c>
      <c r="L37" s="70">
        <v>11</v>
      </c>
      <c r="M37" s="70">
        <v>12</v>
      </c>
    </row>
    <row r="38" spans="1:13">
      <c r="A38" s="71">
        <v>5</v>
      </c>
      <c r="B38" s="41">
        <v>0</v>
      </c>
      <c r="C38" s="41">
        <v>0</v>
      </c>
      <c r="D38" s="41">
        <v>0</v>
      </c>
      <c r="E38" s="41">
        <v>0</v>
      </c>
      <c r="F38" s="41">
        <v>63</v>
      </c>
      <c r="G38" s="41">
        <v>87</v>
      </c>
      <c r="H38" s="41">
        <v>50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>
      <c r="A39" s="71">
        <v>6</v>
      </c>
      <c r="B39" s="41">
        <v>0</v>
      </c>
      <c r="C39" s="41">
        <v>0</v>
      </c>
      <c r="D39" s="41">
        <v>72</v>
      </c>
      <c r="E39" s="41">
        <v>376</v>
      </c>
      <c r="F39" s="38">
        <v>537</v>
      </c>
      <c r="G39" s="38">
        <v>550</v>
      </c>
      <c r="H39" s="38">
        <v>499</v>
      </c>
      <c r="I39" s="41">
        <v>330</v>
      </c>
      <c r="J39" s="41">
        <v>173</v>
      </c>
      <c r="K39" s="41">
        <v>51</v>
      </c>
      <c r="L39" s="41">
        <v>0</v>
      </c>
      <c r="M39" s="41">
        <v>0</v>
      </c>
    </row>
    <row r="40" spans="1:13">
      <c r="A40" s="71">
        <v>7</v>
      </c>
      <c r="B40" s="38">
        <v>16</v>
      </c>
      <c r="C40" s="38">
        <v>250</v>
      </c>
      <c r="D40" s="38">
        <v>598</v>
      </c>
      <c r="E40" s="38">
        <v>744</v>
      </c>
      <c r="F40" s="38">
        <v>782</v>
      </c>
      <c r="G40" s="38">
        <v>778</v>
      </c>
      <c r="H40" s="38">
        <v>749</v>
      </c>
      <c r="I40" s="38">
        <v>716</v>
      </c>
      <c r="J40" s="38">
        <v>681</v>
      </c>
      <c r="K40" s="38">
        <v>578</v>
      </c>
      <c r="L40" s="38">
        <v>329</v>
      </c>
      <c r="M40" s="38">
        <v>79</v>
      </c>
    </row>
    <row r="41" spans="1:13">
      <c r="A41" s="71">
        <v>8</v>
      </c>
      <c r="B41" s="38">
        <v>526</v>
      </c>
      <c r="C41" s="38">
        <v>750</v>
      </c>
      <c r="D41" s="38">
        <v>832</v>
      </c>
      <c r="E41" s="38">
        <v>876</v>
      </c>
      <c r="F41" s="38">
        <v>886</v>
      </c>
      <c r="G41" s="38">
        <v>879</v>
      </c>
      <c r="H41" s="38">
        <v>857</v>
      </c>
      <c r="I41" s="38">
        <v>848</v>
      </c>
      <c r="J41" s="38">
        <v>857</v>
      </c>
      <c r="K41" s="38">
        <v>821</v>
      </c>
      <c r="L41" s="38">
        <v>768</v>
      </c>
      <c r="M41" s="38">
        <v>600</v>
      </c>
    </row>
    <row r="42" spans="1:13">
      <c r="A42" s="71">
        <v>9</v>
      </c>
      <c r="B42" s="38">
        <v>812</v>
      </c>
      <c r="C42" s="38">
        <v>906</v>
      </c>
      <c r="D42" s="38">
        <v>936</v>
      </c>
      <c r="E42" s="38">
        <v>948</v>
      </c>
      <c r="F42" s="38">
        <v>925</v>
      </c>
      <c r="G42" s="38">
        <v>932</v>
      </c>
      <c r="H42" s="38">
        <v>916</v>
      </c>
      <c r="I42" s="38">
        <v>917</v>
      </c>
      <c r="J42" s="38">
        <v>930</v>
      </c>
      <c r="K42" s="38">
        <v>916</v>
      </c>
      <c r="L42" s="38">
        <v>906</v>
      </c>
      <c r="M42" s="38">
        <v>829</v>
      </c>
    </row>
    <row r="43" spans="1:13">
      <c r="A43" s="71">
        <v>10</v>
      </c>
      <c r="B43" s="38">
        <v>923</v>
      </c>
      <c r="C43" s="38">
        <v>965</v>
      </c>
      <c r="D43" s="38">
        <v>995</v>
      </c>
      <c r="E43" s="38">
        <v>989</v>
      </c>
      <c r="F43" s="38">
        <v>968</v>
      </c>
      <c r="G43" s="38">
        <v>964</v>
      </c>
      <c r="H43" s="38">
        <v>948</v>
      </c>
      <c r="I43" s="38">
        <v>959</v>
      </c>
      <c r="J43" s="38">
        <v>975</v>
      </c>
      <c r="K43" s="38">
        <v>966</v>
      </c>
      <c r="L43" s="38">
        <v>969</v>
      </c>
      <c r="M43" s="38">
        <v>932</v>
      </c>
    </row>
    <row r="44" spans="1:13">
      <c r="A44" s="71">
        <v>11</v>
      </c>
      <c r="B44" s="38">
        <v>977</v>
      </c>
      <c r="C44" s="38">
        <v>1008</v>
      </c>
      <c r="D44" s="38">
        <v>1021</v>
      </c>
      <c r="E44" s="38">
        <v>1007</v>
      </c>
      <c r="F44" s="38">
        <v>992</v>
      </c>
      <c r="G44" s="38">
        <v>980</v>
      </c>
      <c r="H44" s="38">
        <v>969</v>
      </c>
      <c r="I44" s="38">
        <v>980</v>
      </c>
      <c r="J44" s="38">
        <v>1000</v>
      </c>
      <c r="K44" s="38">
        <v>990</v>
      </c>
      <c r="L44" s="38">
        <v>997</v>
      </c>
      <c r="M44" s="38">
        <v>977</v>
      </c>
    </row>
    <row r="45" spans="1:13">
      <c r="A45" s="71">
        <v>12</v>
      </c>
      <c r="B45" s="38">
        <v>992</v>
      </c>
      <c r="C45" s="38">
        <v>1017</v>
      </c>
      <c r="D45" s="38">
        <v>1031</v>
      </c>
      <c r="E45" s="38">
        <v>1021</v>
      </c>
      <c r="F45" s="38">
        <v>994</v>
      </c>
      <c r="G45" s="38">
        <v>987</v>
      </c>
      <c r="H45" s="38">
        <v>979</v>
      </c>
      <c r="I45" s="38">
        <v>995</v>
      </c>
      <c r="J45" s="38">
        <v>1008</v>
      </c>
      <c r="K45" s="38">
        <v>1001</v>
      </c>
      <c r="L45" s="38">
        <v>1004</v>
      </c>
      <c r="M45" s="38">
        <v>987</v>
      </c>
    </row>
    <row r="46" spans="1:13">
      <c r="A46" s="71">
        <v>13</v>
      </c>
      <c r="B46" s="38">
        <v>987</v>
      </c>
      <c r="C46" s="38">
        <v>1029</v>
      </c>
      <c r="D46" s="38">
        <v>1031</v>
      </c>
      <c r="E46" s="38">
        <v>1020</v>
      </c>
      <c r="F46" s="38">
        <v>986</v>
      </c>
      <c r="G46" s="38">
        <v>990</v>
      </c>
      <c r="H46" s="38">
        <v>981</v>
      </c>
      <c r="I46" s="38">
        <v>1000</v>
      </c>
      <c r="J46" s="38">
        <v>1004</v>
      </c>
      <c r="K46" s="38">
        <v>998</v>
      </c>
      <c r="L46" s="38">
        <v>996</v>
      </c>
      <c r="M46" s="38">
        <v>986</v>
      </c>
    </row>
    <row r="47" spans="1:13">
      <c r="A47" s="71">
        <v>14</v>
      </c>
      <c r="B47" s="38">
        <v>970</v>
      </c>
      <c r="C47" s="38">
        <v>1005</v>
      </c>
      <c r="D47" s="38">
        <v>1018</v>
      </c>
      <c r="E47" s="38">
        <v>1006</v>
      </c>
      <c r="F47" s="38">
        <v>979</v>
      </c>
      <c r="G47" s="38">
        <v>976</v>
      </c>
      <c r="H47" s="38">
        <v>971</v>
      </c>
      <c r="I47" s="38">
        <v>985</v>
      </c>
      <c r="J47" s="38">
        <v>984</v>
      </c>
      <c r="K47" s="38">
        <v>970</v>
      </c>
      <c r="L47" s="38">
        <v>972</v>
      </c>
      <c r="M47" s="38">
        <v>960</v>
      </c>
    </row>
    <row r="48" spans="1:13">
      <c r="A48" s="71">
        <v>15</v>
      </c>
      <c r="B48" s="38">
        <v>914</v>
      </c>
      <c r="C48" s="38">
        <v>979</v>
      </c>
      <c r="D48" s="38">
        <v>987</v>
      </c>
      <c r="E48" s="38">
        <v>978</v>
      </c>
      <c r="F48" s="38">
        <v>952</v>
      </c>
      <c r="G48" s="38">
        <v>955</v>
      </c>
      <c r="H48" s="38">
        <v>951</v>
      </c>
      <c r="I48" s="38">
        <v>959</v>
      </c>
      <c r="J48" s="38">
        <v>954</v>
      </c>
      <c r="K48" s="38">
        <v>933</v>
      </c>
      <c r="L48" s="38">
        <v>905</v>
      </c>
      <c r="M48" s="38">
        <v>893</v>
      </c>
    </row>
    <row r="49" spans="1:13">
      <c r="A49" s="71">
        <v>16</v>
      </c>
      <c r="B49" s="38">
        <v>815</v>
      </c>
      <c r="C49" s="38">
        <v>913</v>
      </c>
      <c r="D49" s="38">
        <v>928</v>
      </c>
      <c r="E49" s="38">
        <v>930</v>
      </c>
      <c r="F49" s="38">
        <v>908</v>
      </c>
      <c r="G49" s="38">
        <v>917</v>
      </c>
      <c r="H49" s="38">
        <v>914</v>
      </c>
      <c r="I49" s="38">
        <v>922</v>
      </c>
      <c r="J49" s="38">
        <v>896</v>
      </c>
      <c r="K49" s="38">
        <v>845</v>
      </c>
      <c r="L49" s="38">
        <v>763</v>
      </c>
      <c r="M49" s="38">
        <v>737</v>
      </c>
    </row>
    <row r="50" spans="1:13">
      <c r="A50" s="71">
        <v>17</v>
      </c>
      <c r="B50" s="38">
        <v>560</v>
      </c>
      <c r="C50" s="38">
        <v>752</v>
      </c>
      <c r="D50" s="38">
        <v>805</v>
      </c>
      <c r="E50" s="38">
        <v>835</v>
      </c>
      <c r="F50" s="38">
        <v>830</v>
      </c>
      <c r="G50" s="38">
        <v>847</v>
      </c>
      <c r="H50" s="38">
        <v>849</v>
      </c>
      <c r="I50" s="38">
        <v>839</v>
      </c>
      <c r="J50" s="38">
        <v>774</v>
      </c>
      <c r="K50" s="38">
        <v>636</v>
      </c>
      <c r="L50" s="38">
        <v>314</v>
      </c>
      <c r="M50" s="38">
        <v>256</v>
      </c>
    </row>
    <row r="51" spans="1:13">
      <c r="A51" s="71">
        <v>18</v>
      </c>
      <c r="B51" s="38">
        <v>46</v>
      </c>
      <c r="C51" s="38">
        <v>257</v>
      </c>
      <c r="D51" s="38">
        <v>475</v>
      </c>
      <c r="E51" s="38">
        <v>618</v>
      </c>
      <c r="F51" s="38">
        <v>680</v>
      </c>
      <c r="G51" s="38">
        <v>718</v>
      </c>
      <c r="H51" s="38">
        <v>720</v>
      </c>
      <c r="I51" s="38">
        <v>649</v>
      </c>
      <c r="J51" s="38">
        <v>447</v>
      </c>
      <c r="K51" s="38">
        <v>102</v>
      </c>
      <c r="L51" s="38">
        <v>0</v>
      </c>
      <c r="M51" s="38">
        <v>0</v>
      </c>
    </row>
    <row r="52" spans="1:13">
      <c r="A52" s="71">
        <v>19</v>
      </c>
      <c r="B52" s="38">
        <v>0</v>
      </c>
      <c r="C52" s="38">
        <v>0</v>
      </c>
      <c r="D52" s="38">
        <v>8</v>
      </c>
      <c r="E52" s="38">
        <v>114</v>
      </c>
      <c r="F52" s="38">
        <v>257</v>
      </c>
      <c r="G52" s="38">
        <v>398</v>
      </c>
      <c r="H52" s="38">
        <v>373</v>
      </c>
      <c r="I52" s="38">
        <v>206</v>
      </c>
      <c r="J52" s="38">
        <v>27</v>
      </c>
      <c r="K52" s="38">
        <v>0</v>
      </c>
      <c r="L52" s="38">
        <v>0</v>
      </c>
      <c r="M52" s="38">
        <v>0</v>
      </c>
    </row>
    <row r="53" spans="1:13">
      <c r="A53" s="4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>
      <c r="A54" s="58" t="s">
        <v>201</v>
      </c>
      <c r="B54" s="38">
        <f>SUM(B38:B52)*B35/1000</f>
        <v>264.678</v>
      </c>
      <c r="C54" s="38">
        <f t="shared" ref="C54:M54" si="3">SUM(C38:C52)*C35/1000</f>
        <v>275.26799999999997</v>
      </c>
      <c r="D54" s="38">
        <f t="shared" si="3"/>
        <v>332.84699999999998</v>
      </c>
      <c r="E54" s="38">
        <f t="shared" si="3"/>
        <v>343.86</v>
      </c>
      <c r="F54" s="38">
        <f t="shared" si="3"/>
        <v>363.90899999999999</v>
      </c>
      <c r="G54" s="38">
        <f t="shared" si="3"/>
        <v>358.74</v>
      </c>
      <c r="H54" s="38">
        <f t="shared" si="3"/>
        <v>363.50599999999997</v>
      </c>
      <c r="I54" s="38">
        <f t="shared" si="3"/>
        <v>339.15</v>
      </c>
      <c r="J54" s="38">
        <f t="shared" si="3"/>
        <v>332.01</v>
      </c>
      <c r="K54" s="38">
        <f t="shared" si="3"/>
        <v>304.017</v>
      </c>
      <c r="L54" s="38">
        <f t="shared" si="3"/>
        <v>267.69</v>
      </c>
      <c r="M54" s="38">
        <f t="shared" si="3"/>
        <v>255.316</v>
      </c>
    </row>
    <row r="55" spans="1:13">
      <c r="A55" s="71" t="s">
        <v>202</v>
      </c>
      <c r="B55" s="38">
        <f>SUM(B54:M54)</f>
        <v>3800.9909999999995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>
      <c r="A56" s="71" t="s">
        <v>203</v>
      </c>
      <c r="B56" s="40">
        <f>B55/365</f>
        <v>10.413673972602739</v>
      </c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87"/>
    </row>
    <row r="57" spans="1:13">
      <c r="A57" s="71"/>
      <c r="B57" s="38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87"/>
    </row>
    <row r="58" spans="1:13"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89"/>
    </row>
  </sheetData>
  <phoneticPr fontId="5" type="noConversion"/>
  <conditionalFormatting sqref="B7:B21">
    <cfRule type="cellIs" dxfId="1" priority="2" stopIfTrue="1" operator="equal">
      <formula>"max($B$7:$B$21)"</formula>
    </cfRule>
  </conditionalFormatting>
  <conditionalFormatting sqref="B7:B21">
    <cfRule type="cellIs" dxfId="0" priority="1" stopIfTrue="1" operator="equal">
      <formula>"max($B$7:$B$21)"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43"/>
  <sheetViews>
    <sheetView zoomScale="75" workbookViewId="0">
      <selection activeCell="R21" sqref="R21"/>
    </sheetView>
  </sheetViews>
  <sheetFormatPr defaultRowHeight="15.6"/>
  <cols>
    <col min="1" max="1" width="25.5546875" bestFit="1" customWidth="1"/>
  </cols>
  <sheetData>
    <row r="1" spans="1:13" ht="17.45">
      <c r="B1" s="58" t="s">
        <v>204</v>
      </c>
      <c r="C1" s="58"/>
    </row>
    <row r="3" spans="1:13">
      <c r="A3" s="136" t="s">
        <v>195</v>
      </c>
      <c r="B3" s="2">
        <v>22</v>
      </c>
      <c r="C3" s="2">
        <v>53</v>
      </c>
      <c r="D3" s="2">
        <v>82</v>
      </c>
      <c r="E3" s="2">
        <v>112</v>
      </c>
      <c r="F3" s="2">
        <v>142</v>
      </c>
      <c r="G3" s="2">
        <v>173</v>
      </c>
      <c r="H3" s="2">
        <v>203</v>
      </c>
      <c r="I3" s="2">
        <v>234</v>
      </c>
      <c r="J3" s="2">
        <v>264</v>
      </c>
      <c r="K3" s="2">
        <v>295</v>
      </c>
      <c r="L3" s="2">
        <v>326</v>
      </c>
      <c r="M3" s="2">
        <v>356</v>
      </c>
    </row>
    <row r="4" spans="1:13">
      <c r="A4" s="136" t="s">
        <v>196</v>
      </c>
      <c r="B4" s="41">
        <v>31</v>
      </c>
      <c r="C4" s="41">
        <v>28</v>
      </c>
      <c r="D4" s="41">
        <v>31</v>
      </c>
      <c r="E4" s="41">
        <v>30</v>
      </c>
      <c r="F4" s="41">
        <v>31</v>
      </c>
      <c r="G4" s="41">
        <v>30</v>
      </c>
      <c r="H4" s="41">
        <v>31</v>
      </c>
      <c r="I4" s="41">
        <v>30</v>
      </c>
      <c r="J4" s="41">
        <v>31</v>
      </c>
      <c r="K4" s="41">
        <v>31</v>
      </c>
      <c r="L4" s="41">
        <v>30</v>
      </c>
      <c r="M4" s="41">
        <v>31</v>
      </c>
    </row>
    <row r="5" spans="1:13">
      <c r="A5" s="136"/>
      <c r="B5" s="41" t="s">
        <v>86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</row>
    <row r="6" spans="1:13">
      <c r="A6" s="41" t="s">
        <v>87</v>
      </c>
      <c r="B6" s="41">
        <v>1</v>
      </c>
      <c r="C6" s="41">
        <v>2</v>
      </c>
      <c r="D6" s="41">
        <v>3</v>
      </c>
      <c r="E6" s="41">
        <v>4</v>
      </c>
      <c r="F6" s="41">
        <v>5</v>
      </c>
      <c r="G6" s="41">
        <v>6</v>
      </c>
      <c r="H6" s="41">
        <v>7</v>
      </c>
      <c r="I6" s="41">
        <v>8</v>
      </c>
      <c r="J6" s="41">
        <v>9</v>
      </c>
      <c r="K6" s="41">
        <v>10</v>
      </c>
      <c r="L6" s="41">
        <v>11</v>
      </c>
      <c r="M6" s="41">
        <v>12</v>
      </c>
    </row>
    <row r="7" spans="1:13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>
        <v>6</v>
      </c>
      <c r="B8" s="7"/>
      <c r="C8" s="7"/>
      <c r="D8" s="7"/>
      <c r="E8" s="7"/>
      <c r="F8" s="7">
        <v>375.08800000000002</v>
      </c>
      <c r="G8" s="7">
        <v>412.91200000000003</v>
      </c>
      <c r="H8" s="7">
        <v>356.17599999999999</v>
      </c>
      <c r="I8" s="7"/>
      <c r="J8" s="7"/>
      <c r="K8" s="7"/>
      <c r="L8" s="7"/>
      <c r="M8" s="7"/>
    </row>
    <row r="9" spans="1:13">
      <c r="A9" s="2">
        <v>7</v>
      </c>
      <c r="B9" s="7"/>
      <c r="C9" s="7"/>
      <c r="D9" s="7">
        <v>583.12</v>
      </c>
      <c r="E9" s="7">
        <v>649.31200000000001</v>
      </c>
      <c r="F9" s="7">
        <v>665.072</v>
      </c>
      <c r="G9" s="7">
        <v>661.92</v>
      </c>
      <c r="H9" s="7">
        <v>639.85599999999999</v>
      </c>
      <c r="I9" s="7">
        <v>598.88</v>
      </c>
      <c r="J9" s="7">
        <v>513.77600000000007</v>
      </c>
      <c r="K9" s="7"/>
      <c r="L9" s="7"/>
      <c r="M9" s="7"/>
    </row>
    <row r="10" spans="1:13">
      <c r="A10" s="2">
        <v>8</v>
      </c>
      <c r="B10" s="7">
        <v>639.85599999999999</v>
      </c>
      <c r="C10" s="7">
        <v>778.54399999999998</v>
      </c>
      <c r="D10" s="7">
        <v>819.52</v>
      </c>
      <c r="E10" s="7">
        <v>803.76</v>
      </c>
      <c r="F10" s="7">
        <v>788</v>
      </c>
      <c r="G10" s="7">
        <v>772.24</v>
      </c>
      <c r="H10" s="7">
        <v>759.63200000000006</v>
      </c>
      <c r="I10" s="7">
        <v>756.48</v>
      </c>
      <c r="J10" s="7">
        <v>756.48</v>
      </c>
      <c r="K10" s="7">
        <v>721.80799999999999</v>
      </c>
      <c r="L10" s="7">
        <v>617.79200000000003</v>
      </c>
      <c r="M10" s="7">
        <v>554.75200000000007</v>
      </c>
    </row>
    <row r="11" spans="1:13">
      <c r="A11" s="2">
        <v>9</v>
      </c>
      <c r="B11" s="7">
        <v>847.88800000000003</v>
      </c>
      <c r="C11" s="7">
        <v>907.77600000000007</v>
      </c>
      <c r="D11" s="7">
        <v>914.08</v>
      </c>
      <c r="E11" s="7">
        <v>876.25600000000009</v>
      </c>
      <c r="F11" s="7">
        <v>847.88800000000003</v>
      </c>
      <c r="G11" s="7">
        <v>832.12800000000004</v>
      </c>
      <c r="H11" s="7">
        <v>822.67200000000003</v>
      </c>
      <c r="I11" s="7">
        <v>828.976</v>
      </c>
      <c r="J11" s="7">
        <v>857.34400000000005</v>
      </c>
      <c r="K11" s="7">
        <v>860.49599999999998</v>
      </c>
      <c r="L11" s="7">
        <v>828.976</v>
      </c>
      <c r="M11" s="7">
        <v>810.06400000000008</v>
      </c>
    </row>
    <row r="12" spans="1:13">
      <c r="A12" s="2">
        <v>10</v>
      </c>
      <c r="B12" s="7">
        <v>929.84</v>
      </c>
      <c r="C12" s="7">
        <v>964.51200000000006</v>
      </c>
      <c r="D12" s="7">
        <v>958.20800000000008</v>
      </c>
      <c r="E12" s="7">
        <v>914.08</v>
      </c>
      <c r="F12" s="7">
        <v>882.56</v>
      </c>
      <c r="G12" s="7">
        <v>863.64800000000002</v>
      </c>
      <c r="H12" s="7">
        <v>854.19200000000001</v>
      </c>
      <c r="I12" s="7">
        <v>869.952</v>
      </c>
      <c r="J12" s="7">
        <v>904.62400000000002</v>
      </c>
      <c r="K12" s="7">
        <v>923.53600000000006</v>
      </c>
      <c r="L12" s="7">
        <v>910.928</v>
      </c>
      <c r="M12" s="7">
        <v>907.77600000000007</v>
      </c>
    </row>
    <row r="13" spans="1:13">
      <c r="A13" s="2">
        <v>11</v>
      </c>
      <c r="B13" s="7">
        <v>964.51200000000006</v>
      </c>
      <c r="C13" s="7">
        <v>992.88</v>
      </c>
      <c r="D13" s="7">
        <v>980.27200000000005</v>
      </c>
      <c r="E13" s="7">
        <v>929.84</v>
      </c>
      <c r="F13" s="7">
        <v>898.32</v>
      </c>
      <c r="G13" s="7">
        <v>879.40800000000002</v>
      </c>
      <c r="H13" s="7">
        <v>873.10400000000004</v>
      </c>
      <c r="I13" s="7">
        <v>888.86400000000003</v>
      </c>
      <c r="J13" s="7">
        <v>926.68799999999999</v>
      </c>
      <c r="K13" s="7">
        <v>951.904</v>
      </c>
      <c r="L13" s="7">
        <v>948.75200000000007</v>
      </c>
      <c r="M13" s="7">
        <v>948.75200000000007</v>
      </c>
    </row>
    <row r="14" spans="1:13">
      <c r="A14" s="2">
        <v>12</v>
      </c>
      <c r="B14" s="7">
        <v>977.12</v>
      </c>
      <c r="C14" s="7">
        <v>999.18400000000008</v>
      </c>
      <c r="D14" s="7">
        <v>986.57600000000002</v>
      </c>
      <c r="E14" s="7">
        <v>936.14400000000001</v>
      </c>
      <c r="F14" s="7">
        <v>901.47200000000009</v>
      </c>
      <c r="G14" s="7">
        <v>882.56</v>
      </c>
      <c r="H14" s="7">
        <v>879.40800000000002</v>
      </c>
      <c r="I14" s="7">
        <v>895.16800000000001</v>
      </c>
      <c r="J14" s="7">
        <v>932.99200000000008</v>
      </c>
      <c r="K14" s="7">
        <v>958.20800000000008</v>
      </c>
      <c r="L14" s="7">
        <v>958.20800000000008</v>
      </c>
      <c r="M14" s="7">
        <v>958.20800000000008</v>
      </c>
    </row>
    <row r="15" spans="1:13">
      <c r="A15" s="2">
        <v>13</v>
      </c>
      <c r="B15" s="7">
        <v>964.51200000000006</v>
      </c>
      <c r="C15" s="7">
        <v>992.88</v>
      </c>
      <c r="D15" s="7">
        <v>980.27200000000005</v>
      </c>
      <c r="E15" s="7">
        <v>929.84</v>
      </c>
      <c r="F15" s="7">
        <v>898.32</v>
      </c>
      <c r="G15" s="7">
        <v>879.40800000000002</v>
      </c>
      <c r="H15" s="7">
        <v>873.10400000000004</v>
      </c>
      <c r="I15" s="7">
        <v>888.86400000000003</v>
      </c>
      <c r="J15" s="7">
        <v>926.68799999999999</v>
      </c>
      <c r="K15" s="7">
        <v>951.904</v>
      </c>
      <c r="L15" s="7">
        <v>948.75200000000007</v>
      </c>
      <c r="M15" s="7">
        <v>948.75200000000007</v>
      </c>
    </row>
    <row r="16" spans="1:13">
      <c r="A16" s="2">
        <v>14</v>
      </c>
      <c r="B16" s="7">
        <v>929.84</v>
      </c>
      <c r="C16" s="7">
        <v>964.51200000000006</v>
      </c>
      <c r="D16" s="7">
        <v>958.20800000000008</v>
      </c>
      <c r="E16" s="7">
        <v>914.08</v>
      </c>
      <c r="F16" s="7">
        <v>882.56</v>
      </c>
      <c r="G16" s="7">
        <v>863.64800000000002</v>
      </c>
      <c r="H16" s="7">
        <v>854.19200000000001</v>
      </c>
      <c r="I16" s="7">
        <v>869.952</v>
      </c>
      <c r="J16" s="7">
        <v>904.62400000000002</v>
      </c>
      <c r="K16" s="7">
        <v>923.53600000000006</v>
      </c>
      <c r="L16" s="7">
        <v>910.928</v>
      </c>
      <c r="M16" s="7">
        <v>907.77600000000007</v>
      </c>
    </row>
    <row r="17" spans="1:14">
      <c r="A17" s="2">
        <v>15</v>
      </c>
      <c r="B17" s="7">
        <v>847.88800000000003</v>
      </c>
      <c r="C17" s="7">
        <v>907.77600000000007</v>
      </c>
      <c r="D17" s="7">
        <v>914.08</v>
      </c>
      <c r="E17" s="7">
        <v>876.25600000000009</v>
      </c>
      <c r="F17" s="7">
        <v>847.88800000000003</v>
      </c>
      <c r="G17" s="7">
        <v>832.12800000000004</v>
      </c>
      <c r="H17" s="7">
        <v>822.67200000000003</v>
      </c>
      <c r="I17" s="7">
        <v>828.976</v>
      </c>
      <c r="J17" s="7">
        <v>857.34400000000005</v>
      </c>
      <c r="K17" s="7">
        <v>860.49599999999998</v>
      </c>
      <c r="L17" s="7">
        <v>828.976</v>
      </c>
      <c r="M17" s="7">
        <v>810.06400000000008</v>
      </c>
    </row>
    <row r="18" spans="1:14">
      <c r="A18" s="2">
        <v>16</v>
      </c>
      <c r="B18" s="7">
        <v>639.85599999999999</v>
      </c>
      <c r="C18" s="7">
        <v>778.54399999999998</v>
      </c>
      <c r="D18" s="7">
        <v>819.52</v>
      </c>
      <c r="E18" s="7">
        <v>803.76</v>
      </c>
      <c r="F18" s="7">
        <v>788</v>
      </c>
      <c r="G18" s="7">
        <v>772.24</v>
      </c>
      <c r="H18" s="7">
        <v>759.63200000000006</v>
      </c>
      <c r="I18" s="7">
        <v>756.48</v>
      </c>
      <c r="J18" s="7">
        <v>756.48</v>
      </c>
      <c r="K18" s="7">
        <v>721.80799999999999</v>
      </c>
      <c r="L18" s="7">
        <v>617.79200000000003</v>
      </c>
      <c r="M18" s="7">
        <v>554.75200000000007</v>
      </c>
    </row>
    <row r="19" spans="1:14">
      <c r="A19" s="2">
        <v>17</v>
      </c>
      <c r="B19" s="7"/>
      <c r="C19" s="7"/>
      <c r="D19" s="7">
        <v>583.12</v>
      </c>
      <c r="E19" s="7">
        <v>649.31200000000001</v>
      </c>
      <c r="F19" s="7">
        <v>665.072</v>
      </c>
      <c r="G19" s="7">
        <v>661.92</v>
      </c>
      <c r="H19" s="7">
        <v>639.85599999999999</v>
      </c>
      <c r="I19" s="7">
        <v>598.88</v>
      </c>
      <c r="J19" s="7">
        <v>513.77600000000007</v>
      </c>
      <c r="K19" s="7"/>
      <c r="L19" s="7"/>
      <c r="M19" s="7"/>
    </row>
    <row r="20" spans="1:14">
      <c r="A20" s="2">
        <v>18</v>
      </c>
      <c r="B20" s="7"/>
      <c r="C20" s="7"/>
      <c r="D20" s="7"/>
      <c r="E20" s="7"/>
      <c r="F20" s="7">
        <v>375.08800000000002</v>
      </c>
      <c r="G20" s="7">
        <v>412.91200000000003</v>
      </c>
      <c r="H20" s="7">
        <v>356.17599999999999</v>
      </c>
      <c r="I20" s="7"/>
      <c r="J20" s="7"/>
      <c r="K20" s="7"/>
      <c r="L20" s="7"/>
      <c r="M20" s="7"/>
    </row>
    <row r="21" spans="1:14">
      <c r="A21" s="2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4" ht="17.45">
      <c r="A23" s="71" t="s">
        <v>93</v>
      </c>
      <c r="B23" s="38">
        <f>SUM(B7:B21)*B4/1000</f>
        <v>239.980672</v>
      </c>
      <c r="C23" s="38">
        <f t="shared" ref="C23:M23" si="0">SUM(C7:C21)*C4/1000</f>
        <v>232.025024</v>
      </c>
      <c r="D23" s="38">
        <f t="shared" si="0"/>
        <v>294.40625599999998</v>
      </c>
      <c r="E23" s="38">
        <f t="shared" si="0"/>
        <v>278.47919999999999</v>
      </c>
      <c r="F23" s="38">
        <f t="shared" si="0"/>
        <v>304.27516799999995</v>
      </c>
      <c r="G23" s="38">
        <f t="shared" si="0"/>
        <v>291.81216000000001</v>
      </c>
      <c r="H23" s="38">
        <f t="shared" si="0"/>
        <v>294.21083199999998</v>
      </c>
      <c r="I23" s="38">
        <f t="shared" si="0"/>
        <v>263.44415999999995</v>
      </c>
      <c r="J23" s="38">
        <f t="shared" si="0"/>
        <v>274.37529600000005</v>
      </c>
      <c r="K23" s="38">
        <f t="shared" si="0"/>
        <v>244.084576</v>
      </c>
      <c r="L23" s="38">
        <f t="shared" si="0"/>
        <v>227.13311999999999</v>
      </c>
      <c r="M23" s="38">
        <f t="shared" si="0"/>
        <v>229.42777600000005</v>
      </c>
    </row>
    <row r="24" spans="1:14">
      <c r="A24" s="71"/>
      <c r="B24" s="152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</row>
    <row r="25" spans="1:14" ht="17.45">
      <c r="A25" s="71" t="s">
        <v>197</v>
      </c>
      <c r="B25" s="38">
        <f>SUM(B23:M23)</f>
        <v>3173.6542399999998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</row>
    <row r="26" spans="1:14">
      <c r="A26" s="71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</row>
    <row r="27" spans="1:14" ht="17.45">
      <c r="A27" s="71" t="s">
        <v>198</v>
      </c>
      <c r="B27" s="40">
        <f>B25/365</f>
        <v>8.6949431232876702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4">
      <c r="A28" s="3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N33" s="7"/>
    </row>
    <row r="34" spans="1:14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NREL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>Abigail Kristine Williams</cp:lastModifiedBy>
  <cp:revision/>
  <dcterms:created xsi:type="dcterms:W3CDTF">2006-01-09T21:31:45Z</dcterms:created>
  <dcterms:modified xsi:type="dcterms:W3CDTF">2022-12-09T00:57:25Z</dcterms:modified>
  <cp:category/>
  <cp:contentStatus/>
</cp:coreProperties>
</file>