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.xml" ContentType="application/vnd.openxmlformats-officedocument.drawingml.chartshapes+xml"/>
  <Override PartName="/xl/charts/chart40.xml" ContentType="application/vnd.openxmlformats-officedocument.drawingml.chart+xml"/>
  <Override PartName="/xl/drawings/drawing4.xml" ContentType="application/vnd.openxmlformats-officedocument.drawingml.chartshapes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2\Desktop\"/>
    </mc:Choice>
  </mc:AlternateContent>
  <xr:revisionPtr revIDLastSave="0" documentId="8_{681A6808-BDDE-4788-9644-FF0CACC5F5A2}" xr6:coauthVersionLast="47" xr6:coauthVersionMax="47" xr10:uidLastSave="{00000000-0000-0000-0000-000000000000}"/>
  <bookViews>
    <workbookView xWindow="6270" yWindow="3900" windowWidth="28560" windowHeight="16190" xr2:uid="{00000000-000D-0000-FFFF-FFFF00000000}"/>
  </bookViews>
  <sheets>
    <sheet name="Scaling" sheetId="7" r:id="rId1"/>
    <sheet name="Design Point Performance" sheetId="2" r:id="rId2"/>
    <sheet name="Ann Perf at Site" sheetId="10" r:id="rId3"/>
    <sheet name="Annual Performance Details" sheetId="5" r:id="rId4"/>
    <sheet name="Design Point Calcs" sheetId="1" r:id="rId5"/>
    <sheet name="Daggett" sheetId="8" r:id="rId6"/>
    <sheet name="ASHRAE Clear Day" sheetId="9" r:id="rId7"/>
  </sheets>
  <externalReferences>
    <externalReference r:id="rId8"/>
  </externalReferences>
  <definedNames>
    <definedName name="delta">[1]Secondary!$E$24</definedName>
    <definedName name="Hours">'Annual Performance Details'!$DD$7:$DD$21</definedName>
    <definedName name="_xlnm.Print_Area" localSheetId="2">'Ann Perf at Site'!$A$31:$N$91</definedName>
    <definedName name="_xlnm.Print_Area" localSheetId="0">Scaling!$A$1:$L$33</definedName>
    <definedName name="solver_adj" localSheetId="3" hidden="1">'Annual Performance Details'!$O$27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'Annual Performance Details'!$S$27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7" l="1"/>
  <c r="G23" i="7"/>
  <c r="G22" i="7"/>
  <c r="E36" i="7"/>
  <c r="E34" i="7"/>
  <c r="E35" i="7"/>
  <c r="E10" i="7"/>
  <c r="H5" i="5"/>
  <c r="I6" i="2"/>
  <c r="I15" i="2" s="1"/>
  <c r="E12" i="7"/>
  <c r="E14" i="7" s="1"/>
  <c r="C49" i="10"/>
  <c r="C26" i="8"/>
  <c r="C27" i="8" s="1"/>
  <c r="D26" i="8"/>
  <c r="D27" i="8" s="1"/>
  <c r="E26" i="8"/>
  <c r="E27" i="8" s="1"/>
  <c r="F26" i="8"/>
  <c r="F27" i="8" s="1"/>
  <c r="G26" i="8"/>
  <c r="G27" i="8" s="1"/>
  <c r="H26" i="8"/>
  <c r="H27" i="8" s="1"/>
  <c r="I26" i="8"/>
  <c r="I27" i="8" s="1"/>
  <c r="J26" i="8"/>
  <c r="J27" i="8" s="1"/>
  <c r="K26" i="8"/>
  <c r="K27" i="8" s="1"/>
  <c r="L26" i="8"/>
  <c r="L27" i="8" s="1"/>
  <c r="M26" i="8"/>
  <c r="M27" i="8" s="1"/>
  <c r="B26" i="8"/>
  <c r="B27" i="8" s="1"/>
  <c r="B28" i="8" s="1"/>
  <c r="B29" i="8" s="1"/>
  <c r="B54" i="8"/>
  <c r="Q35" i="5"/>
  <c r="AR35" i="5"/>
  <c r="BS35" i="5"/>
  <c r="Q36" i="5"/>
  <c r="AR36" i="5"/>
  <c r="BS36" i="5"/>
  <c r="Q37" i="5"/>
  <c r="AR37" i="5"/>
  <c r="BS37" i="5"/>
  <c r="Q38" i="5"/>
  <c r="AR38" i="5"/>
  <c r="BS38" i="5"/>
  <c r="Q39" i="5"/>
  <c r="AR39" i="5"/>
  <c r="BS39" i="5"/>
  <c r="Q40" i="5"/>
  <c r="Q202" i="5" s="1"/>
  <c r="AR40" i="5"/>
  <c r="BS40" i="5"/>
  <c r="Q41" i="5"/>
  <c r="AR41" i="5"/>
  <c r="BS41" i="5"/>
  <c r="Q42" i="5"/>
  <c r="AR42" i="5"/>
  <c r="AR201" i="5" s="1"/>
  <c r="BS42" i="5"/>
  <c r="Q43" i="5"/>
  <c r="AR43" i="5"/>
  <c r="BS43" i="5"/>
  <c r="Q47" i="5"/>
  <c r="AR47" i="5"/>
  <c r="BS47" i="5"/>
  <c r="Q48" i="5"/>
  <c r="AR48" i="5"/>
  <c r="BS48" i="5"/>
  <c r="Q49" i="5"/>
  <c r="AR49" i="5"/>
  <c r="BS49" i="5"/>
  <c r="Q50" i="5"/>
  <c r="AR50" i="5"/>
  <c r="BS50" i="5"/>
  <c r="Q51" i="5"/>
  <c r="AR51" i="5"/>
  <c r="BS51" i="5"/>
  <c r="Q52" i="5"/>
  <c r="AR52" i="5"/>
  <c r="BS52" i="5"/>
  <c r="Q53" i="5"/>
  <c r="AR53" i="5"/>
  <c r="BS53" i="5"/>
  <c r="Q54" i="5"/>
  <c r="AR54" i="5"/>
  <c r="BS54" i="5"/>
  <c r="Q55" i="5"/>
  <c r="AR55" i="5"/>
  <c r="BS55" i="5"/>
  <c r="Q61" i="5"/>
  <c r="AR61" i="5"/>
  <c r="BS61" i="5"/>
  <c r="Q62" i="5"/>
  <c r="AR62" i="5"/>
  <c r="BS62" i="5"/>
  <c r="Q63" i="5"/>
  <c r="AR63" i="5"/>
  <c r="BS63" i="5"/>
  <c r="Q64" i="5"/>
  <c r="AR64" i="5"/>
  <c r="BS64" i="5"/>
  <c r="Q65" i="5"/>
  <c r="AR65" i="5"/>
  <c r="BS65" i="5"/>
  <c r="Q66" i="5"/>
  <c r="AR66" i="5"/>
  <c r="BS66" i="5"/>
  <c r="Q67" i="5"/>
  <c r="AR67" i="5"/>
  <c r="BS67" i="5"/>
  <c r="Q68" i="5"/>
  <c r="AR68" i="5"/>
  <c r="BS68" i="5"/>
  <c r="Q69" i="5"/>
  <c r="AR69" i="5"/>
  <c r="BS69" i="5"/>
  <c r="Q70" i="5"/>
  <c r="AR70" i="5"/>
  <c r="BS70" i="5"/>
  <c r="Q71" i="5"/>
  <c r="AR71" i="5"/>
  <c r="BS71" i="5"/>
  <c r="Q76" i="5"/>
  <c r="AR76" i="5"/>
  <c r="BS76" i="5"/>
  <c r="Q77" i="5"/>
  <c r="AR77" i="5"/>
  <c r="BS77" i="5"/>
  <c r="Q78" i="5"/>
  <c r="AR78" i="5"/>
  <c r="BS78" i="5"/>
  <c r="Q79" i="5"/>
  <c r="AR79" i="5"/>
  <c r="BS79" i="5"/>
  <c r="Q80" i="5"/>
  <c r="AR80" i="5"/>
  <c r="BS80" i="5"/>
  <c r="Q81" i="5"/>
  <c r="AR81" i="5"/>
  <c r="BS81" i="5"/>
  <c r="Q82" i="5"/>
  <c r="AR82" i="5"/>
  <c r="BS82" i="5"/>
  <c r="Q83" i="5"/>
  <c r="AR83" i="5"/>
  <c r="BS83" i="5"/>
  <c r="Q84" i="5"/>
  <c r="AR84" i="5"/>
  <c r="BS84" i="5"/>
  <c r="Q85" i="5"/>
  <c r="AR85" i="5"/>
  <c r="BS85" i="5"/>
  <c r="Q86" i="5"/>
  <c r="AR86" i="5"/>
  <c r="BS86" i="5"/>
  <c r="Q89" i="5"/>
  <c r="AR89" i="5"/>
  <c r="BS89" i="5"/>
  <c r="Q90" i="5"/>
  <c r="AR90" i="5"/>
  <c r="BS90" i="5"/>
  <c r="Q91" i="5"/>
  <c r="AR91" i="5"/>
  <c r="BS91" i="5"/>
  <c r="Q92" i="5"/>
  <c r="AR92" i="5"/>
  <c r="BS92" i="5"/>
  <c r="Q93" i="5"/>
  <c r="AR93" i="5"/>
  <c r="BS93" i="5"/>
  <c r="Q94" i="5"/>
  <c r="AR94" i="5"/>
  <c r="BS94" i="5"/>
  <c r="Q95" i="5"/>
  <c r="AR95" i="5"/>
  <c r="BS95" i="5"/>
  <c r="Q96" i="5"/>
  <c r="AR96" i="5"/>
  <c r="BS96" i="5"/>
  <c r="Q97" i="5"/>
  <c r="AR97" i="5"/>
  <c r="BS97" i="5"/>
  <c r="Q98" i="5"/>
  <c r="AR98" i="5"/>
  <c r="BS98" i="5"/>
  <c r="Q99" i="5"/>
  <c r="AR99" i="5"/>
  <c r="BS99" i="5"/>
  <c r="Q100" i="5"/>
  <c r="AR100" i="5"/>
  <c r="BS100" i="5"/>
  <c r="Q101" i="5"/>
  <c r="AR101" i="5"/>
  <c r="BS101" i="5"/>
  <c r="Q104" i="5"/>
  <c r="AR104" i="5"/>
  <c r="BS104" i="5"/>
  <c r="Q105" i="5"/>
  <c r="AR105" i="5"/>
  <c r="BS105" i="5"/>
  <c r="Q106" i="5"/>
  <c r="AR106" i="5"/>
  <c r="BS106" i="5"/>
  <c r="Q107" i="5"/>
  <c r="AR107" i="5"/>
  <c r="BS107" i="5"/>
  <c r="Q108" i="5"/>
  <c r="AR108" i="5"/>
  <c r="BS108" i="5"/>
  <c r="Q109" i="5"/>
  <c r="AR109" i="5"/>
  <c r="BS109" i="5"/>
  <c r="Q110" i="5"/>
  <c r="AR110" i="5"/>
  <c r="BS110" i="5"/>
  <c r="Q111" i="5"/>
  <c r="AR111" i="5"/>
  <c r="BS111" i="5"/>
  <c r="Q112" i="5"/>
  <c r="AR112" i="5"/>
  <c r="BS112" i="5"/>
  <c r="Q113" i="5"/>
  <c r="AR113" i="5"/>
  <c r="BS113" i="5"/>
  <c r="Q114" i="5"/>
  <c r="AR114" i="5"/>
  <c r="BS114" i="5"/>
  <c r="Q115" i="5"/>
  <c r="AR115" i="5"/>
  <c r="BS115" i="5"/>
  <c r="Q116" i="5"/>
  <c r="AR116" i="5"/>
  <c r="BS116" i="5"/>
  <c r="Q119" i="5"/>
  <c r="AR119" i="5"/>
  <c r="BS119" i="5"/>
  <c r="Q120" i="5"/>
  <c r="AR120" i="5"/>
  <c r="BS120" i="5"/>
  <c r="Q121" i="5"/>
  <c r="AR121" i="5"/>
  <c r="BS121" i="5"/>
  <c r="Q122" i="5"/>
  <c r="AR122" i="5"/>
  <c r="BS122" i="5"/>
  <c r="Q123" i="5"/>
  <c r="AR123" i="5"/>
  <c r="BS123" i="5"/>
  <c r="Q124" i="5"/>
  <c r="AR124" i="5"/>
  <c r="BS124" i="5"/>
  <c r="Q125" i="5"/>
  <c r="AR125" i="5"/>
  <c r="BS125" i="5"/>
  <c r="Q126" i="5"/>
  <c r="AR126" i="5"/>
  <c r="BS126" i="5"/>
  <c r="Q127" i="5"/>
  <c r="AR127" i="5"/>
  <c r="BS127" i="5"/>
  <c r="Q128" i="5"/>
  <c r="AR128" i="5"/>
  <c r="BS128" i="5"/>
  <c r="Q129" i="5"/>
  <c r="AR129" i="5"/>
  <c r="BS129" i="5"/>
  <c r="Q130" i="5"/>
  <c r="AR130" i="5"/>
  <c r="BS130" i="5"/>
  <c r="Q131" i="5"/>
  <c r="AR131" i="5"/>
  <c r="BS131" i="5"/>
  <c r="Q134" i="5"/>
  <c r="AR134" i="5"/>
  <c r="BS134" i="5"/>
  <c r="Q135" i="5"/>
  <c r="AR135" i="5"/>
  <c r="BS135" i="5"/>
  <c r="Q136" i="5"/>
  <c r="AR136" i="5"/>
  <c r="BS136" i="5"/>
  <c r="Q137" i="5"/>
  <c r="AR137" i="5"/>
  <c r="BS137" i="5"/>
  <c r="Q138" i="5"/>
  <c r="AR138" i="5"/>
  <c r="BS138" i="5"/>
  <c r="Q139" i="5"/>
  <c r="AR139" i="5"/>
  <c r="BS139" i="5"/>
  <c r="Q140" i="5"/>
  <c r="AR140" i="5"/>
  <c r="BS140" i="5"/>
  <c r="Q141" i="5"/>
  <c r="AR141" i="5"/>
  <c r="BS141" i="5"/>
  <c r="Q142" i="5"/>
  <c r="AR142" i="5"/>
  <c r="BS142" i="5"/>
  <c r="Q143" i="5"/>
  <c r="AR143" i="5"/>
  <c r="BS143" i="5"/>
  <c r="Q144" i="5"/>
  <c r="AR144" i="5"/>
  <c r="BS144" i="5"/>
  <c r="Q148" i="5"/>
  <c r="AR148" i="5"/>
  <c r="BS148" i="5"/>
  <c r="Q149" i="5"/>
  <c r="AR149" i="5"/>
  <c r="BS149" i="5"/>
  <c r="Q150" i="5"/>
  <c r="AR150" i="5"/>
  <c r="BS150" i="5"/>
  <c r="Q151" i="5"/>
  <c r="AR151" i="5"/>
  <c r="BS151" i="5"/>
  <c r="Q152" i="5"/>
  <c r="AR152" i="5"/>
  <c r="BS152" i="5"/>
  <c r="Q153" i="5"/>
  <c r="AR153" i="5"/>
  <c r="BS153" i="5"/>
  <c r="Q154" i="5"/>
  <c r="AR154" i="5"/>
  <c r="BS154" i="5"/>
  <c r="Q155" i="5"/>
  <c r="AR155" i="5"/>
  <c r="BS155" i="5"/>
  <c r="Q156" i="5"/>
  <c r="AR156" i="5"/>
  <c r="BS156" i="5"/>
  <c r="Q157" i="5"/>
  <c r="AR157" i="5"/>
  <c r="BS157" i="5"/>
  <c r="Q158" i="5"/>
  <c r="AR158" i="5"/>
  <c r="BS158" i="5"/>
  <c r="Q162" i="5"/>
  <c r="AR162" i="5"/>
  <c r="BS162" i="5"/>
  <c r="Q163" i="5"/>
  <c r="AR163" i="5"/>
  <c r="BS163" i="5"/>
  <c r="Q164" i="5"/>
  <c r="AR164" i="5"/>
  <c r="BS164" i="5"/>
  <c r="Q165" i="5"/>
  <c r="AR165" i="5"/>
  <c r="BS165" i="5"/>
  <c r="Q166" i="5"/>
  <c r="AR166" i="5"/>
  <c r="BS166" i="5"/>
  <c r="Q167" i="5"/>
  <c r="AR167" i="5"/>
  <c r="BS167" i="5"/>
  <c r="Q168" i="5"/>
  <c r="AR168" i="5"/>
  <c r="BS168" i="5"/>
  <c r="Q169" i="5"/>
  <c r="AR169" i="5"/>
  <c r="BS169" i="5"/>
  <c r="Q170" i="5"/>
  <c r="AR170" i="5"/>
  <c r="BS170" i="5"/>
  <c r="Q175" i="5"/>
  <c r="AR175" i="5"/>
  <c r="BS175" i="5"/>
  <c r="Q176" i="5"/>
  <c r="AR176" i="5"/>
  <c r="BS176" i="5"/>
  <c r="Q177" i="5"/>
  <c r="AR177" i="5"/>
  <c r="BS177" i="5"/>
  <c r="Q178" i="5"/>
  <c r="AR178" i="5"/>
  <c r="BS178" i="5"/>
  <c r="Q179" i="5"/>
  <c r="AR179" i="5"/>
  <c r="BS179" i="5"/>
  <c r="Q180" i="5"/>
  <c r="AR180" i="5"/>
  <c r="BS180" i="5"/>
  <c r="Q181" i="5"/>
  <c r="AR181" i="5"/>
  <c r="BS181" i="5"/>
  <c r="Q182" i="5"/>
  <c r="AR182" i="5"/>
  <c r="BS182" i="5"/>
  <c r="Q183" i="5"/>
  <c r="AR183" i="5"/>
  <c r="BS183" i="5"/>
  <c r="Q188" i="5"/>
  <c r="AR188" i="5"/>
  <c r="BS188" i="5"/>
  <c r="Q189" i="5"/>
  <c r="AR189" i="5"/>
  <c r="BS189" i="5"/>
  <c r="Q190" i="5"/>
  <c r="AR190" i="5"/>
  <c r="BS190" i="5"/>
  <c r="Q191" i="5"/>
  <c r="AR191" i="5"/>
  <c r="BS191" i="5"/>
  <c r="Q192" i="5"/>
  <c r="AR192" i="5"/>
  <c r="BS192" i="5"/>
  <c r="Q193" i="5"/>
  <c r="AR193" i="5"/>
  <c r="BS193" i="5"/>
  <c r="Q194" i="5"/>
  <c r="AR194" i="5"/>
  <c r="BS194" i="5"/>
  <c r="Q195" i="5"/>
  <c r="AR195" i="5"/>
  <c r="BS195" i="5"/>
  <c r="Q196" i="5"/>
  <c r="AR196" i="5"/>
  <c r="BS196" i="5"/>
  <c r="C34" i="2"/>
  <c r="C13" i="2"/>
  <c r="B23" i="8"/>
  <c r="N64" i="5"/>
  <c r="BG43" i="5"/>
  <c r="AN131" i="5"/>
  <c r="AO131" i="5"/>
  <c r="BP119" i="5"/>
  <c r="AN130" i="5"/>
  <c r="AN129" i="5"/>
  <c r="AN128" i="5"/>
  <c r="AN127" i="5"/>
  <c r="AN126" i="5"/>
  <c r="AQ126" i="5"/>
  <c r="AN125" i="5"/>
  <c r="AN124" i="5"/>
  <c r="AO124" i="5"/>
  <c r="BP126" i="5" s="1"/>
  <c r="AN123" i="5"/>
  <c r="AO123" i="5" s="1"/>
  <c r="BP127" i="5" s="1"/>
  <c r="AN122" i="5"/>
  <c r="AQ122" i="5" s="1"/>
  <c r="AN121" i="5"/>
  <c r="AN120" i="5"/>
  <c r="AN119" i="5"/>
  <c r="AP119" i="5" s="1"/>
  <c r="BQ131" i="5"/>
  <c r="AK131" i="5"/>
  <c r="AL131" i="5" s="1"/>
  <c r="BM119" i="5" s="1"/>
  <c r="AK130" i="5"/>
  <c r="AK129" i="5"/>
  <c r="AK128" i="5"/>
  <c r="AL128" i="5" s="1"/>
  <c r="BM122" i="5" s="1"/>
  <c r="AK127" i="5"/>
  <c r="AK126" i="5"/>
  <c r="AK125" i="5"/>
  <c r="AL125" i="5" s="1"/>
  <c r="BM125" i="5" s="1"/>
  <c r="AK124" i="5"/>
  <c r="AL124" i="5"/>
  <c r="BM126" i="5" s="1"/>
  <c r="AK123" i="5"/>
  <c r="AK122" i="5"/>
  <c r="AK121" i="5"/>
  <c r="AK120" i="5"/>
  <c r="BL130" i="5" s="1"/>
  <c r="AK119" i="5"/>
  <c r="AH131" i="5"/>
  <c r="BI119" i="5" s="1"/>
  <c r="AH130" i="5"/>
  <c r="AI130" i="5" s="1"/>
  <c r="BJ120" i="5" s="1"/>
  <c r="AH129" i="5"/>
  <c r="AI129" i="5"/>
  <c r="BJ121" i="5" s="1"/>
  <c r="AH128" i="5"/>
  <c r="AH127" i="5"/>
  <c r="AH126" i="5"/>
  <c r="AJ126" i="5" s="1"/>
  <c r="AH125" i="5"/>
  <c r="AJ125" i="5" s="1"/>
  <c r="BK125" i="5" s="1"/>
  <c r="AH124" i="5"/>
  <c r="AH123" i="5"/>
  <c r="AH122" i="5"/>
  <c r="AH121" i="5"/>
  <c r="AH120" i="5"/>
  <c r="AH119" i="5"/>
  <c r="AI119" i="5" s="1"/>
  <c r="AF120" i="5"/>
  <c r="AF121" i="5"/>
  <c r="BG129" i="5"/>
  <c r="BH129" i="5" s="1"/>
  <c r="AF122" i="5"/>
  <c r="AJ122" i="5" s="1"/>
  <c r="AF123" i="5"/>
  <c r="AF124" i="5"/>
  <c r="AF125" i="5"/>
  <c r="BG125" i="5" s="1"/>
  <c r="AF126" i="5"/>
  <c r="AF127" i="5"/>
  <c r="AF128" i="5"/>
  <c r="AJ128" i="5" s="1"/>
  <c r="BK122" i="5" s="1"/>
  <c r="AG128" i="5"/>
  <c r="AF129" i="5"/>
  <c r="BG121" i="5"/>
  <c r="BH121" i="5" s="1"/>
  <c r="AF130" i="5"/>
  <c r="AF131" i="5"/>
  <c r="AF119" i="5"/>
  <c r="BG22" i="5"/>
  <c r="BG21" i="5"/>
  <c r="BG12" i="5"/>
  <c r="BG7" i="5"/>
  <c r="AE22" i="5"/>
  <c r="AE21" i="5"/>
  <c r="AE12" i="5"/>
  <c r="AE7" i="5"/>
  <c r="M125" i="5"/>
  <c r="M124" i="5"/>
  <c r="O124" i="5"/>
  <c r="O126" i="5"/>
  <c r="M123" i="5"/>
  <c r="O123" i="5"/>
  <c r="O127" i="5" s="1"/>
  <c r="M122" i="5"/>
  <c r="M121" i="5"/>
  <c r="M120" i="5"/>
  <c r="M119" i="5"/>
  <c r="N119" i="5"/>
  <c r="N131" i="5" s="1"/>
  <c r="J125" i="5"/>
  <c r="K125" i="5"/>
  <c r="J124" i="5"/>
  <c r="J123" i="5"/>
  <c r="J122" i="5"/>
  <c r="J121" i="5"/>
  <c r="L121" i="5" s="1"/>
  <c r="L129" i="5" s="1"/>
  <c r="J120" i="5"/>
  <c r="J119" i="5"/>
  <c r="G125" i="5"/>
  <c r="H125" i="5" s="1"/>
  <c r="G124" i="5"/>
  <c r="G123" i="5"/>
  <c r="H123" i="5"/>
  <c r="H127" i="5" s="1"/>
  <c r="G122" i="5"/>
  <c r="G121" i="5"/>
  <c r="G120" i="5"/>
  <c r="I120" i="5"/>
  <c r="I130" i="5" s="1"/>
  <c r="G119" i="5"/>
  <c r="E120" i="5"/>
  <c r="E121" i="5"/>
  <c r="E122" i="5"/>
  <c r="E123" i="5"/>
  <c r="E124" i="5"/>
  <c r="E125" i="5"/>
  <c r="E119" i="5"/>
  <c r="F119" i="5"/>
  <c r="E134" i="5"/>
  <c r="M101" i="5"/>
  <c r="M131" i="5" s="1"/>
  <c r="M100" i="5"/>
  <c r="M130" i="5" s="1"/>
  <c r="M99" i="5"/>
  <c r="M129" i="5"/>
  <c r="M98" i="5"/>
  <c r="M128" i="5" s="1"/>
  <c r="M97" i="5"/>
  <c r="M127" i="5"/>
  <c r="M96" i="5"/>
  <c r="M126" i="5"/>
  <c r="J101" i="5"/>
  <c r="J131" i="5"/>
  <c r="J100" i="5"/>
  <c r="J130" i="5"/>
  <c r="J99" i="5"/>
  <c r="J129" i="5" s="1"/>
  <c r="J98" i="5"/>
  <c r="J128" i="5" s="1"/>
  <c r="J97" i="5"/>
  <c r="J127" i="5" s="1"/>
  <c r="J96" i="5"/>
  <c r="J126" i="5"/>
  <c r="G101" i="5"/>
  <c r="G131" i="5" s="1"/>
  <c r="G100" i="5"/>
  <c r="G130" i="5" s="1"/>
  <c r="G99" i="5"/>
  <c r="G129" i="5" s="1"/>
  <c r="G98" i="5"/>
  <c r="G128" i="5" s="1"/>
  <c r="G97" i="5"/>
  <c r="G127" i="5"/>
  <c r="G96" i="5"/>
  <c r="G126" i="5" s="1"/>
  <c r="E101" i="5"/>
  <c r="E131" i="5"/>
  <c r="F131" i="5"/>
  <c r="E100" i="5"/>
  <c r="E130" i="5" s="1"/>
  <c r="F130" i="5" s="1"/>
  <c r="E99" i="5"/>
  <c r="F99" i="5" s="1"/>
  <c r="E129" i="5"/>
  <c r="F129" i="5" s="1"/>
  <c r="E98" i="5"/>
  <c r="E128" i="5"/>
  <c r="F128" i="5" s="1"/>
  <c r="E97" i="5"/>
  <c r="E127" i="5" s="1"/>
  <c r="E96" i="5"/>
  <c r="F96" i="5" s="1"/>
  <c r="E126" i="5"/>
  <c r="M86" i="5"/>
  <c r="M144" i="5" s="1"/>
  <c r="M85" i="5"/>
  <c r="M143" i="5" s="1"/>
  <c r="M84" i="5"/>
  <c r="M83" i="5"/>
  <c r="M82" i="5"/>
  <c r="J86" i="5"/>
  <c r="J85" i="5"/>
  <c r="J143" i="5" s="1"/>
  <c r="J84" i="5"/>
  <c r="J142" i="5" s="1"/>
  <c r="J83" i="5"/>
  <c r="J82" i="5"/>
  <c r="G86" i="5"/>
  <c r="G144" i="5" s="1"/>
  <c r="G85" i="5"/>
  <c r="G143" i="5" s="1"/>
  <c r="G84" i="5"/>
  <c r="G142" i="5"/>
  <c r="G83" i="5"/>
  <c r="G141" i="5" s="1"/>
  <c r="G82" i="5"/>
  <c r="G140" i="5"/>
  <c r="E86" i="5"/>
  <c r="E144" i="5" s="1"/>
  <c r="F86" i="5"/>
  <c r="F144" i="5"/>
  <c r="E85" i="5"/>
  <c r="E143" i="5" s="1"/>
  <c r="E84" i="5"/>
  <c r="E142" i="5" s="1"/>
  <c r="E83" i="5"/>
  <c r="F83" i="5" s="1"/>
  <c r="F141" i="5" s="1"/>
  <c r="E82" i="5"/>
  <c r="M55" i="5"/>
  <c r="M170" i="5" s="1"/>
  <c r="M54" i="5"/>
  <c r="M53" i="5"/>
  <c r="M168" i="5" s="1"/>
  <c r="M52" i="5"/>
  <c r="M167" i="5"/>
  <c r="J55" i="5"/>
  <c r="J54" i="5"/>
  <c r="J169" i="5" s="1"/>
  <c r="J53" i="5"/>
  <c r="J168" i="5" s="1"/>
  <c r="J52" i="5"/>
  <c r="J167" i="5"/>
  <c r="G55" i="5"/>
  <c r="G170" i="5" s="1"/>
  <c r="G54" i="5"/>
  <c r="G169" i="5" s="1"/>
  <c r="G53" i="5"/>
  <c r="G168" i="5" s="1"/>
  <c r="G52" i="5"/>
  <c r="G167" i="5"/>
  <c r="E55" i="5"/>
  <c r="E170" i="5" s="1"/>
  <c r="E54" i="5"/>
  <c r="E53" i="5"/>
  <c r="E52" i="5"/>
  <c r="F52" i="5" s="1"/>
  <c r="M43" i="5"/>
  <c r="M183" i="5"/>
  <c r="M42" i="5"/>
  <c r="M41" i="5"/>
  <c r="M181" i="5" s="1"/>
  <c r="M40" i="5"/>
  <c r="M180" i="5"/>
  <c r="J43" i="5"/>
  <c r="J42" i="5"/>
  <c r="J182" i="5" s="1"/>
  <c r="J41" i="5"/>
  <c r="J181" i="5" s="1"/>
  <c r="J40" i="5"/>
  <c r="J180" i="5"/>
  <c r="G43" i="5"/>
  <c r="G42" i="5"/>
  <c r="G182" i="5" s="1"/>
  <c r="G41" i="5"/>
  <c r="G181" i="5"/>
  <c r="G40" i="5"/>
  <c r="E43" i="5"/>
  <c r="E42" i="5"/>
  <c r="F42" i="5" s="1"/>
  <c r="F182" i="5" s="1"/>
  <c r="E41" i="5"/>
  <c r="E40" i="5"/>
  <c r="E180" i="5"/>
  <c r="M196" i="5"/>
  <c r="M195" i="5"/>
  <c r="M194" i="5"/>
  <c r="M193" i="5"/>
  <c r="J196" i="5"/>
  <c r="J195" i="5"/>
  <c r="J194" i="5"/>
  <c r="J193" i="5"/>
  <c r="G196" i="5"/>
  <c r="G195" i="5"/>
  <c r="G194" i="5"/>
  <c r="G193" i="5"/>
  <c r="E196" i="5"/>
  <c r="E195" i="5"/>
  <c r="E194" i="5"/>
  <c r="E193" i="5"/>
  <c r="M116" i="5"/>
  <c r="M115" i="5"/>
  <c r="M114" i="5"/>
  <c r="M113" i="5"/>
  <c r="M112" i="5"/>
  <c r="M111" i="5"/>
  <c r="J116" i="5"/>
  <c r="J115" i="5"/>
  <c r="J114" i="5"/>
  <c r="J113" i="5"/>
  <c r="J112" i="5"/>
  <c r="J111" i="5"/>
  <c r="G116" i="5"/>
  <c r="G115" i="5"/>
  <c r="G114" i="5"/>
  <c r="G113" i="5"/>
  <c r="G112" i="5"/>
  <c r="G111" i="5"/>
  <c r="E116" i="5"/>
  <c r="E115" i="5"/>
  <c r="E114" i="5"/>
  <c r="E113" i="5"/>
  <c r="E112" i="5"/>
  <c r="F112" i="5"/>
  <c r="E111" i="5"/>
  <c r="O62" i="5"/>
  <c r="O63" i="5"/>
  <c r="O150" i="5" s="1"/>
  <c r="O64" i="5"/>
  <c r="O151" i="5"/>
  <c r="O65" i="5"/>
  <c r="O66" i="5"/>
  <c r="O153" i="5" s="1"/>
  <c r="O61" i="5"/>
  <c r="O148" i="5"/>
  <c r="C22" i="5"/>
  <c r="C26" i="2" s="1"/>
  <c r="C21" i="5"/>
  <c r="C12" i="5"/>
  <c r="C7" i="5"/>
  <c r="P61" i="5"/>
  <c r="L62" i="5"/>
  <c r="L149" i="5" s="1"/>
  <c r="L63" i="5"/>
  <c r="L150" i="5" s="1"/>
  <c r="L64" i="5"/>
  <c r="L151" i="5"/>
  <c r="L65" i="5"/>
  <c r="L152" i="5" s="1"/>
  <c r="L66" i="5"/>
  <c r="L67" i="5"/>
  <c r="L154" i="5"/>
  <c r="L158" i="5"/>
  <c r="L61" i="5"/>
  <c r="L148" i="5" s="1"/>
  <c r="N61" i="5"/>
  <c r="N148" i="5" s="1"/>
  <c r="N71" i="5"/>
  <c r="N158" i="5" s="1"/>
  <c r="M71" i="5"/>
  <c r="O71" i="5" s="1"/>
  <c r="O158" i="5" s="1"/>
  <c r="K61" i="5"/>
  <c r="J71" i="5"/>
  <c r="L71" i="5" s="1"/>
  <c r="I61" i="5"/>
  <c r="H61" i="5"/>
  <c r="G71" i="5"/>
  <c r="E71" i="5"/>
  <c r="F71" i="5" s="1"/>
  <c r="E158" i="5"/>
  <c r="F158" i="5"/>
  <c r="N62" i="5"/>
  <c r="N70" i="5" s="1"/>
  <c r="N157" i="5" s="1"/>
  <c r="M70" i="5"/>
  <c r="K62" i="5"/>
  <c r="K149" i="5" s="1"/>
  <c r="K70" i="5"/>
  <c r="K157" i="5" s="1"/>
  <c r="J70" i="5"/>
  <c r="J157" i="5" s="1"/>
  <c r="L70" i="5"/>
  <c r="L157" i="5" s="1"/>
  <c r="I62" i="5"/>
  <c r="H62" i="5"/>
  <c r="H70" i="5"/>
  <c r="H157" i="5"/>
  <c r="G70" i="5"/>
  <c r="G157" i="5"/>
  <c r="E70" i="5"/>
  <c r="F70" i="5" s="1"/>
  <c r="F157" i="5" s="1"/>
  <c r="N63" i="5"/>
  <c r="N69" i="5"/>
  <c r="N156" i="5" s="1"/>
  <c r="M69" i="5"/>
  <c r="K63" i="5"/>
  <c r="K69" i="5"/>
  <c r="K156" i="5"/>
  <c r="J69" i="5"/>
  <c r="I63" i="5"/>
  <c r="H63" i="5"/>
  <c r="G69" i="5"/>
  <c r="G156" i="5" s="1"/>
  <c r="E69" i="5"/>
  <c r="F69" i="5" s="1"/>
  <c r="F156" i="5" s="1"/>
  <c r="N68" i="5"/>
  <c r="N155" i="5"/>
  <c r="M68" i="5"/>
  <c r="K64" i="5"/>
  <c r="J68" i="5"/>
  <c r="I64" i="5"/>
  <c r="I68" i="5" s="1"/>
  <c r="I155" i="5" s="1"/>
  <c r="H64" i="5"/>
  <c r="H151" i="5" s="1"/>
  <c r="G68" i="5"/>
  <c r="E68" i="5"/>
  <c r="N65" i="5"/>
  <c r="M67" i="5"/>
  <c r="M154" i="5" s="1"/>
  <c r="O67" i="5"/>
  <c r="O154" i="5" s="1"/>
  <c r="K65" i="5"/>
  <c r="K67" i="5"/>
  <c r="K154" i="5" s="1"/>
  <c r="J67" i="5"/>
  <c r="J154" i="5"/>
  <c r="I65" i="5"/>
  <c r="I67" i="5" s="1"/>
  <c r="I154" i="5" s="1"/>
  <c r="H65" i="5"/>
  <c r="H67" i="5" s="1"/>
  <c r="H152" i="5"/>
  <c r="H154" i="5"/>
  <c r="G67" i="5"/>
  <c r="G154" i="5" s="1"/>
  <c r="E67" i="5"/>
  <c r="F67" i="5"/>
  <c r="F154" i="5" s="1"/>
  <c r="N66" i="5"/>
  <c r="N153" i="5" s="1"/>
  <c r="K66" i="5"/>
  <c r="I66" i="5"/>
  <c r="H66" i="5"/>
  <c r="H153" i="5" s="1"/>
  <c r="F66" i="5"/>
  <c r="F153" i="5" s="1"/>
  <c r="F65" i="5"/>
  <c r="F64" i="5"/>
  <c r="F63" i="5"/>
  <c r="F150" i="5" s="1"/>
  <c r="F62" i="5"/>
  <c r="F149" i="5" s="1"/>
  <c r="F61" i="5"/>
  <c r="F148" i="5"/>
  <c r="X78" i="1"/>
  <c r="U78" i="1"/>
  <c r="V78" i="1"/>
  <c r="T78" i="1"/>
  <c r="S78" i="1"/>
  <c r="Q78" i="1"/>
  <c r="P78" i="1"/>
  <c r="L78" i="1"/>
  <c r="K78" i="1"/>
  <c r="I78" i="1"/>
  <c r="H78" i="1"/>
  <c r="C78" i="1"/>
  <c r="X77" i="1"/>
  <c r="U77" i="1"/>
  <c r="V77" i="1" s="1"/>
  <c r="T77" i="1"/>
  <c r="S77" i="1"/>
  <c r="Q77" i="1"/>
  <c r="P77" i="1"/>
  <c r="L77" i="1"/>
  <c r="K77" i="1"/>
  <c r="I77" i="1"/>
  <c r="H77" i="1"/>
  <c r="C77" i="1"/>
  <c r="X76" i="1"/>
  <c r="U76" i="1"/>
  <c r="V76" i="1" s="1"/>
  <c r="T76" i="1"/>
  <c r="S76" i="1"/>
  <c r="Q76" i="1"/>
  <c r="P76" i="1"/>
  <c r="L76" i="1"/>
  <c r="K76" i="1"/>
  <c r="I76" i="1"/>
  <c r="H76" i="1"/>
  <c r="C76" i="1"/>
  <c r="X75" i="1"/>
  <c r="U75" i="1"/>
  <c r="V75" i="1" s="1"/>
  <c r="T75" i="1"/>
  <c r="S75" i="1"/>
  <c r="Q75" i="1"/>
  <c r="P75" i="1"/>
  <c r="L75" i="1"/>
  <c r="K75" i="1"/>
  <c r="I75" i="1"/>
  <c r="H75" i="1"/>
  <c r="C75" i="1"/>
  <c r="X74" i="1"/>
  <c r="U74" i="1"/>
  <c r="V74" i="1" s="1"/>
  <c r="T74" i="1"/>
  <c r="S74" i="1"/>
  <c r="Q74" i="1"/>
  <c r="P74" i="1"/>
  <c r="L74" i="1"/>
  <c r="K74" i="1"/>
  <c r="I74" i="1"/>
  <c r="H74" i="1"/>
  <c r="C74" i="1"/>
  <c r="E70" i="1"/>
  <c r="C69" i="1"/>
  <c r="V64" i="1"/>
  <c r="S64" i="1"/>
  <c r="T64" i="1"/>
  <c r="R64" i="1"/>
  <c r="Q64" i="1"/>
  <c r="O64" i="1"/>
  <c r="N64" i="1"/>
  <c r="I64" i="1"/>
  <c r="H64" i="1"/>
  <c r="C64" i="1"/>
  <c r="V63" i="1"/>
  <c r="S63" i="1"/>
  <c r="T63" i="1" s="1"/>
  <c r="R63" i="1"/>
  <c r="Q63" i="1"/>
  <c r="O63" i="1"/>
  <c r="N63" i="1"/>
  <c r="I63" i="1"/>
  <c r="H63" i="1"/>
  <c r="C63" i="1"/>
  <c r="V62" i="1"/>
  <c r="S62" i="1"/>
  <c r="T62" i="1"/>
  <c r="R62" i="1"/>
  <c r="Q62" i="1"/>
  <c r="O62" i="1"/>
  <c r="N62" i="1"/>
  <c r="I62" i="1"/>
  <c r="H62" i="1"/>
  <c r="C62" i="1"/>
  <c r="V61" i="1"/>
  <c r="S61" i="1"/>
  <c r="T61" i="1" s="1"/>
  <c r="R61" i="1"/>
  <c r="Q61" i="1"/>
  <c r="O61" i="1"/>
  <c r="N61" i="1"/>
  <c r="I61" i="1"/>
  <c r="H61" i="1"/>
  <c r="C61" i="1"/>
  <c r="V60" i="1"/>
  <c r="S60" i="1"/>
  <c r="T60" i="1"/>
  <c r="R60" i="1"/>
  <c r="Q60" i="1"/>
  <c r="O60" i="1"/>
  <c r="N60" i="1"/>
  <c r="I60" i="1"/>
  <c r="H60" i="1"/>
  <c r="C60" i="1"/>
  <c r="V59" i="1"/>
  <c r="S59" i="1"/>
  <c r="T59" i="1" s="1"/>
  <c r="R59" i="1"/>
  <c r="Q59" i="1"/>
  <c r="O59" i="1"/>
  <c r="N59" i="1"/>
  <c r="I59" i="1"/>
  <c r="H59" i="1"/>
  <c r="C59" i="1"/>
  <c r="E55" i="1"/>
  <c r="C54" i="1"/>
  <c r="J46" i="1"/>
  <c r="P46" i="1"/>
  <c r="V46" i="1"/>
  <c r="O46" i="1"/>
  <c r="N46" i="1"/>
  <c r="I46" i="1"/>
  <c r="H46" i="1"/>
  <c r="B46" i="1"/>
  <c r="C46" i="1"/>
  <c r="J45" i="1"/>
  <c r="P45" i="1" s="1"/>
  <c r="R45" i="1" s="1"/>
  <c r="V45" i="1"/>
  <c r="O45" i="1"/>
  <c r="N45" i="1"/>
  <c r="I45" i="1"/>
  <c r="H45" i="1"/>
  <c r="B45" i="1"/>
  <c r="C45" i="1"/>
  <c r="J44" i="1"/>
  <c r="P44" i="1"/>
  <c r="X44" i="1" s="1"/>
  <c r="V44" i="1"/>
  <c r="O44" i="1"/>
  <c r="N44" i="1"/>
  <c r="I44" i="1"/>
  <c r="H44" i="1"/>
  <c r="C44" i="1"/>
  <c r="J43" i="1"/>
  <c r="P43" i="1"/>
  <c r="V43" i="1"/>
  <c r="O43" i="1"/>
  <c r="N43" i="1"/>
  <c r="I43" i="1"/>
  <c r="H43" i="1"/>
  <c r="C43" i="1"/>
  <c r="J42" i="1"/>
  <c r="P42" i="1" s="1"/>
  <c r="S42" i="1" s="1"/>
  <c r="V42" i="1"/>
  <c r="T42" i="1"/>
  <c r="R42" i="1"/>
  <c r="O42" i="1"/>
  <c r="N42" i="1"/>
  <c r="I42" i="1"/>
  <c r="H42" i="1"/>
  <c r="B42" i="1"/>
  <c r="C42" i="1" s="1"/>
  <c r="J41" i="1"/>
  <c r="P41" i="1"/>
  <c r="V41" i="1"/>
  <c r="O41" i="1"/>
  <c r="N41" i="1"/>
  <c r="I41" i="1"/>
  <c r="H41" i="1"/>
  <c r="C41" i="1"/>
  <c r="E37" i="1"/>
  <c r="C36" i="1"/>
  <c r="S31" i="1"/>
  <c r="O31" i="1"/>
  <c r="P31" i="1"/>
  <c r="Q31" i="1" s="1"/>
  <c r="N31" i="1"/>
  <c r="J31" i="1"/>
  <c r="I31" i="1"/>
  <c r="H31" i="1"/>
  <c r="C31" i="1"/>
  <c r="S30" i="1"/>
  <c r="O30" i="1"/>
  <c r="P30" i="1"/>
  <c r="Q30" i="1" s="1"/>
  <c r="N30" i="1"/>
  <c r="J30" i="1"/>
  <c r="I30" i="1"/>
  <c r="H30" i="1"/>
  <c r="B30" i="1"/>
  <c r="C30" i="1"/>
  <c r="S29" i="1"/>
  <c r="O29" i="1"/>
  <c r="P29" i="1"/>
  <c r="Q29" i="1"/>
  <c r="N29" i="1"/>
  <c r="J29" i="1"/>
  <c r="I29" i="1"/>
  <c r="H29" i="1"/>
  <c r="B29" i="1"/>
  <c r="C29" i="1"/>
  <c r="S28" i="1"/>
  <c r="O28" i="1"/>
  <c r="P28" i="1"/>
  <c r="Q28" i="1" s="1"/>
  <c r="N28" i="1"/>
  <c r="J28" i="1"/>
  <c r="I28" i="1"/>
  <c r="H28" i="1"/>
  <c r="B28" i="1"/>
  <c r="C28" i="1"/>
  <c r="S27" i="1"/>
  <c r="O27" i="1"/>
  <c r="P27" i="1"/>
  <c r="Q27" i="1"/>
  <c r="N27" i="1"/>
  <c r="J27" i="1"/>
  <c r="I27" i="1"/>
  <c r="H27" i="1"/>
  <c r="B27" i="1"/>
  <c r="C27" i="1"/>
  <c r="S26" i="1"/>
  <c r="O26" i="1"/>
  <c r="P26" i="1"/>
  <c r="Q26" i="1" s="1"/>
  <c r="N26" i="1"/>
  <c r="J26" i="1"/>
  <c r="I26" i="1"/>
  <c r="H26" i="1"/>
  <c r="C26" i="1"/>
  <c r="E22" i="1"/>
  <c r="C21" i="1"/>
  <c r="S16" i="1"/>
  <c r="O16" i="1"/>
  <c r="P16" i="1"/>
  <c r="Q16" i="1" s="1"/>
  <c r="N16" i="1"/>
  <c r="J16" i="1"/>
  <c r="I16" i="1"/>
  <c r="H16" i="1"/>
  <c r="B16" i="1"/>
  <c r="C16" i="1" s="1"/>
  <c r="S15" i="1"/>
  <c r="O15" i="1"/>
  <c r="P15" i="1"/>
  <c r="Q15" i="1" s="1"/>
  <c r="N15" i="1"/>
  <c r="J15" i="1"/>
  <c r="I15" i="1"/>
  <c r="H15" i="1"/>
  <c r="B15" i="1"/>
  <c r="C15" i="1"/>
  <c r="S14" i="1"/>
  <c r="O14" i="1"/>
  <c r="P14" i="1"/>
  <c r="Q14" i="1"/>
  <c r="N14" i="1"/>
  <c r="J14" i="1"/>
  <c r="I14" i="1"/>
  <c r="H14" i="1"/>
  <c r="C14" i="1"/>
  <c r="S13" i="1"/>
  <c r="O13" i="1"/>
  <c r="P13" i="1"/>
  <c r="Q13" i="1"/>
  <c r="N13" i="1"/>
  <c r="J13" i="1"/>
  <c r="I13" i="1"/>
  <c r="H13" i="1"/>
  <c r="B13" i="1"/>
  <c r="C13" i="1"/>
  <c r="S12" i="1"/>
  <c r="O12" i="1"/>
  <c r="P12" i="1" s="1"/>
  <c r="Q12" i="1" s="1"/>
  <c r="N12" i="1"/>
  <c r="J12" i="1"/>
  <c r="I12" i="1"/>
  <c r="H12" i="1"/>
  <c r="C12" i="1"/>
  <c r="E8" i="1"/>
  <c r="C7" i="1"/>
  <c r="BG64" i="5"/>
  <c r="J12" i="5"/>
  <c r="AJ64" i="5"/>
  <c r="AJ68" i="5"/>
  <c r="AJ155" i="5"/>
  <c r="AL64" i="5"/>
  <c r="AL68" i="5"/>
  <c r="AO64" i="5"/>
  <c r="AO68" i="5"/>
  <c r="BP64" i="5" s="1"/>
  <c r="J14" i="5"/>
  <c r="BO64" i="5"/>
  <c r="BO151" i="5" s="1"/>
  <c r="AP35" i="5"/>
  <c r="BQ43" i="5" s="1"/>
  <c r="BQ183" i="5" s="1"/>
  <c r="AO35" i="5"/>
  <c r="AO175" i="5" s="1"/>
  <c r="BP43" i="5"/>
  <c r="BP183" i="5" s="1"/>
  <c r="BO43" i="5"/>
  <c r="BO183" i="5"/>
  <c r="BR183" i="5"/>
  <c r="AM35" i="5"/>
  <c r="BN43" i="5"/>
  <c r="BN183" i="5"/>
  <c r="AL35" i="5"/>
  <c r="AL175" i="5"/>
  <c r="BL43" i="5"/>
  <c r="BL183" i="5" s="1"/>
  <c r="AJ35" i="5"/>
  <c r="BK43" i="5"/>
  <c r="BK183" i="5"/>
  <c r="AI35" i="5"/>
  <c r="BI43" i="5"/>
  <c r="BI183" i="5"/>
  <c r="AP36" i="5"/>
  <c r="AO36" i="5"/>
  <c r="BP42" i="5"/>
  <c r="BP182" i="5"/>
  <c r="BO42" i="5"/>
  <c r="AM36" i="5"/>
  <c r="BN42" i="5"/>
  <c r="BN182" i="5"/>
  <c r="AL36" i="5"/>
  <c r="BM42" i="5"/>
  <c r="BM182" i="5" s="1"/>
  <c r="BL42" i="5"/>
  <c r="BL182" i="5" s="1"/>
  <c r="AJ36" i="5"/>
  <c r="AI36" i="5"/>
  <c r="BI42" i="5"/>
  <c r="BI182" i="5" s="1"/>
  <c r="BG42" i="5"/>
  <c r="AP37" i="5"/>
  <c r="AO37" i="5"/>
  <c r="BO41" i="5"/>
  <c r="AM37" i="5"/>
  <c r="AL37" i="5"/>
  <c r="BL41" i="5"/>
  <c r="BL181" i="5" s="1"/>
  <c r="AJ37" i="5"/>
  <c r="AJ177" i="5"/>
  <c r="BK41" i="5"/>
  <c r="BK181" i="5"/>
  <c r="AI37" i="5"/>
  <c r="BI41" i="5"/>
  <c r="BI181" i="5" s="1"/>
  <c r="BG41" i="5"/>
  <c r="BG181" i="5"/>
  <c r="AP38" i="5"/>
  <c r="AP178" i="5" s="1"/>
  <c r="BQ40" i="5"/>
  <c r="BQ180" i="5" s="1"/>
  <c r="AO38" i="5"/>
  <c r="BP40" i="5"/>
  <c r="BP180" i="5"/>
  <c r="BO40" i="5"/>
  <c r="BR40" i="5" s="1"/>
  <c r="AM38" i="5"/>
  <c r="AL38" i="5"/>
  <c r="AL178" i="5" s="1"/>
  <c r="BL40" i="5"/>
  <c r="BL180" i="5" s="1"/>
  <c r="AJ38" i="5"/>
  <c r="AI38" i="5"/>
  <c r="BJ40" i="5"/>
  <c r="BJ180" i="5"/>
  <c r="BI40" i="5"/>
  <c r="BI180" i="5" s="1"/>
  <c r="BG40" i="5"/>
  <c r="AP39" i="5"/>
  <c r="BQ39" i="5"/>
  <c r="BQ179" i="5"/>
  <c r="AO39" i="5"/>
  <c r="BO39" i="5"/>
  <c r="AM39" i="5"/>
  <c r="BN39" i="5" s="1"/>
  <c r="AM179" i="5"/>
  <c r="BN179" i="5"/>
  <c r="AL39" i="5"/>
  <c r="BL39" i="5"/>
  <c r="BL179" i="5"/>
  <c r="AJ39" i="5"/>
  <c r="AI39" i="5"/>
  <c r="AI179" i="5" s="1"/>
  <c r="BI39" i="5"/>
  <c r="BI179" i="5" s="1"/>
  <c r="BG39" i="5"/>
  <c r="AP40" i="5"/>
  <c r="BQ38" i="5" s="1"/>
  <c r="BQ178" i="5" s="1"/>
  <c r="AO40" i="5"/>
  <c r="BP38" i="5"/>
  <c r="BP178" i="5" s="1"/>
  <c r="BO38" i="5"/>
  <c r="BO178" i="5"/>
  <c r="AM40" i="5"/>
  <c r="BN38" i="5" s="1"/>
  <c r="BN178" i="5"/>
  <c r="AL40" i="5"/>
  <c r="BM38" i="5" s="1"/>
  <c r="BM178" i="5"/>
  <c r="BL38" i="5"/>
  <c r="BL178" i="5"/>
  <c r="AJ40" i="5"/>
  <c r="AI40" i="5"/>
  <c r="AI180" i="5" s="1"/>
  <c r="BJ38" i="5"/>
  <c r="BJ178" i="5"/>
  <c r="BI38" i="5"/>
  <c r="BI178" i="5" s="1"/>
  <c r="BG38" i="5"/>
  <c r="AP41" i="5"/>
  <c r="BQ37" i="5" s="1"/>
  <c r="BQ177" i="5" s="1"/>
  <c r="AO41" i="5"/>
  <c r="AO181" i="5"/>
  <c r="BO37" i="5"/>
  <c r="AM41" i="5"/>
  <c r="BN37" i="5" s="1"/>
  <c r="BN177" i="5" s="1"/>
  <c r="AM181" i="5"/>
  <c r="AL41" i="5"/>
  <c r="BM37" i="5"/>
  <c r="BM177" i="5"/>
  <c r="BL37" i="5"/>
  <c r="BL177" i="5"/>
  <c r="AJ41" i="5"/>
  <c r="AI41" i="5"/>
  <c r="AI181" i="5" s="1"/>
  <c r="BJ37" i="5"/>
  <c r="BJ177" i="5" s="1"/>
  <c r="BI37" i="5"/>
  <c r="BI177" i="5"/>
  <c r="BG37" i="5"/>
  <c r="BG177" i="5"/>
  <c r="AP42" i="5"/>
  <c r="AO42" i="5"/>
  <c r="BO36" i="5"/>
  <c r="BO176" i="5"/>
  <c r="AM42" i="5"/>
  <c r="BN36" i="5" s="1"/>
  <c r="BN176" i="5"/>
  <c r="AL42" i="5"/>
  <c r="BL36" i="5"/>
  <c r="BL176" i="5"/>
  <c r="AJ42" i="5"/>
  <c r="AI42" i="5"/>
  <c r="BI36" i="5"/>
  <c r="BI176" i="5" s="1"/>
  <c r="BG36" i="5"/>
  <c r="BH36" i="5" s="1"/>
  <c r="AP43" i="5"/>
  <c r="AP183" i="5" s="1"/>
  <c r="AO43" i="5"/>
  <c r="AO183" i="5"/>
  <c r="BO35" i="5"/>
  <c r="BR35" i="5" s="1"/>
  <c r="AM43" i="5"/>
  <c r="AL43" i="5"/>
  <c r="BL35" i="5"/>
  <c r="BL175" i="5"/>
  <c r="AJ43" i="5"/>
  <c r="AJ183" i="5"/>
  <c r="AI43" i="5"/>
  <c r="BJ35" i="5" s="1"/>
  <c r="BJ175" i="5" s="1"/>
  <c r="BI35" i="5"/>
  <c r="BI175" i="5"/>
  <c r="BG35" i="5"/>
  <c r="BH35" i="5" s="1"/>
  <c r="BH175" i="5"/>
  <c r="BG175" i="5"/>
  <c r="AN183" i="5"/>
  <c r="AK183" i="5"/>
  <c r="AI183" i="5"/>
  <c r="AH183" i="5"/>
  <c r="AG43" i="5"/>
  <c r="AG183" i="5"/>
  <c r="AF183" i="5"/>
  <c r="AN182" i="5"/>
  <c r="AQ182" i="5" s="1"/>
  <c r="AK182" i="5"/>
  <c r="AH182" i="5"/>
  <c r="AG42" i="5"/>
  <c r="AG182" i="5" s="1"/>
  <c r="AF182" i="5"/>
  <c r="AP181" i="5"/>
  <c r="AN181" i="5"/>
  <c r="AK181" i="5"/>
  <c r="AH181" i="5"/>
  <c r="AG41" i="5"/>
  <c r="AG181" i="5" s="1"/>
  <c r="AF181" i="5"/>
  <c r="AO180" i="5"/>
  <c r="AN180" i="5"/>
  <c r="AM180" i="5"/>
  <c r="AK180" i="5"/>
  <c r="AH180" i="5"/>
  <c r="AG40" i="5"/>
  <c r="AG180" i="5" s="1"/>
  <c r="AF180" i="5"/>
  <c r="AP179" i="5"/>
  <c r="AN179" i="5"/>
  <c r="AQ179" i="5" s="1"/>
  <c r="AK179" i="5"/>
  <c r="AH179" i="5"/>
  <c r="AG39" i="5"/>
  <c r="AG179" i="5"/>
  <c r="AF179" i="5"/>
  <c r="AO178" i="5"/>
  <c r="AN178" i="5"/>
  <c r="AQ178" i="5"/>
  <c r="AK178" i="5"/>
  <c r="AI178" i="5"/>
  <c r="AH178" i="5"/>
  <c r="AG38" i="5"/>
  <c r="AG178" i="5"/>
  <c r="AF178" i="5"/>
  <c r="AN177" i="5"/>
  <c r="AK177" i="5"/>
  <c r="AH177" i="5"/>
  <c r="AG37" i="5"/>
  <c r="AG177" i="5"/>
  <c r="AF177" i="5"/>
  <c r="AO176" i="5"/>
  <c r="AN176" i="5"/>
  <c r="AQ176" i="5" s="1"/>
  <c r="AK176" i="5"/>
  <c r="AH176" i="5"/>
  <c r="AG36" i="5"/>
  <c r="AG176" i="5"/>
  <c r="AF176" i="5"/>
  <c r="AP175" i="5"/>
  <c r="AN175" i="5"/>
  <c r="AK175" i="5"/>
  <c r="AJ175" i="5"/>
  <c r="AI175" i="5"/>
  <c r="AH175" i="5"/>
  <c r="AG35" i="5"/>
  <c r="AG175" i="5" s="1"/>
  <c r="AF175" i="5"/>
  <c r="E176" i="5"/>
  <c r="F36" i="5"/>
  <c r="G176" i="5"/>
  <c r="H36" i="5"/>
  <c r="I36" i="5"/>
  <c r="J176" i="5"/>
  <c r="K36" i="5"/>
  <c r="K176" i="5" s="1"/>
  <c r="L36" i="5"/>
  <c r="M176" i="5"/>
  <c r="N36" i="5"/>
  <c r="N42" i="5" s="1"/>
  <c r="N176" i="5"/>
  <c r="O36" i="5"/>
  <c r="O176" i="5"/>
  <c r="E177" i="5"/>
  <c r="F37" i="5"/>
  <c r="F177" i="5"/>
  <c r="G177" i="5"/>
  <c r="H37" i="5"/>
  <c r="H177" i="5" s="1"/>
  <c r="I37" i="5"/>
  <c r="I41" i="5"/>
  <c r="I181" i="5" s="1"/>
  <c r="J177" i="5"/>
  <c r="K37" i="5"/>
  <c r="L37" i="5"/>
  <c r="L177" i="5" s="1"/>
  <c r="M177" i="5"/>
  <c r="N37" i="5"/>
  <c r="N177" i="5"/>
  <c r="O37" i="5"/>
  <c r="O177" i="5" s="1"/>
  <c r="O41" i="5"/>
  <c r="O181" i="5" s="1"/>
  <c r="E178" i="5"/>
  <c r="F38" i="5"/>
  <c r="F178" i="5"/>
  <c r="G178" i="5"/>
  <c r="H38" i="5"/>
  <c r="H178" i="5"/>
  <c r="I38" i="5"/>
  <c r="I40" i="5" s="1"/>
  <c r="J178" i="5"/>
  <c r="K38" i="5"/>
  <c r="K178" i="5"/>
  <c r="L38" i="5"/>
  <c r="M178" i="5"/>
  <c r="N38" i="5"/>
  <c r="N178" i="5"/>
  <c r="O38" i="5"/>
  <c r="E179" i="5"/>
  <c r="F39" i="5"/>
  <c r="F179" i="5" s="1"/>
  <c r="G179" i="5"/>
  <c r="H39" i="5"/>
  <c r="H179" i="5"/>
  <c r="I39" i="5"/>
  <c r="I179" i="5"/>
  <c r="J179" i="5"/>
  <c r="K39" i="5"/>
  <c r="K179" i="5" s="1"/>
  <c r="L39" i="5"/>
  <c r="L179" i="5" s="1"/>
  <c r="M179" i="5"/>
  <c r="N39" i="5"/>
  <c r="N179" i="5" s="1"/>
  <c r="O39" i="5"/>
  <c r="O179" i="5" s="1"/>
  <c r="F40" i="5"/>
  <c r="F180" i="5"/>
  <c r="G180" i="5"/>
  <c r="H40" i="5"/>
  <c r="H180" i="5"/>
  <c r="I180" i="5"/>
  <c r="K40" i="5"/>
  <c r="K180" i="5" s="1"/>
  <c r="N40" i="5"/>
  <c r="N180" i="5" s="1"/>
  <c r="H41" i="5"/>
  <c r="H181" i="5"/>
  <c r="L41" i="5"/>
  <c r="L181" i="5" s="1"/>
  <c r="E182" i="5"/>
  <c r="M182" i="5"/>
  <c r="N182" i="5"/>
  <c r="O42" i="5"/>
  <c r="O182" i="5" s="1"/>
  <c r="E183" i="5"/>
  <c r="F43" i="5"/>
  <c r="F183" i="5"/>
  <c r="H35" i="5"/>
  <c r="H43" i="5"/>
  <c r="H183" i="5"/>
  <c r="I35" i="5"/>
  <c r="J183" i="5"/>
  <c r="K35" i="5"/>
  <c r="K43" i="5"/>
  <c r="K183" i="5"/>
  <c r="L35" i="5"/>
  <c r="N35" i="5"/>
  <c r="N175" i="5"/>
  <c r="N43" i="5"/>
  <c r="O35" i="5"/>
  <c r="F35" i="5"/>
  <c r="F175" i="5"/>
  <c r="G175" i="5"/>
  <c r="J175" i="5"/>
  <c r="M175" i="5"/>
  <c r="P175" i="5" s="1"/>
  <c r="P183" i="5" s="1"/>
  <c r="E175" i="5"/>
  <c r="AP47" i="5"/>
  <c r="AO47" i="5"/>
  <c r="BO55" i="5"/>
  <c r="BO170" i="5"/>
  <c r="BR170" i="5"/>
  <c r="AM47" i="5"/>
  <c r="BN55" i="5"/>
  <c r="BN170" i="5" s="1"/>
  <c r="AL47" i="5"/>
  <c r="AL162" i="5" s="1"/>
  <c r="BL55" i="5"/>
  <c r="BL170" i="5" s="1"/>
  <c r="AJ47" i="5"/>
  <c r="BK55" i="5"/>
  <c r="BK170" i="5"/>
  <c r="AI47" i="5"/>
  <c r="BJ55" i="5"/>
  <c r="BJ170" i="5"/>
  <c r="BI55" i="5"/>
  <c r="BI170" i="5"/>
  <c r="BG55" i="5"/>
  <c r="BG170" i="5"/>
  <c r="BH55" i="5"/>
  <c r="BH170" i="5" s="1"/>
  <c r="AP48" i="5"/>
  <c r="AO48" i="5"/>
  <c r="BO54" i="5"/>
  <c r="BR54" i="5" s="1"/>
  <c r="BO169" i="5"/>
  <c r="BR169" i="5" s="1"/>
  <c r="AM48" i="5"/>
  <c r="BN54" i="5"/>
  <c r="BN169" i="5" s="1"/>
  <c r="AL48" i="5"/>
  <c r="BL54" i="5"/>
  <c r="BL169" i="5"/>
  <c r="AJ48" i="5"/>
  <c r="AI48" i="5"/>
  <c r="BI54" i="5"/>
  <c r="BI169" i="5"/>
  <c r="BG54" i="5"/>
  <c r="BH54" i="5" s="1"/>
  <c r="BH169" i="5" s="1"/>
  <c r="AP49" i="5"/>
  <c r="AP164" i="5" s="1"/>
  <c r="AO49" i="5"/>
  <c r="BP53" i="5"/>
  <c r="BP168" i="5" s="1"/>
  <c r="BO53" i="5"/>
  <c r="BR53" i="5"/>
  <c r="BO168" i="5"/>
  <c r="BR168" i="5"/>
  <c r="AM49" i="5"/>
  <c r="BN53" i="5"/>
  <c r="BN168" i="5" s="1"/>
  <c r="AL49" i="5"/>
  <c r="BM53" i="5"/>
  <c r="BM168" i="5"/>
  <c r="BL53" i="5"/>
  <c r="BL168" i="5" s="1"/>
  <c r="AJ49" i="5"/>
  <c r="BK53" i="5"/>
  <c r="BK168" i="5"/>
  <c r="AI49" i="5"/>
  <c r="BJ53" i="5" s="1"/>
  <c r="AI164" i="5"/>
  <c r="BJ168" i="5"/>
  <c r="BI53" i="5"/>
  <c r="BI168" i="5" s="1"/>
  <c r="BG53" i="5"/>
  <c r="BG168" i="5"/>
  <c r="BH53" i="5"/>
  <c r="BH168" i="5" s="1"/>
  <c r="AP50" i="5"/>
  <c r="AO50" i="5"/>
  <c r="BP52" i="5" s="1"/>
  <c r="BP167" i="5" s="1"/>
  <c r="BO52" i="5"/>
  <c r="AM50" i="5"/>
  <c r="AL50" i="5"/>
  <c r="BL52" i="5"/>
  <c r="BL167" i="5"/>
  <c r="AJ50" i="5"/>
  <c r="BK52" i="5"/>
  <c r="BK167" i="5" s="1"/>
  <c r="AI50" i="5"/>
  <c r="BJ52" i="5"/>
  <c r="BJ167" i="5" s="1"/>
  <c r="BI52" i="5"/>
  <c r="BI167" i="5"/>
  <c r="BG52" i="5"/>
  <c r="BH52" i="5"/>
  <c r="BH167" i="5"/>
  <c r="BG167" i="5"/>
  <c r="AP51" i="5"/>
  <c r="BQ51" i="5"/>
  <c r="BQ166" i="5" s="1"/>
  <c r="AO51" i="5"/>
  <c r="BP51" i="5"/>
  <c r="BP166" i="5" s="1"/>
  <c r="BO51" i="5"/>
  <c r="BO166" i="5" s="1"/>
  <c r="BR166" i="5" s="1"/>
  <c r="AM51" i="5"/>
  <c r="AM166" i="5" s="1"/>
  <c r="BN51" i="5"/>
  <c r="BN166" i="5" s="1"/>
  <c r="AL51" i="5"/>
  <c r="BM51" i="5" s="1"/>
  <c r="BM166" i="5"/>
  <c r="BL51" i="5"/>
  <c r="BL166" i="5" s="1"/>
  <c r="AJ51" i="5"/>
  <c r="AJ166" i="5"/>
  <c r="AI51" i="5"/>
  <c r="AI166" i="5" s="1"/>
  <c r="BI51" i="5"/>
  <c r="BI166" i="5"/>
  <c r="BG51" i="5"/>
  <c r="BG166" i="5"/>
  <c r="BH51" i="5"/>
  <c r="BH166" i="5" s="1"/>
  <c r="AP52" i="5"/>
  <c r="AO52" i="5"/>
  <c r="BP50" i="5"/>
  <c r="BP165" i="5"/>
  <c r="BO50" i="5"/>
  <c r="AM52" i="5"/>
  <c r="BN50" i="5"/>
  <c r="BN165" i="5" s="1"/>
  <c r="AL52" i="5"/>
  <c r="BL50" i="5"/>
  <c r="BL165" i="5"/>
  <c r="AJ52" i="5"/>
  <c r="AJ167" i="5" s="1"/>
  <c r="BK50" i="5"/>
  <c r="BK165" i="5"/>
  <c r="AI52" i="5"/>
  <c r="BJ50" i="5"/>
  <c r="BJ165" i="5"/>
  <c r="BI50" i="5"/>
  <c r="BI165" i="5"/>
  <c r="BG50" i="5"/>
  <c r="AP53" i="5"/>
  <c r="BQ49" i="5" s="1"/>
  <c r="BQ164" i="5"/>
  <c r="AO53" i="5"/>
  <c r="BO49" i="5"/>
  <c r="BO164" i="5"/>
  <c r="BR164" i="5" s="1"/>
  <c r="AM53" i="5"/>
  <c r="BN49" i="5"/>
  <c r="BN164" i="5"/>
  <c r="AL53" i="5"/>
  <c r="BM49" i="5"/>
  <c r="BM164" i="5"/>
  <c r="BL49" i="5"/>
  <c r="BL164" i="5"/>
  <c r="AJ53" i="5"/>
  <c r="AJ168" i="5" s="1"/>
  <c r="BK49" i="5"/>
  <c r="BK164" i="5" s="1"/>
  <c r="AI53" i="5"/>
  <c r="BJ49" i="5" s="1"/>
  <c r="BJ164" i="5" s="1"/>
  <c r="BI49" i="5"/>
  <c r="BI164" i="5" s="1"/>
  <c r="BG49" i="5"/>
  <c r="AP54" i="5"/>
  <c r="BQ48" i="5" s="1"/>
  <c r="BQ163" i="5" s="1"/>
  <c r="AO54" i="5"/>
  <c r="BP48" i="5"/>
  <c r="BP163" i="5" s="1"/>
  <c r="BO48" i="5"/>
  <c r="BO163" i="5" s="1"/>
  <c r="BR163" i="5" s="1"/>
  <c r="AM54" i="5"/>
  <c r="BN48" i="5" s="1"/>
  <c r="BN163" i="5"/>
  <c r="AL54" i="5"/>
  <c r="BM48" i="5" s="1"/>
  <c r="BM163" i="5" s="1"/>
  <c r="BL48" i="5"/>
  <c r="BL163" i="5"/>
  <c r="AJ54" i="5"/>
  <c r="AI54" i="5"/>
  <c r="AI169" i="5" s="1"/>
  <c r="BJ48" i="5"/>
  <c r="BJ163" i="5" s="1"/>
  <c r="BI48" i="5"/>
  <c r="BI163" i="5"/>
  <c r="BG48" i="5"/>
  <c r="AP55" i="5"/>
  <c r="AO55" i="5"/>
  <c r="BP47" i="5" s="1"/>
  <c r="BP162" i="5" s="1"/>
  <c r="BO47" i="5"/>
  <c r="BO162" i="5"/>
  <c r="BR162" i="5" s="1"/>
  <c r="AM55" i="5"/>
  <c r="BN47" i="5"/>
  <c r="BN162" i="5" s="1"/>
  <c r="AL55" i="5"/>
  <c r="AL170" i="5" s="1"/>
  <c r="BM47" i="5"/>
  <c r="BM162" i="5"/>
  <c r="BL47" i="5"/>
  <c r="BL162" i="5" s="1"/>
  <c r="AJ55" i="5"/>
  <c r="AJ170" i="5" s="1"/>
  <c r="BK47" i="5"/>
  <c r="BK162" i="5" s="1"/>
  <c r="AI55" i="5"/>
  <c r="BI47" i="5"/>
  <c r="BI162" i="5" s="1"/>
  <c r="BG47" i="5"/>
  <c r="BG162" i="5"/>
  <c r="AO170" i="5"/>
  <c r="AN170" i="5"/>
  <c r="AQ170" i="5"/>
  <c r="AK170" i="5"/>
  <c r="AH170" i="5"/>
  <c r="AG55" i="5"/>
  <c r="AG170" i="5"/>
  <c r="AF170" i="5"/>
  <c r="AF200" i="5" s="1"/>
  <c r="AP169" i="5"/>
  <c r="AN169" i="5"/>
  <c r="AQ169" i="5"/>
  <c r="AK169" i="5"/>
  <c r="AH169" i="5"/>
  <c r="AG54" i="5"/>
  <c r="AG169" i="5" s="1"/>
  <c r="AF169" i="5"/>
  <c r="AP168" i="5"/>
  <c r="AN168" i="5"/>
  <c r="AQ168" i="5" s="1"/>
  <c r="AM168" i="5"/>
  <c r="AL168" i="5"/>
  <c r="AK168" i="5"/>
  <c r="AH168" i="5"/>
  <c r="AG53" i="5"/>
  <c r="AG168" i="5"/>
  <c r="AF168" i="5"/>
  <c r="AO167" i="5"/>
  <c r="AN167" i="5"/>
  <c r="AQ167" i="5" s="1"/>
  <c r="AK167" i="5"/>
  <c r="AH167" i="5"/>
  <c r="AG52" i="5"/>
  <c r="AG167" i="5" s="1"/>
  <c r="AF167" i="5"/>
  <c r="AP166" i="5"/>
  <c r="AO166" i="5"/>
  <c r="AN166" i="5"/>
  <c r="AL166" i="5"/>
  <c r="AK166" i="5"/>
  <c r="AH166" i="5"/>
  <c r="AG51" i="5"/>
  <c r="AG166" i="5" s="1"/>
  <c r="AF166" i="5"/>
  <c r="AN165" i="5"/>
  <c r="AQ165" i="5" s="1"/>
  <c r="AK165" i="5"/>
  <c r="AJ165" i="5"/>
  <c r="AI165" i="5"/>
  <c r="AH165" i="5"/>
  <c r="AG50" i="5"/>
  <c r="AG165" i="5"/>
  <c r="AF165" i="5"/>
  <c r="AO164" i="5"/>
  <c r="AN164" i="5"/>
  <c r="AM164" i="5"/>
  <c r="AL164" i="5"/>
  <c r="AK164" i="5"/>
  <c r="AJ164" i="5"/>
  <c r="AH164" i="5"/>
  <c r="AG49" i="5"/>
  <c r="AG164" i="5"/>
  <c r="AF164" i="5"/>
  <c r="AN163" i="5"/>
  <c r="AQ163" i="5" s="1"/>
  <c r="AM163" i="5"/>
  <c r="AK163" i="5"/>
  <c r="AH163" i="5"/>
  <c r="AG48" i="5"/>
  <c r="AF163" i="5"/>
  <c r="AN162" i="5"/>
  <c r="AQ162" i="5" s="1"/>
  <c r="AM162" i="5"/>
  <c r="AK162" i="5"/>
  <c r="AJ162" i="5"/>
  <c r="AI162" i="5"/>
  <c r="AH162" i="5"/>
  <c r="AG47" i="5"/>
  <c r="AG162" i="5" s="1"/>
  <c r="AF162" i="5"/>
  <c r="E163" i="5"/>
  <c r="F48" i="5"/>
  <c r="F163" i="5" s="1"/>
  <c r="G163" i="5"/>
  <c r="H48" i="5"/>
  <c r="H163" i="5"/>
  <c r="I48" i="5"/>
  <c r="J163" i="5"/>
  <c r="K48" i="5"/>
  <c r="L48" i="5"/>
  <c r="L163" i="5"/>
  <c r="M163" i="5"/>
  <c r="P163" i="5" s="1"/>
  <c r="P169" i="5" s="1"/>
  <c r="N48" i="5"/>
  <c r="N163" i="5"/>
  <c r="O48" i="5"/>
  <c r="O163" i="5" s="1"/>
  <c r="E164" i="5"/>
  <c r="F49" i="5"/>
  <c r="F164" i="5" s="1"/>
  <c r="G164" i="5"/>
  <c r="H49" i="5"/>
  <c r="H164" i="5" s="1"/>
  <c r="I49" i="5"/>
  <c r="I164" i="5" s="1"/>
  <c r="J164" i="5"/>
  <c r="K49" i="5"/>
  <c r="K164" i="5"/>
  <c r="L49" i="5"/>
  <c r="L53" i="5" s="1"/>
  <c r="M164" i="5"/>
  <c r="P164" i="5"/>
  <c r="P168" i="5"/>
  <c r="N49" i="5"/>
  <c r="N164" i="5"/>
  <c r="O49" i="5"/>
  <c r="E165" i="5"/>
  <c r="F50" i="5"/>
  <c r="F165" i="5"/>
  <c r="G165" i="5"/>
  <c r="H50" i="5"/>
  <c r="H165" i="5" s="1"/>
  <c r="I50" i="5"/>
  <c r="I52" i="5" s="1"/>
  <c r="I167" i="5" s="1"/>
  <c r="J165" i="5"/>
  <c r="K50" i="5"/>
  <c r="K165" i="5" s="1"/>
  <c r="L50" i="5"/>
  <c r="L52" i="5" s="1"/>
  <c r="L167" i="5"/>
  <c r="L165" i="5"/>
  <c r="M165" i="5"/>
  <c r="N50" i="5"/>
  <c r="N165" i="5"/>
  <c r="O50" i="5"/>
  <c r="E166" i="5"/>
  <c r="F51" i="5"/>
  <c r="F166" i="5"/>
  <c r="G166" i="5"/>
  <c r="H51" i="5"/>
  <c r="H166" i="5"/>
  <c r="I51" i="5"/>
  <c r="I166" i="5"/>
  <c r="J166" i="5"/>
  <c r="K51" i="5"/>
  <c r="K166" i="5"/>
  <c r="L51" i="5"/>
  <c r="L166" i="5" s="1"/>
  <c r="M166" i="5"/>
  <c r="N51" i="5"/>
  <c r="N166" i="5"/>
  <c r="O51" i="5"/>
  <c r="O166" i="5"/>
  <c r="E167" i="5"/>
  <c r="F167" i="5"/>
  <c r="K52" i="5"/>
  <c r="K167" i="5"/>
  <c r="N52" i="5"/>
  <c r="N167" i="5"/>
  <c r="I53" i="5"/>
  <c r="I168" i="5"/>
  <c r="K53" i="5"/>
  <c r="K168" i="5"/>
  <c r="N53" i="5"/>
  <c r="N168" i="5" s="1"/>
  <c r="E169" i="5"/>
  <c r="F54" i="5"/>
  <c r="F169" i="5" s="1"/>
  <c r="H54" i="5"/>
  <c r="H169" i="5"/>
  <c r="L54" i="5"/>
  <c r="L169" i="5"/>
  <c r="M169" i="5"/>
  <c r="N54" i="5"/>
  <c r="N169" i="5"/>
  <c r="F55" i="5"/>
  <c r="F170" i="5"/>
  <c r="H47" i="5"/>
  <c r="I47" i="5"/>
  <c r="J170" i="5"/>
  <c r="K47" i="5"/>
  <c r="K162" i="5"/>
  <c r="L47" i="5"/>
  <c r="L55" i="5" s="1"/>
  <c r="L170" i="5" s="1"/>
  <c r="N47" i="5"/>
  <c r="O47" i="5"/>
  <c r="O55" i="5" s="1"/>
  <c r="O170" i="5" s="1"/>
  <c r="O162" i="5"/>
  <c r="F47" i="5"/>
  <c r="F162" i="5" s="1"/>
  <c r="G162" i="5"/>
  <c r="J162" i="5"/>
  <c r="M162" i="5"/>
  <c r="E162" i="5"/>
  <c r="F188" i="5"/>
  <c r="H188" i="5"/>
  <c r="I188" i="5"/>
  <c r="I196" i="5" s="1"/>
  <c r="K188" i="5"/>
  <c r="L188" i="5"/>
  <c r="L196" i="5" s="1"/>
  <c r="N188" i="5"/>
  <c r="N196" i="5" s="1"/>
  <c r="O188" i="5"/>
  <c r="O196" i="5" s="1"/>
  <c r="AP61" i="5"/>
  <c r="AO61" i="5"/>
  <c r="AO148" i="5" s="1"/>
  <c r="BP71" i="5"/>
  <c r="BP158" i="5"/>
  <c r="BO71" i="5"/>
  <c r="AM61" i="5"/>
  <c r="AL61" i="5"/>
  <c r="BM71" i="5" s="1"/>
  <c r="BM158" i="5" s="1"/>
  <c r="BL71" i="5"/>
  <c r="BL158" i="5"/>
  <c r="AJ61" i="5"/>
  <c r="BK71" i="5" s="1"/>
  <c r="BK158" i="5" s="1"/>
  <c r="AI61" i="5"/>
  <c r="BI71" i="5"/>
  <c r="BI158" i="5" s="1"/>
  <c r="BG71" i="5"/>
  <c r="AP62" i="5"/>
  <c r="AP149" i="5" s="1"/>
  <c r="AO62" i="5"/>
  <c r="AO149" i="5"/>
  <c r="BO70" i="5"/>
  <c r="BO157" i="5" s="1"/>
  <c r="BR157" i="5" s="1"/>
  <c r="AM62" i="5"/>
  <c r="BN70" i="5"/>
  <c r="BN157" i="5" s="1"/>
  <c r="AL62" i="5"/>
  <c r="BL70" i="5"/>
  <c r="BL157" i="5"/>
  <c r="AJ62" i="5"/>
  <c r="AI62" i="5"/>
  <c r="BI70" i="5"/>
  <c r="BI157" i="5" s="1"/>
  <c r="BG70" i="5"/>
  <c r="BH70" i="5"/>
  <c r="BH157" i="5" s="1"/>
  <c r="BG157" i="5"/>
  <c r="AP63" i="5"/>
  <c r="AP150" i="5" s="1"/>
  <c r="AO63" i="5"/>
  <c r="AO150" i="5" s="1"/>
  <c r="BO69" i="5"/>
  <c r="AM63" i="5"/>
  <c r="BN69" i="5" s="1"/>
  <c r="BN156" i="5" s="1"/>
  <c r="AL63" i="5"/>
  <c r="BM69" i="5"/>
  <c r="BM156" i="5" s="1"/>
  <c r="BL69" i="5"/>
  <c r="BL156" i="5"/>
  <c r="AJ63" i="5"/>
  <c r="AI63" i="5"/>
  <c r="AI150" i="5" s="1"/>
  <c r="BJ69" i="5"/>
  <c r="BJ156" i="5"/>
  <c r="BI69" i="5"/>
  <c r="BI156" i="5"/>
  <c r="BG69" i="5"/>
  <c r="BG156" i="5" s="1"/>
  <c r="AP64" i="5"/>
  <c r="BQ68" i="5" s="1"/>
  <c r="BQ155" i="5" s="1"/>
  <c r="BO68" i="5"/>
  <c r="BO155" i="5" s="1"/>
  <c r="BR155" i="5" s="1"/>
  <c r="AM64" i="5"/>
  <c r="AM151" i="5" s="1"/>
  <c r="BN68" i="5"/>
  <c r="BN155" i="5" s="1"/>
  <c r="BL68" i="5"/>
  <c r="BL155" i="5"/>
  <c r="AI64" i="5"/>
  <c r="BI68" i="5"/>
  <c r="BI155" i="5" s="1"/>
  <c r="BG68" i="5"/>
  <c r="BG155" i="5" s="1"/>
  <c r="AP65" i="5"/>
  <c r="AO65" i="5"/>
  <c r="BO67" i="5"/>
  <c r="AM65" i="5"/>
  <c r="AM152" i="5" s="1"/>
  <c r="BN67" i="5"/>
  <c r="BN154" i="5"/>
  <c r="AL65" i="5"/>
  <c r="BM67" i="5" s="1"/>
  <c r="BL67" i="5"/>
  <c r="BL154" i="5" s="1"/>
  <c r="AJ65" i="5"/>
  <c r="AJ152" i="5" s="1"/>
  <c r="BK67" i="5"/>
  <c r="BK154" i="5" s="1"/>
  <c r="AI65" i="5"/>
  <c r="BI67" i="5"/>
  <c r="BI154" i="5" s="1"/>
  <c r="BG67" i="5"/>
  <c r="AP66" i="5"/>
  <c r="AP153" i="5" s="1"/>
  <c r="AO66" i="5"/>
  <c r="AO153" i="5"/>
  <c r="BO66" i="5"/>
  <c r="BO153" i="5" s="1"/>
  <c r="BR153" i="5" s="1"/>
  <c r="BR66" i="5"/>
  <c r="AM66" i="5"/>
  <c r="AL66" i="5"/>
  <c r="AL153" i="5"/>
  <c r="BL66" i="5"/>
  <c r="BL153" i="5" s="1"/>
  <c r="AJ66" i="5"/>
  <c r="AJ153" i="5"/>
  <c r="AI66" i="5"/>
  <c r="BI66" i="5"/>
  <c r="BI153" i="5" s="1"/>
  <c r="BG66" i="5"/>
  <c r="BG153" i="5" s="1"/>
  <c r="AP67" i="5"/>
  <c r="AO67" i="5"/>
  <c r="BO65" i="5"/>
  <c r="BO152" i="5"/>
  <c r="BR152" i="5" s="1"/>
  <c r="AM67" i="5"/>
  <c r="BN65" i="5" s="1"/>
  <c r="BN152" i="5" s="1"/>
  <c r="AL67" i="5"/>
  <c r="BM65" i="5"/>
  <c r="BM152" i="5"/>
  <c r="BL65" i="5"/>
  <c r="BL152" i="5"/>
  <c r="AJ67" i="5"/>
  <c r="BK65" i="5" s="1"/>
  <c r="BK152" i="5"/>
  <c r="AI67" i="5"/>
  <c r="AI154" i="5" s="1"/>
  <c r="BI65" i="5"/>
  <c r="BI152" i="5" s="1"/>
  <c r="BG65" i="5"/>
  <c r="AP68" i="5"/>
  <c r="BR151" i="5"/>
  <c r="AM68" i="5"/>
  <c r="BL64" i="5"/>
  <c r="C18" i="2" s="1"/>
  <c r="BL151" i="5"/>
  <c r="AI68" i="5"/>
  <c r="BI64" i="5"/>
  <c r="BI151" i="5"/>
  <c r="BH64" i="5"/>
  <c r="BH151" i="5" s="1"/>
  <c r="BG151" i="5"/>
  <c r="AP69" i="5"/>
  <c r="AO69" i="5"/>
  <c r="BO63" i="5"/>
  <c r="BO150" i="5"/>
  <c r="BR150" i="5"/>
  <c r="AM69" i="5"/>
  <c r="AL69" i="5"/>
  <c r="AL156" i="5" s="1"/>
  <c r="BM63" i="5"/>
  <c r="BM150" i="5" s="1"/>
  <c r="BL63" i="5"/>
  <c r="BL150" i="5"/>
  <c r="AJ69" i="5"/>
  <c r="AJ156" i="5" s="1"/>
  <c r="BK63" i="5"/>
  <c r="BK150" i="5"/>
  <c r="AI69" i="5"/>
  <c r="BJ63" i="5" s="1"/>
  <c r="BJ150" i="5" s="1"/>
  <c r="BI63" i="5"/>
  <c r="BI150" i="5" s="1"/>
  <c r="BG63" i="5"/>
  <c r="BH63" i="5"/>
  <c r="BH150" i="5" s="1"/>
  <c r="AP70" i="5"/>
  <c r="BQ62" i="5"/>
  <c r="BQ149" i="5"/>
  <c r="AO70" i="5"/>
  <c r="BO62" i="5"/>
  <c r="BR62" i="5" s="1"/>
  <c r="AM70" i="5"/>
  <c r="AM157" i="5" s="1"/>
  <c r="AL70" i="5"/>
  <c r="BL62" i="5"/>
  <c r="BL149" i="5"/>
  <c r="AJ70" i="5"/>
  <c r="AJ157" i="5"/>
  <c r="AI70" i="5"/>
  <c r="BI62" i="5"/>
  <c r="BI149" i="5"/>
  <c r="BG62" i="5"/>
  <c r="BH62" i="5" s="1"/>
  <c r="BH149" i="5" s="1"/>
  <c r="AP71" i="5"/>
  <c r="AO71" i="5"/>
  <c r="BO61" i="5"/>
  <c r="BR61" i="5"/>
  <c r="AM71" i="5"/>
  <c r="BN61" i="5" s="1"/>
  <c r="BN148" i="5"/>
  <c r="AL71" i="5"/>
  <c r="BM61" i="5" s="1"/>
  <c r="BM148" i="5"/>
  <c r="BL61" i="5"/>
  <c r="BL148" i="5" s="1"/>
  <c r="AJ71" i="5"/>
  <c r="AJ158" i="5" s="1"/>
  <c r="AI71" i="5"/>
  <c r="AI158" i="5" s="1"/>
  <c r="BJ61" i="5"/>
  <c r="BJ148" i="5"/>
  <c r="BI61" i="5"/>
  <c r="BI148" i="5"/>
  <c r="BG61" i="5"/>
  <c r="AN158" i="5"/>
  <c r="AM158" i="5"/>
  <c r="AK158" i="5"/>
  <c r="AH158" i="5"/>
  <c r="AG71" i="5"/>
  <c r="AG158" i="5" s="1"/>
  <c r="AF158" i="5"/>
  <c r="AP157" i="5"/>
  <c r="AN157" i="5"/>
  <c r="AQ157" i="5"/>
  <c r="AK157" i="5"/>
  <c r="AH157" i="5"/>
  <c r="AG70" i="5"/>
  <c r="AG157" i="5" s="1"/>
  <c r="AF157" i="5"/>
  <c r="AN156" i="5"/>
  <c r="AQ156" i="5"/>
  <c r="AK156" i="5"/>
  <c r="AH156" i="5"/>
  <c r="AG69" i="5"/>
  <c r="AG156" i="5" s="1"/>
  <c r="AF156" i="5"/>
  <c r="AO155" i="5"/>
  <c r="AN155" i="5"/>
  <c r="AQ155" i="5" s="1"/>
  <c r="AK155" i="5"/>
  <c r="AH155" i="5"/>
  <c r="AG68" i="5"/>
  <c r="AG155" i="5"/>
  <c r="AF155" i="5"/>
  <c r="AN154" i="5"/>
  <c r="AL154" i="5"/>
  <c r="AK154" i="5"/>
  <c r="AH154" i="5"/>
  <c r="AG67" i="5"/>
  <c r="AG154" i="5"/>
  <c r="AF154" i="5"/>
  <c r="AN153" i="5"/>
  <c r="AK153" i="5"/>
  <c r="AH153" i="5"/>
  <c r="AG66" i="5"/>
  <c r="AG153" i="5"/>
  <c r="AF153" i="5"/>
  <c r="AN152" i="5"/>
  <c r="AK152" i="5"/>
  <c r="AH152" i="5"/>
  <c r="AG65" i="5"/>
  <c r="AG152" i="5" s="1"/>
  <c r="AF152" i="5"/>
  <c r="AN151" i="5"/>
  <c r="AQ151" i="5"/>
  <c r="AK151" i="5"/>
  <c r="AH151" i="5"/>
  <c r="AG64" i="5"/>
  <c r="AG151" i="5"/>
  <c r="AF151" i="5"/>
  <c r="AN150" i="5"/>
  <c r="AQ150" i="5" s="1"/>
  <c r="AM150" i="5"/>
  <c r="AK150" i="5"/>
  <c r="AH150" i="5"/>
  <c r="AG63" i="5"/>
  <c r="AG150" i="5"/>
  <c r="AF150" i="5"/>
  <c r="AN149" i="5"/>
  <c r="AQ149" i="5" s="1"/>
  <c r="AK149" i="5"/>
  <c r="AH149" i="5"/>
  <c r="AG62" i="5"/>
  <c r="AG149" i="5"/>
  <c r="AF149" i="5"/>
  <c r="AN148" i="5"/>
  <c r="AQ148" i="5"/>
  <c r="AK148" i="5"/>
  <c r="AH148" i="5"/>
  <c r="AG61" i="5"/>
  <c r="AG148" i="5"/>
  <c r="AF148" i="5"/>
  <c r="G148" i="5"/>
  <c r="J148" i="5"/>
  <c r="M148" i="5"/>
  <c r="P148" i="5"/>
  <c r="P158" i="5" s="1"/>
  <c r="G149" i="5"/>
  <c r="H149" i="5"/>
  <c r="J149" i="5"/>
  <c r="M149" i="5"/>
  <c r="P149" i="5" s="1"/>
  <c r="P157" i="5" s="1"/>
  <c r="N149" i="5"/>
  <c r="O149" i="5"/>
  <c r="G150" i="5"/>
  <c r="J150" i="5"/>
  <c r="K150" i="5"/>
  <c r="M150" i="5"/>
  <c r="P150" i="5"/>
  <c r="P156" i="5" s="1"/>
  <c r="N150" i="5"/>
  <c r="F151" i="5"/>
  <c r="G151" i="5"/>
  <c r="I151" i="5"/>
  <c r="J151" i="5"/>
  <c r="M151" i="5"/>
  <c r="N151" i="5"/>
  <c r="F152" i="5"/>
  <c r="G152" i="5"/>
  <c r="J152" i="5"/>
  <c r="K152" i="5"/>
  <c r="M152" i="5"/>
  <c r="O152" i="5"/>
  <c r="G153" i="5"/>
  <c r="I153" i="5"/>
  <c r="J153" i="5"/>
  <c r="K153" i="5"/>
  <c r="L153" i="5"/>
  <c r="M153" i="5"/>
  <c r="P153" i="5" s="1"/>
  <c r="G155" i="5"/>
  <c r="G158" i="5"/>
  <c r="E149" i="5"/>
  <c r="E150" i="5"/>
  <c r="E151" i="5"/>
  <c r="E152" i="5"/>
  <c r="E153" i="5"/>
  <c r="E154" i="5"/>
  <c r="E157" i="5"/>
  <c r="E148" i="5"/>
  <c r="AP76" i="5"/>
  <c r="AO76" i="5"/>
  <c r="AO134" i="5" s="1"/>
  <c r="BO86" i="5"/>
  <c r="BR86" i="5"/>
  <c r="BO144" i="5"/>
  <c r="BR144" i="5" s="1"/>
  <c r="AM76" i="5"/>
  <c r="BN86" i="5"/>
  <c r="BN144" i="5"/>
  <c r="AL76" i="5"/>
  <c r="BM86" i="5"/>
  <c r="BM144" i="5"/>
  <c r="BL86" i="5"/>
  <c r="BL144" i="5"/>
  <c r="AJ76" i="5"/>
  <c r="AJ134" i="5" s="1"/>
  <c r="BK86" i="5"/>
  <c r="BK144" i="5"/>
  <c r="AI76" i="5"/>
  <c r="BJ86" i="5" s="1"/>
  <c r="BJ144" i="5" s="1"/>
  <c r="BI86" i="5"/>
  <c r="BI144" i="5" s="1"/>
  <c r="BG86" i="5"/>
  <c r="BH86" i="5" s="1"/>
  <c r="BH144" i="5" s="1"/>
  <c r="AP77" i="5"/>
  <c r="AP135" i="5"/>
  <c r="BQ85" i="5"/>
  <c r="BQ143" i="5"/>
  <c r="AO77" i="5"/>
  <c r="BO85" i="5"/>
  <c r="BR85" i="5" s="1"/>
  <c r="AM77" i="5"/>
  <c r="AL77" i="5"/>
  <c r="BL85" i="5"/>
  <c r="BL143" i="5"/>
  <c r="AJ77" i="5"/>
  <c r="AI77" i="5"/>
  <c r="BJ85" i="5" s="1"/>
  <c r="BJ143" i="5" s="1"/>
  <c r="BI85" i="5"/>
  <c r="BI143" i="5"/>
  <c r="BG85" i="5"/>
  <c r="BG143" i="5"/>
  <c r="BH85" i="5"/>
  <c r="BH143" i="5" s="1"/>
  <c r="AP78" i="5"/>
  <c r="AP136" i="5" s="1"/>
  <c r="BQ84" i="5"/>
  <c r="BQ142" i="5" s="1"/>
  <c r="AO78" i="5"/>
  <c r="AO136" i="5"/>
  <c r="BO84" i="5"/>
  <c r="BR84" i="5" s="1"/>
  <c r="BO142" i="5"/>
  <c r="BR142" i="5"/>
  <c r="AM78" i="5"/>
  <c r="AL78" i="5"/>
  <c r="BM84" i="5" s="1"/>
  <c r="BM142" i="5" s="1"/>
  <c r="BL84" i="5"/>
  <c r="BL142" i="5" s="1"/>
  <c r="AJ78" i="5"/>
  <c r="AJ136" i="5" s="1"/>
  <c r="BK84" i="5"/>
  <c r="BK142" i="5"/>
  <c r="AI78" i="5"/>
  <c r="BI84" i="5"/>
  <c r="BI142" i="5" s="1"/>
  <c r="BG84" i="5"/>
  <c r="BG142" i="5"/>
  <c r="AP79" i="5"/>
  <c r="AO79" i="5"/>
  <c r="BP83" i="5" s="1"/>
  <c r="BP141" i="5" s="1"/>
  <c r="BO83" i="5"/>
  <c r="BO141" i="5"/>
  <c r="BR141" i="5"/>
  <c r="AM79" i="5"/>
  <c r="AL79" i="5"/>
  <c r="BM83" i="5" s="1"/>
  <c r="BL83" i="5"/>
  <c r="BL141" i="5"/>
  <c r="AJ79" i="5"/>
  <c r="AI79" i="5"/>
  <c r="BI83" i="5"/>
  <c r="BI141" i="5" s="1"/>
  <c r="BG83" i="5"/>
  <c r="BG141" i="5" s="1"/>
  <c r="BH83" i="5"/>
  <c r="BH141" i="5"/>
  <c r="AP80" i="5"/>
  <c r="AP138" i="5" s="1"/>
  <c r="BQ82" i="5"/>
  <c r="BQ140" i="5" s="1"/>
  <c r="AO80" i="5"/>
  <c r="BP82" i="5" s="1"/>
  <c r="BP140" i="5" s="1"/>
  <c r="AO138" i="5"/>
  <c r="BO82" i="5"/>
  <c r="AM80" i="5"/>
  <c r="BN82" i="5"/>
  <c r="BN140" i="5"/>
  <c r="AL80" i="5"/>
  <c r="BM82" i="5" s="1"/>
  <c r="BM140" i="5" s="1"/>
  <c r="BL82" i="5"/>
  <c r="BL140" i="5" s="1"/>
  <c r="AJ80" i="5"/>
  <c r="AI80" i="5"/>
  <c r="BJ82" i="5"/>
  <c r="BJ140" i="5" s="1"/>
  <c r="BI82" i="5"/>
  <c r="BI140" i="5"/>
  <c r="BG82" i="5"/>
  <c r="BH82" i="5"/>
  <c r="BH140" i="5"/>
  <c r="AP81" i="5"/>
  <c r="AP139" i="5"/>
  <c r="BQ81" i="5"/>
  <c r="BQ139" i="5"/>
  <c r="AO81" i="5"/>
  <c r="BO81" i="5"/>
  <c r="AM81" i="5"/>
  <c r="BN81" i="5" s="1"/>
  <c r="BN139" i="5"/>
  <c r="AL81" i="5"/>
  <c r="BM81" i="5" s="1"/>
  <c r="BM139" i="5" s="1"/>
  <c r="BL81" i="5"/>
  <c r="BL139" i="5"/>
  <c r="AJ81" i="5"/>
  <c r="AJ139" i="5" s="1"/>
  <c r="BK81" i="5"/>
  <c r="BK139" i="5" s="1"/>
  <c r="AI81" i="5"/>
  <c r="AI139" i="5" s="1"/>
  <c r="BJ81" i="5"/>
  <c r="BJ139" i="5" s="1"/>
  <c r="BI81" i="5"/>
  <c r="BI139" i="5"/>
  <c r="BG81" i="5"/>
  <c r="BH81" i="5"/>
  <c r="BH139" i="5"/>
  <c r="BG139" i="5"/>
  <c r="AP82" i="5"/>
  <c r="AO82" i="5"/>
  <c r="BP80" i="5" s="1"/>
  <c r="BP138" i="5" s="1"/>
  <c r="AO140" i="5"/>
  <c r="BO80" i="5"/>
  <c r="BR80" i="5"/>
  <c r="AM82" i="5"/>
  <c r="AL82" i="5"/>
  <c r="BM80" i="5"/>
  <c r="BM138" i="5" s="1"/>
  <c r="BL80" i="5"/>
  <c r="BL138" i="5" s="1"/>
  <c r="AJ82" i="5"/>
  <c r="AJ140" i="5"/>
  <c r="AI82" i="5"/>
  <c r="BJ80" i="5" s="1"/>
  <c r="BJ138" i="5" s="1"/>
  <c r="BI80" i="5"/>
  <c r="BI138" i="5"/>
  <c r="BG80" i="5"/>
  <c r="BH80" i="5" s="1"/>
  <c r="BH138" i="5" s="1"/>
  <c r="BG138" i="5"/>
  <c r="AP83" i="5"/>
  <c r="AP141" i="5" s="1"/>
  <c r="BQ79" i="5"/>
  <c r="BQ137" i="5"/>
  <c r="AO83" i="5"/>
  <c r="BP79" i="5"/>
  <c r="BP137" i="5"/>
  <c r="BO79" i="5"/>
  <c r="AM83" i="5"/>
  <c r="AL83" i="5"/>
  <c r="AL141" i="5" s="1"/>
  <c r="BL79" i="5"/>
  <c r="BL137" i="5" s="1"/>
  <c r="AJ83" i="5"/>
  <c r="BK79" i="5"/>
  <c r="BK137" i="5"/>
  <c r="AI83" i="5"/>
  <c r="AI141" i="5" s="1"/>
  <c r="BI79" i="5"/>
  <c r="BI137" i="5"/>
  <c r="BG79" i="5"/>
  <c r="AP84" i="5"/>
  <c r="AP142" i="5"/>
  <c r="AO84" i="5"/>
  <c r="AO142" i="5" s="1"/>
  <c r="BO78" i="5"/>
  <c r="AM84" i="5"/>
  <c r="AL84" i="5"/>
  <c r="BM78" i="5"/>
  <c r="BM136" i="5" s="1"/>
  <c r="BL78" i="5"/>
  <c r="BL136" i="5"/>
  <c r="AJ84" i="5"/>
  <c r="BK78" i="5" s="1"/>
  <c r="BK136" i="5" s="1"/>
  <c r="AI84" i="5"/>
  <c r="BJ78" i="5"/>
  <c r="BJ136" i="5"/>
  <c r="BI78" i="5"/>
  <c r="BI136" i="5"/>
  <c r="BG78" i="5"/>
  <c r="BH78" i="5" s="1"/>
  <c r="BH136" i="5"/>
  <c r="AP85" i="5"/>
  <c r="BQ77" i="5" s="1"/>
  <c r="BQ135" i="5" s="1"/>
  <c r="AO85" i="5"/>
  <c r="BO77" i="5"/>
  <c r="BO135" i="5"/>
  <c r="BR135" i="5" s="1"/>
  <c r="AM85" i="5"/>
  <c r="AM143" i="5" s="1"/>
  <c r="BN77" i="5"/>
  <c r="BN135" i="5" s="1"/>
  <c r="AL85" i="5"/>
  <c r="BL77" i="5"/>
  <c r="BL135" i="5"/>
  <c r="AJ85" i="5"/>
  <c r="AJ143" i="5" s="1"/>
  <c r="BK77" i="5"/>
  <c r="BK135" i="5" s="1"/>
  <c r="AI85" i="5"/>
  <c r="BI77" i="5"/>
  <c r="BI135" i="5"/>
  <c r="BG77" i="5"/>
  <c r="BH77" i="5"/>
  <c r="BH135" i="5"/>
  <c r="BG135" i="5"/>
  <c r="AP86" i="5"/>
  <c r="AO86" i="5"/>
  <c r="AO144" i="5"/>
  <c r="BO76" i="5"/>
  <c r="AM86" i="5"/>
  <c r="BN76" i="5" s="1"/>
  <c r="BN134" i="5" s="1"/>
  <c r="AM144" i="5"/>
  <c r="AL86" i="5"/>
  <c r="BM76" i="5"/>
  <c r="BM134" i="5"/>
  <c r="BL76" i="5"/>
  <c r="BL134" i="5" s="1"/>
  <c r="AJ86" i="5"/>
  <c r="BK76" i="5"/>
  <c r="BK134" i="5"/>
  <c r="AI86" i="5"/>
  <c r="BJ76" i="5"/>
  <c r="BJ134" i="5"/>
  <c r="BI76" i="5"/>
  <c r="BI134" i="5" s="1"/>
  <c r="BG76" i="5"/>
  <c r="BG134" i="5" s="1"/>
  <c r="BH76" i="5"/>
  <c r="BH134" i="5" s="1"/>
  <c r="AN144" i="5"/>
  <c r="AQ144" i="5"/>
  <c r="AK144" i="5"/>
  <c r="AJ144" i="5"/>
  <c r="AI144" i="5"/>
  <c r="AH144" i="5"/>
  <c r="AG86" i="5"/>
  <c r="AG144" i="5"/>
  <c r="AF144" i="5"/>
  <c r="AN143" i="5"/>
  <c r="AQ143" i="5" s="1"/>
  <c r="AK143" i="5"/>
  <c r="AH143" i="5"/>
  <c r="AG85" i="5"/>
  <c r="AG143" i="5"/>
  <c r="AF143" i="5"/>
  <c r="AN142" i="5"/>
  <c r="AK142" i="5"/>
  <c r="AI142" i="5"/>
  <c r="AH142" i="5"/>
  <c r="AG84" i="5"/>
  <c r="AG142" i="5" s="1"/>
  <c r="AF142" i="5"/>
  <c r="AO141" i="5"/>
  <c r="AN141" i="5"/>
  <c r="AK141" i="5"/>
  <c r="AJ141" i="5"/>
  <c r="AH141" i="5"/>
  <c r="AG83" i="5"/>
  <c r="AG141" i="5"/>
  <c r="AF141" i="5"/>
  <c r="AN140" i="5"/>
  <c r="AQ140" i="5"/>
  <c r="AK140" i="5"/>
  <c r="AI140" i="5"/>
  <c r="AH140" i="5"/>
  <c r="AG82" i="5"/>
  <c r="AG140" i="5" s="1"/>
  <c r="AF140" i="5"/>
  <c r="AN139" i="5"/>
  <c r="AQ139" i="5"/>
  <c r="AM139" i="5"/>
  <c r="AK139" i="5"/>
  <c r="AH139" i="5"/>
  <c r="AG81" i="5"/>
  <c r="AG139" i="5"/>
  <c r="AF139" i="5"/>
  <c r="AN138" i="5"/>
  <c r="AM138" i="5"/>
  <c r="AK138" i="5"/>
  <c r="AI138" i="5"/>
  <c r="AH138" i="5"/>
  <c r="AG80" i="5"/>
  <c r="AG138" i="5"/>
  <c r="AF138" i="5"/>
  <c r="AN137" i="5"/>
  <c r="AQ137" i="5" s="1"/>
  <c r="AK137" i="5"/>
  <c r="AH137" i="5"/>
  <c r="AG79" i="5"/>
  <c r="AG137" i="5"/>
  <c r="AF137" i="5"/>
  <c r="AN136" i="5"/>
  <c r="AQ136" i="5"/>
  <c r="AK136" i="5"/>
  <c r="AH136" i="5"/>
  <c r="AG78" i="5"/>
  <c r="AG136" i="5"/>
  <c r="AF136" i="5"/>
  <c r="AN135" i="5"/>
  <c r="AQ135" i="5"/>
  <c r="AK135" i="5"/>
  <c r="AH135" i="5"/>
  <c r="AG77" i="5"/>
  <c r="AG135" i="5"/>
  <c r="AF135" i="5"/>
  <c r="AN134" i="5"/>
  <c r="AQ134" i="5" s="1"/>
  <c r="AM134" i="5"/>
  <c r="AK134" i="5"/>
  <c r="AH134" i="5"/>
  <c r="AH200" i="5" s="1"/>
  <c r="AG76" i="5"/>
  <c r="AG134" i="5"/>
  <c r="AF134" i="5"/>
  <c r="F76" i="5"/>
  <c r="F134" i="5"/>
  <c r="G134" i="5"/>
  <c r="H76" i="5"/>
  <c r="H86" i="5"/>
  <c r="H144" i="5"/>
  <c r="I76" i="5"/>
  <c r="I86" i="5" s="1"/>
  <c r="I144" i="5" s="1"/>
  <c r="I134" i="5"/>
  <c r="J134" i="5"/>
  <c r="K76" i="5"/>
  <c r="K134" i="5" s="1"/>
  <c r="L76" i="5"/>
  <c r="M134" i="5"/>
  <c r="P134" i="5" s="1"/>
  <c r="P144" i="5" s="1"/>
  <c r="N76" i="5"/>
  <c r="N134" i="5"/>
  <c r="O76" i="5"/>
  <c r="F77" i="5"/>
  <c r="F135" i="5"/>
  <c r="G135" i="5"/>
  <c r="H77" i="5"/>
  <c r="H135" i="5"/>
  <c r="I77" i="5"/>
  <c r="I85" i="5" s="1"/>
  <c r="I143" i="5" s="1"/>
  <c r="I135" i="5"/>
  <c r="J135" i="5"/>
  <c r="K77" i="5"/>
  <c r="K135" i="5" s="1"/>
  <c r="L77" i="5"/>
  <c r="L85" i="5" s="1"/>
  <c r="L143" i="5" s="1"/>
  <c r="L135" i="5"/>
  <c r="M135" i="5"/>
  <c r="P135" i="5" s="1"/>
  <c r="P143" i="5" s="1"/>
  <c r="N77" i="5"/>
  <c r="O77" i="5"/>
  <c r="F78" i="5"/>
  <c r="F136" i="5"/>
  <c r="G136" i="5"/>
  <c r="H78" i="5"/>
  <c r="H136" i="5"/>
  <c r="I78" i="5"/>
  <c r="I136" i="5" s="1"/>
  <c r="J136" i="5"/>
  <c r="K78" i="5"/>
  <c r="L78" i="5"/>
  <c r="L84" i="5" s="1"/>
  <c r="L142" i="5" s="1"/>
  <c r="L136" i="5"/>
  <c r="M136" i="5"/>
  <c r="P136" i="5"/>
  <c r="P142" i="5" s="1"/>
  <c r="N78" i="5"/>
  <c r="N84" i="5" s="1"/>
  <c r="O78" i="5"/>
  <c r="O84" i="5" s="1"/>
  <c r="O136" i="5"/>
  <c r="F79" i="5"/>
  <c r="F137" i="5"/>
  <c r="G137" i="5"/>
  <c r="H79" i="5"/>
  <c r="H137" i="5"/>
  <c r="I79" i="5"/>
  <c r="I83" i="5"/>
  <c r="I141" i="5" s="1"/>
  <c r="I137" i="5"/>
  <c r="J137" i="5"/>
  <c r="K79" i="5"/>
  <c r="K137" i="5"/>
  <c r="L79" i="5"/>
  <c r="L83" i="5" s="1"/>
  <c r="L137" i="5"/>
  <c r="M137" i="5"/>
  <c r="N79" i="5"/>
  <c r="N83" i="5" s="1"/>
  <c r="N137" i="5"/>
  <c r="O79" i="5"/>
  <c r="O83" i="5" s="1"/>
  <c r="O141" i="5" s="1"/>
  <c r="F80" i="5"/>
  <c r="F138" i="5"/>
  <c r="G138" i="5"/>
  <c r="H80" i="5"/>
  <c r="H138" i="5"/>
  <c r="I80" i="5"/>
  <c r="I82" i="5"/>
  <c r="I140" i="5"/>
  <c r="J138" i="5"/>
  <c r="K80" i="5"/>
  <c r="L80" i="5"/>
  <c r="L82" i="5"/>
  <c r="M138" i="5"/>
  <c r="N80" i="5"/>
  <c r="N82" i="5"/>
  <c r="N140" i="5"/>
  <c r="O80" i="5"/>
  <c r="O82" i="5"/>
  <c r="O140" i="5"/>
  <c r="F81" i="5"/>
  <c r="F139" i="5" s="1"/>
  <c r="G139" i="5"/>
  <c r="H81" i="5"/>
  <c r="H139" i="5"/>
  <c r="I81" i="5"/>
  <c r="I139" i="5" s="1"/>
  <c r="J139" i="5"/>
  <c r="K81" i="5"/>
  <c r="K139" i="5" s="1"/>
  <c r="L81" i="5"/>
  <c r="L139" i="5"/>
  <c r="M139" i="5"/>
  <c r="P139" i="5" s="1"/>
  <c r="N81" i="5"/>
  <c r="N139" i="5"/>
  <c r="O81" i="5"/>
  <c r="O139" i="5"/>
  <c r="J140" i="5"/>
  <c r="L140" i="5"/>
  <c r="M140" i="5"/>
  <c r="H83" i="5"/>
  <c r="H141" i="5" s="1"/>
  <c r="J141" i="5"/>
  <c r="K83" i="5"/>
  <c r="K141" i="5" s="1"/>
  <c r="L141" i="5"/>
  <c r="M141" i="5"/>
  <c r="N141" i="5"/>
  <c r="F84" i="5"/>
  <c r="F142" i="5" s="1"/>
  <c r="H84" i="5"/>
  <c r="H142" i="5" s="1"/>
  <c r="O142" i="5"/>
  <c r="F85" i="5"/>
  <c r="F143" i="5" s="1"/>
  <c r="J144" i="5"/>
  <c r="N86" i="5"/>
  <c r="N144" i="5"/>
  <c r="E135" i="5"/>
  <c r="E136" i="5"/>
  <c r="E137" i="5"/>
  <c r="E138" i="5"/>
  <c r="E139" i="5"/>
  <c r="E141" i="5"/>
  <c r="P35" i="5"/>
  <c r="AQ35" i="5"/>
  <c r="P36" i="5"/>
  <c r="P42" i="5"/>
  <c r="AQ36" i="5"/>
  <c r="BR36" i="5"/>
  <c r="P37" i="5"/>
  <c r="AQ37" i="5"/>
  <c r="P38" i="5"/>
  <c r="P40" i="5"/>
  <c r="AQ38" i="5"/>
  <c r="BR38" i="5"/>
  <c r="P39" i="5"/>
  <c r="AQ39" i="5"/>
  <c r="AQ40" i="5"/>
  <c r="AQ41" i="5"/>
  <c r="AQ42" i="5"/>
  <c r="AQ43" i="5"/>
  <c r="BR43" i="5"/>
  <c r="P47" i="5"/>
  <c r="P55" i="5" s="1"/>
  <c r="AQ47" i="5"/>
  <c r="P48" i="5"/>
  <c r="P54" i="5" s="1"/>
  <c r="AQ48" i="5"/>
  <c r="P49" i="5"/>
  <c r="P53" i="5" s="1"/>
  <c r="AQ49" i="5"/>
  <c r="BR49" i="5"/>
  <c r="P50" i="5"/>
  <c r="P52" i="5"/>
  <c r="AQ50" i="5"/>
  <c r="P51" i="5"/>
  <c r="AQ51" i="5"/>
  <c r="BR51" i="5"/>
  <c r="AQ52" i="5"/>
  <c r="AQ53" i="5"/>
  <c r="AQ54" i="5"/>
  <c r="AQ55" i="5"/>
  <c r="BR55" i="5"/>
  <c r="AQ61" i="5"/>
  <c r="P62" i="5"/>
  <c r="P70" i="5"/>
  <c r="AQ62" i="5"/>
  <c r="P63" i="5"/>
  <c r="P69" i="5"/>
  <c r="AQ63" i="5"/>
  <c r="BR63" i="5"/>
  <c r="P64" i="5"/>
  <c r="AQ64" i="5"/>
  <c r="BR64" i="5"/>
  <c r="P65" i="5"/>
  <c r="P67" i="5" s="1"/>
  <c r="AQ65" i="5"/>
  <c r="BR65" i="5"/>
  <c r="P66" i="5"/>
  <c r="AQ66" i="5"/>
  <c r="AQ67" i="5"/>
  <c r="AQ68" i="5"/>
  <c r="BR68" i="5"/>
  <c r="AQ69" i="5"/>
  <c r="AQ70" i="5"/>
  <c r="BR70" i="5"/>
  <c r="P71" i="5"/>
  <c r="AQ71" i="5"/>
  <c r="P76" i="5"/>
  <c r="P86" i="5"/>
  <c r="AQ76" i="5"/>
  <c r="P77" i="5"/>
  <c r="P85" i="5" s="1"/>
  <c r="AQ77" i="5"/>
  <c r="P78" i="5"/>
  <c r="P84" i="5"/>
  <c r="AQ78" i="5"/>
  <c r="P79" i="5"/>
  <c r="P83" i="5" s="1"/>
  <c r="AQ79" i="5"/>
  <c r="P80" i="5"/>
  <c r="P82" i="5"/>
  <c r="AQ80" i="5"/>
  <c r="P81" i="5"/>
  <c r="AQ81" i="5"/>
  <c r="AQ82" i="5"/>
  <c r="AQ83" i="5"/>
  <c r="AQ84" i="5"/>
  <c r="AQ85" i="5"/>
  <c r="AQ86" i="5"/>
  <c r="P89" i="5"/>
  <c r="AQ89" i="5"/>
  <c r="BO89" i="5"/>
  <c r="BR89" i="5" s="1"/>
  <c r="P90" i="5"/>
  <c r="AQ90" i="5"/>
  <c r="BO90" i="5"/>
  <c r="BR90" i="5"/>
  <c r="P91" i="5"/>
  <c r="AQ91" i="5"/>
  <c r="BO91" i="5"/>
  <c r="BR91" i="5"/>
  <c r="P92" i="5"/>
  <c r="P98" i="5" s="1"/>
  <c r="AQ92" i="5"/>
  <c r="BO92" i="5"/>
  <c r="BR92" i="5" s="1"/>
  <c r="P93" i="5"/>
  <c r="P97" i="5"/>
  <c r="AQ93" i="5"/>
  <c r="BO93" i="5"/>
  <c r="BR93" i="5"/>
  <c r="P94" i="5"/>
  <c r="P96" i="5" s="1"/>
  <c r="AQ94" i="5"/>
  <c r="BO94" i="5"/>
  <c r="BR94" i="5" s="1"/>
  <c r="P95" i="5"/>
  <c r="AQ95" i="5"/>
  <c r="BO95" i="5"/>
  <c r="BR95" i="5"/>
  <c r="AQ96" i="5"/>
  <c r="BO96" i="5"/>
  <c r="BR96" i="5" s="1"/>
  <c r="AQ97" i="5"/>
  <c r="BO97" i="5"/>
  <c r="BR97" i="5" s="1"/>
  <c r="AQ98" i="5"/>
  <c r="BO98" i="5"/>
  <c r="BR98" i="5" s="1"/>
  <c r="P99" i="5"/>
  <c r="AQ99" i="5"/>
  <c r="BO99" i="5"/>
  <c r="BR99" i="5"/>
  <c r="P100" i="5"/>
  <c r="AQ100" i="5"/>
  <c r="BO100" i="5"/>
  <c r="BR100" i="5"/>
  <c r="P101" i="5"/>
  <c r="AQ101" i="5"/>
  <c r="BO101" i="5"/>
  <c r="BR101" i="5"/>
  <c r="P104" i="5"/>
  <c r="P116" i="5" s="1"/>
  <c r="AQ104" i="5"/>
  <c r="BO104" i="5"/>
  <c r="BR104" i="5" s="1"/>
  <c r="P105" i="5"/>
  <c r="AQ105" i="5"/>
  <c r="BO105" i="5"/>
  <c r="BR105" i="5"/>
  <c r="P106" i="5"/>
  <c r="P114" i="5"/>
  <c r="AQ106" i="5"/>
  <c r="BO106" i="5"/>
  <c r="BR106" i="5"/>
  <c r="P107" i="5"/>
  <c r="P113" i="5"/>
  <c r="AQ107" i="5"/>
  <c r="BO107" i="5"/>
  <c r="BR107" i="5"/>
  <c r="P108" i="5"/>
  <c r="P112" i="5"/>
  <c r="AQ108" i="5"/>
  <c r="BO108" i="5"/>
  <c r="BR108" i="5" s="1"/>
  <c r="P109" i="5"/>
  <c r="AQ109" i="5"/>
  <c r="BO109" i="5"/>
  <c r="BR109" i="5"/>
  <c r="P110" i="5"/>
  <c r="AQ110" i="5"/>
  <c r="BO110" i="5"/>
  <c r="BR110" i="5"/>
  <c r="P111" i="5"/>
  <c r="AQ111" i="5"/>
  <c r="BO111" i="5"/>
  <c r="BR111" i="5"/>
  <c r="AQ112" i="5"/>
  <c r="BO112" i="5"/>
  <c r="BR112" i="5"/>
  <c r="AQ113" i="5"/>
  <c r="BO113" i="5"/>
  <c r="BR113" i="5" s="1"/>
  <c r="AQ114" i="5"/>
  <c r="BO114" i="5"/>
  <c r="BR114" i="5" s="1"/>
  <c r="P115" i="5"/>
  <c r="AQ115" i="5"/>
  <c r="BO115" i="5"/>
  <c r="BR115" i="5"/>
  <c r="AQ116" i="5"/>
  <c r="BO116" i="5"/>
  <c r="BR116" i="5" s="1"/>
  <c r="BO120" i="5"/>
  <c r="BR120" i="5"/>
  <c r="AQ121" i="5"/>
  <c r="BO121" i="5"/>
  <c r="BR121" i="5" s="1"/>
  <c r="P122" i="5"/>
  <c r="P128" i="5"/>
  <c r="BO122" i="5"/>
  <c r="BR122" i="5"/>
  <c r="BO123" i="5"/>
  <c r="BR123" i="5" s="1"/>
  <c r="AQ124" i="5"/>
  <c r="P125" i="5"/>
  <c r="BO128" i="5"/>
  <c r="BR128" i="5"/>
  <c r="BO129" i="5"/>
  <c r="BR129" i="5"/>
  <c r="BO131" i="5"/>
  <c r="BR131" i="5" s="1"/>
  <c r="P137" i="5"/>
  <c r="P138" i="5"/>
  <c r="P140" i="5"/>
  <c r="AQ138" i="5"/>
  <c r="P141" i="5"/>
  <c r="AQ141" i="5"/>
  <c r="AQ142" i="5"/>
  <c r="P151" i="5"/>
  <c r="P155" i="5" s="1"/>
  <c r="P152" i="5"/>
  <c r="P154" i="5" s="1"/>
  <c r="AQ152" i="5"/>
  <c r="AQ153" i="5"/>
  <c r="AQ154" i="5"/>
  <c r="AQ158" i="5"/>
  <c r="P162" i="5"/>
  <c r="P170" i="5"/>
  <c r="AQ164" i="5"/>
  <c r="P165" i="5"/>
  <c r="P167" i="5" s="1"/>
  <c r="P166" i="5"/>
  <c r="AQ166" i="5"/>
  <c r="AQ175" i="5"/>
  <c r="P176" i="5"/>
  <c r="P182" i="5"/>
  <c r="BR176" i="5"/>
  <c r="P177" i="5"/>
  <c r="P181" i="5"/>
  <c r="AQ177" i="5"/>
  <c r="P178" i="5"/>
  <c r="P180" i="5"/>
  <c r="BR178" i="5"/>
  <c r="P179" i="5"/>
  <c r="AQ180" i="5"/>
  <c r="AQ181" i="5"/>
  <c r="AQ183" i="5"/>
  <c r="P188" i="5"/>
  <c r="P196" i="5"/>
  <c r="AQ188" i="5"/>
  <c r="BO188" i="5"/>
  <c r="BR188" i="5"/>
  <c r="P189" i="5"/>
  <c r="P195" i="5" s="1"/>
  <c r="AQ189" i="5"/>
  <c r="BO189" i="5"/>
  <c r="BR189" i="5"/>
  <c r="P190" i="5"/>
  <c r="P194" i="5"/>
  <c r="AQ190" i="5"/>
  <c r="BO190" i="5"/>
  <c r="BR190" i="5"/>
  <c r="P191" i="5"/>
  <c r="P193" i="5" s="1"/>
  <c r="AQ191" i="5"/>
  <c r="BO191" i="5"/>
  <c r="BR191" i="5"/>
  <c r="P192" i="5"/>
  <c r="AQ192" i="5"/>
  <c r="BO192" i="5"/>
  <c r="BR192" i="5"/>
  <c r="AQ193" i="5"/>
  <c r="BO193" i="5"/>
  <c r="BR193" i="5" s="1"/>
  <c r="AQ194" i="5"/>
  <c r="BO194" i="5"/>
  <c r="BR194" i="5"/>
  <c r="AQ195" i="5"/>
  <c r="BO195" i="5"/>
  <c r="BR195" i="5"/>
  <c r="AQ196" i="5"/>
  <c r="BO196" i="5"/>
  <c r="BR196" i="5"/>
  <c r="C33" i="2"/>
  <c r="C30" i="2"/>
  <c r="AP101" i="5"/>
  <c r="BQ89" i="5" s="1"/>
  <c r="AP100" i="5"/>
  <c r="BQ90" i="5" s="1"/>
  <c r="AP99" i="5"/>
  <c r="BQ91" i="5" s="1"/>
  <c r="AP98" i="5"/>
  <c r="BQ92" i="5"/>
  <c r="AP97" i="5"/>
  <c r="BQ93" i="5" s="1"/>
  <c r="AP96" i="5"/>
  <c r="BQ94" i="5" s="1"/>
  <c r="AP95" i="5"/>
  <c r="BQ95" i="5" s="1"/>
  <c r="AP94" i="5"/>
  <c r="BQ96" i="5"/>
  <c r="AP93" i="5"/>
  <c r="BQ97" i="5"/>
  <c r="AP92" i="5"/>
  <c r="BQ98" i="5"/>
  <c r="AP91" i="5"/>
  <c r="BQ99" i="5" s="1"/>
  <c r="AP90" i="5"/>
  <c r="BQ100" i="5" s="1"/>
  <c r="AP89" i="5"/>
  <c r="BQ101" i="5" s="1"/>
  <c r="AP116" i="5"/>
  <c r="BQ104" i="5" s="1"/>
  <c r="AP115" i="5"/>
  <c r="BQ105" i="5"/>
  <c r="AP114" i="5"/>
  <c r="BQ106" i="5" s="1"/>
  <c r="AP113" i="5"/>
  <c r="BQ107" i="5"/>
  <c r="AP112" i="5"/>
  <c r="BQ108" i="5"/>
  <c r="AP111" i="5"/>
  <c r="BQ109" i="5"/>
  <c r="AP110" i="5"/>
  <c r="BQ110" i="5"/>
  <c r="AP109" i="5"/>
  <c r="BQ111" i="5" s="1"/>
  <c r="AP108" i="5"/>
  <c r="BQ112" i="5"/>
  <c r="AP107" i="5"/>
  <c r="BQ113" i="5" s="1"/>
  <c r="AP106" i="5"/>
  <c r="BQ114" i="5" s="1"/>
  <c r="AP105" i="5"/>
  <c r="BQ115" i="5" s="1"/>
  <c r="AP104" i="5"/>
  <c r="BQ116" i="5" s="1"/>
  <c r="AP122" i="5"/>
  <c r="BQ128" i="5" s="1"/>
  <c r="AP121" i="5"/>
  <c r="BQ129" i="5"/>
  <c r="AP120" i="5"/>
  <c r="BQ130" i="5" s="1"/>
  <c r="AP196" i="5"/>
  <c r="BQ188" i="5"/>
  <c r="AP195" i="5"/>
  <c r="BQ189" i="5"/>
  <c r="AP194" i="5"/>
  <c r="BQ190" i="5" s="1"/>
  <c r="AP193" i="5"/>
  <c r="BQ191" i="5" s="1"/>
  <c r="AP192" i="5"/>
  <c r="BQ192" i="5"/>
  <c r="AP191" i="5"/>
  <c r="BQ193" i="5"/>
  <c r="AP190" i="5"/>
  <c r="BQ194" i="5"/>
  <c r="AP189" i="5"/>
  <c r="BQ195" i="5" s="1"/>
  <c r="AP188" i="5"/>
  <c r="BQ196" i="5" s="1"/>
  <c r="AO101" i="5"/>
  <c r="BP89" i="5"/>
  <c r="AO100" i="5"/>
  <c r="BP90" i="5"/>
  <c r="AO99" i="5"/>
  <c r="BP91" i="5" s="1"/>
  <c r="AO98" i="5"/>
  <c r="BP92" i="5" s="1"/>
  <c r="AO97" i="5"/>
  <c r="BP93" i="5"/>
  <c r="AO96" i="5"/>
  <c r="BP94" i="5"/>
  <c r="AO95" i="5"/>
  <c r="BP95" i="5" s="1"/>
  <c r="AO94" i="5"/>
  <c r="BP96" i="5"/>
  <c r="AO93" i="5"/>
  <c r="BP97" i="5" s="1"/>
  <c r="AO92" i="5"/>
  <c r="BP98" i="5"/>
  <c r="AO91" i="5"/>
  <c r="BP99" i="5"/>
  <c r="AO90" i="5"/>
  <c r="BP100" i="5"/>
  <c r="AO89" i="5"/>
  <c r="BP101" i="5"/>
  <c r="AO116" i="5"/>
  <c r="BP104" i="5" s="1"/>
  <c r="AO115" i="5"/>
  <c r="BP105" i="5" s="1"/>
  <c r="AO114" i="5"/>
  <c r="BP106" i="5"/>
  <c r="AO113" i="5"/>
  <c r="BP107" i="5" s="1"/>
  <c r="AO112" i="5"/>
  <c r="BP108" i="5"/>
  <c r="AO111" i="5"/>
  <c r="BP109" i="5" s="1"/>
  <c r="AO110" i="5"/>
  <c r="BP110" i="5" s="1"/>
  <c r="AO109" i="5"/>
  <c r="BP111" i="5"/>
  <c r="AO108" i="5"/>
  <c r="BP112" i="5"/>
  <c r="AO107" i="5"/>
  <c r="BP113" i="5" s="1"/>
  <c r="AO106" i="5"/>
  <c r="BP114" i="5" s="1"/>
  <c r="AO105" i="5"/>
  <c r="BP115" i="5"/>
  <c r="AO104" i="5"/>
  <c r="BP116" i="5"/>
  <c r="AO130" i="5"/>
  <c r="BP120" i="5"/>
  <c r="AO122" i="5"/>
  <c r="BP128" i="5" s="1"/>
  <c r="AO196" i="5"/>
  <c r="BP188" i="5"/>
  <c r="AO195" i="5"/>
  <c r="BP189" i="5" s="1"/>
  <c r="AO194" i="5"/>
  <c r="BP190" i="5"/>
  <c r="AO193" i="5"/>
  <c r="BP191" i="5" s="1"/>
  <c r="AO192" i="5"/>
  <c r="BP192" i="5"/>
  <c r="AO191" i="5"/>
  <c r="BP193" i="5"/>
  <c r="AO190" i="5"/>
  <c r="BP194" i="5"/>
  <c r="AO189" i="5"/>
  <c r="BP195" i="5"/>
  <c r="AO188" i="5"/>
  <c r="BP196" i="5" s="1"/>
  <c r="AM101" i="5"/>
  <c r="BN89" i="5" s="1"/>
  <c r="AM100" i="5"/>
  <c r="BN90" i="5" s="1"/>
  <c r="AM99" i="5"/>
  <c r="BN91" i="5"/>
  <c r="AM98" i="5"/>
  <c r="BN92" i="5" s="1"/>
  <c r="AM97" i="5"/>
  <c r="BN93" i="5" s="1"/>
  <c r="AM96" i="5"/>
  <c r="BN94" i="5"/>
  <c r="AM95" i="5"/>
  <c r="BN95" i="5"/>
  <c r="AM94" i="5"/>
  <c r="BN96" i="5" s="1"/>
  <c r="AM93" i="5"/>
  <c r="BN97" i="5"/>
  <c r="AM92" i="5"/>
  <c r="BN98" i="5" s="1"/>
  <c r="AM91" i="5"/>
  <c r="BN99" i="5"/>
  <c r="AM90" i="5"/>
  <c r="BN100" i="5" s="1"/>
  <c r="AM89" i="5"/>
  <c r="BN101" i="5" s="1"/>
  <c r="AM116" i="5"/>
  <c r="BN104" i="5"/>
  <c r="AM115" i="5"/>
  <c r="BN105" i="5" s="1"/>
  <c r="AM114" i="5"/>
  <c r="BN106" i="5"/>
  <c r="AM113" i="5"/>
  <c r="BN107" i="5"/>
  <c r="AM112" i="5"/>
  <c r="BN108" i="5"/>
  <c r="AM111" i="5"/>
  <c r="BN109" i="5"/>
  <c r="AM110" i="5"/>
  <c r="BN110" i="5" s="1"/>
  <c r="AM109" i="5"/>
  <c r="BN111" i="5"/>
  <c r="AM108" i="5"/>
  <c r="BN112" i="5"/>
  <c r="AM107" i="5"/>
  <c r="BN113" i="5" s="1"/>
  <c r="AM106" i="5"/>
  <c r="BN114" i="5" s="1"/>
  <c r="AM105" i="5"/>
  <c r="BN115" i="5" s="1"/>
  <c r="AM104" i="5"/>
  <c r="BN116" i="5"/>
  <c r="AM125" i="5"/>
  <c r="BN125" i="5" s="1"/>
  <c r="AM122" i="5"/>
  <c r="BN128" i="5"/>
  <c r="AM120" i="5"/>
  <c r="BN130" i="5" s="1"/>
  <c r="AM119" i="5"/>
  <c r="BN131" i="5"/>
  <c r="AM196" i="5"/>
  <c r="BN188" i="5" s="1"/>
  <c r="AM195" i="5"/>
  <c r="BN189" i="5" s="1"/>
  <c r="AM194" i="5"/>
  <c r="BN190" i="5" s="1"/>
  <c r="AM193" i="5"/>
  <c r="BN191" i="5"/>
  <c r="AM192" i="5"/>
  <c r="BN192" i="5"/>
  <c r="AM191" i="5"/>
  <c r="BN193" i="5"/>
  <c r="AM190" i="5"/>
  <c r="BN194" i="5" s="1"/>
  <c r="AM189" i="5"/>
  <c r="BN195" i="5"/>
  <c r="AM188" i="5"/>
  <c r="BN196" i="5"/>
  <c r="AL101" i="5"/>
  <c r="BM89" i="5"/>
  <c r="AL100" i="5"/>
  <c r="BM90" i="5" s="1"/>
  <c r="AL99" i="5"/>
  <c r="BM91" i="5" s="1"/>
  <c r="AL98" i="5"/>
  <c r="BM92" i="5" s="1"/>
  <c r="AL97" i="5"/>
  <c r="BM93" i="5"/>
  <c r="AL96" i="5"/>
  <c r="BM94" i="5" s="1"/>
  <c r="AL95" i="5"/>
  <c r="BM95" i="5"/>
  <c r="AL94" i="5"/>
  <c r="BM96" i="5" s="1"/>
  <c r="AL93" i="5"/>
  <c r="BM97" i="5"/>
  <c r="AL92" i="5"/>
  <c r="BM98" i="5"/>
  <c r="AL91" i="5"/>
  <c r="BM99" i="5"/>
  <c r="AL90" i="5"/>
  <c r="BM100" i="5"/>
  <c r="AL89" i="5"/>
  <c r="BM101" i="5" s="1"/>
  <c r="AL116" i="5"/>
  <c r="BM104" i="5" s="1"/>
  <c r="AL115" i="5"/>
  <c r="BM105" i="5"/>
  <c r="AL114" i="5"/>
  <c r="BM106" i="5" s="1"/>
  <c r="AL113" i="5"/>
  <c r="BM107" i="5"/>
  <c r="AL112" i="5"/>
  <c r="BM108" i="5" s="1"/>
  <c r="AL111" i="5"/>
  <c r="BM109" i="5"/>
  <c r="AL110" i="5"/>
  <c r="BM110" i="5"/>
  <c r="AL109" i="5"/>
  <c r="BM111" i="5"/>
  <c r="AL108" i="5"/>
  <c r="BM112" i="5"/>
  <c r="AL107" i="5"/>
  <c r="BM113" i="5" s="1"/>
  <c r="AL106" i="5"/>
  <c r="BM114" i="5"/>
  <c r="AL105" i="5"/>
  <c r="BM115" i="5"/>
  <c r="AL104" i="5"/>
  <c r="BM116" i="5" s="1"/>
  <c r="AL122" i="5"/>
  <c r="BM128" i="5"/>
  <c r="AL196" i="5"/>
  <c r="BM188" i="5" s="1"/>
  <c r="AL195" i="5"/>
  <c r="BM189" i="5" s="1"/>
  <c r="AL194" i="5"/>
  <c r="BM190" i="5"/>
  <c r="AL193" i="5"/>
  <c r="BM191" i="5"/>
  <c r="AL192" i="5"/>
  <c r="BM192" i="5"/>
  <c r="AL191" i="5"/>
  <c r="BM193" i="5" s="1"/>
  <c r="AL190" i="5"/>
  <c r="BM194" i="5" s="1"/>
  <c r="AL189" i="5"/>
  <c r="BM195" i="5" s="1"/>
  <c r="AL188" i="5"/>
  <c r="BM196" i="5"/>
  <c r="BL89" i="5"/>
  <c r="BL90" i="5"/>
  <c r="BL91" i="5"/>
  <c r="BL92" i="5"/>
  <c r="BL93" i="5"/>
  <c r="BL94" i="5"/>
  <c r="BL95" i="5"/>
  <c r="BL96" i="5"/>
  <c r="BL97" i="5"/>
  <c r="BL98" i="5"/>
  <c r="BL99" i="5"/>
  <c r="BL100" i="5"/>
  <c r="BL101" i="5"/>
  <c r="BL104" i="5"/>
  <c r="BL105" i="5"/>
  <c r="BL106" i="5"/>
  <c r="BL107" i="5"/>
  <c r="BL108" i="5"/>
  <c r="BL109" i="5"/>
  <c r="BL110" i="5"/>
  <c r="BL111" i="5"/>
  <c r="BL112" i="5"/>
  <c r="BL113" i="5"/>
  <c r="BL114" i="5"/>
  <c r="BL115" i="5"/>
  <c r="BL116" i="5"/>
  <c r="BL125" i="5"/>
  <c r="BL128" i="5"/>
  <c r="BL131" i="5"/>
  <c r="BL188" i="5"/>
  <c r="BL189" i="5"/>
  <c r="BL190" i="5"/>
  <c r="BL191" i="5"/>
  <c r="BL192" i="5"/>
  <c r="BL193" i="5"/>
  <c r="BL194" i="5"/>
  <c r="BL195" i="5"/>
  <c r="BL196" i="5"/>
  <c r="AJ101" i="5"/>
  <c r="BK89" i="5"/>
  <c r="AJ100" i="5"/>
  <c r="BK90" i="5"/>
  <c r="AJ99" i="5"/>
  <c r="BK91" i="5"/>
  <c r="AJ98" i="5"/>
  <c r="BK92" i="5"/>
  <c r="AJ97" i="5"/>
  <c r="BK93" i="5" s="1"/>
  <c r="AJ96" i="5"/>
  <c r="BK94" i="5"/>
  <c r="AJ95" i="5"/>
  <c r="BK95" i="5"/>
  <c r="AJ94" i="5"/>
  <c r="BK96" i="5" s="1"/>
  <c r="AJ93" i="5"/>
  <c r="BK97" i="5" s="1"/>
  <c r="AJ92" i="5"/>
  <c r="BK98" i="5" s="1"/>
  <c r="AJ91" i="5"/>
  <c r="BK99" i="5"/>
  <c r="AJ90" i="5"/>
  <c r="BK100" i="5"/>
  <c r="AJ89" i="5"/>
  <c r="BK101" i="5" s="1"/>
  <c r="AJ116" i="5"/>
  <c r="BK104" i="5"/>
  <c r="AJ115" i="5"/>
  <c r="BK105" i="5" s="1"/>
  <c r="AJ114" i="5"/>
  <c r="BK106" i="5"/>
  <c r="AJ113" i="5"/>
  <c r="BK107" i="5"/>
  <c r="AJ112" i="5"/>
  <c r="BK108" i="5"/>
  <c r="AJ111" i="5"/>
  <c r="BK109" i="5" s="1"/>
  <c r="AJ110" i="5"/>
  <c r="BK110" i="5" s="1"/>
  <c r="AJ109" i="5"/>
  <c r="BK111" i="5"/>
  <c r="AJ108" i="5"/>
  <c r="BK112" i="5"/>
  <c r="AJ107" i="5"/>
  <c r="BK113" i="5"/>
  <c r="AJ106" i="5"/>
  <c r="BK114" i="5"/>
  <c r="AJ105" i="5"/>
  <c r="BK115" i="5" s="1"/>
  <c r="AJ104" i="5"/>
  <c r="BK116" i="5" s="1"/>
  <c r="AJ131" i="5"/>
  <c r="BK119" i="5"/>
  <c r="AJ130" i="5"/>
  <c r="BK120" i="5" s="1"/>
  <c r="AJ129" i="5"/>
  <c r="BK121" i="5"/>
  <c r="AJ127" i="5"/>
  <c r="BK123" i="5" s="1"/>
  <c r="BK128" i="5"/>
  <c r="AJ196" i="5"/>
  <c r="BK188" i="5"/>
  <c r="AJ195" i="5"/>
  <c r="BK189" i="5"/>
  <c r="AJ194" i="5"/>
  <c r="BK190" i="5"/>
  <c r="AJ193" i="5"/>
  <c r="BK191" i="5"/>
  <c r="AJ192" i="5"/>
  <c r="BK192" i="5" s="1"/>
  <c r="AJ191" i="5"/>
  <c r="BK193" i="5" s="1"/>
  <c r="AJ190" i="5"/>
  <c r="BK194" i="5"/>
  <c r="AJ189" i="5"/>
  <c r="BK195" i="5" s="1"/>
  <c r="AJ188" i="5"/>
  <c r="BK196" i="5"/>
  <c r="AI101" i="5"/>
  <c r="BJ89" i="5" s="1"/>
  <c r="AI100" i="5"/>
  <c r="BJ90" i="5"/>
  <c r="AI99" i="5"/>
  <c r="BJ91" i="5"/>
  <c r="AI98" i="5"/>
  <c r="BJ92" i="5"/>
  <c r="AI97" i="5"/>
  <c r="BJ93" i="5"/>
  <c r="AI96" i="5"/>
  <c r="BJ94" i="5" s="1"/>
  <c r="AI95" i="5"/>
  <c r="BJ95" i="5"/>
  <c r="AI94" i="5"/>
  <c r="BJ96" i="5"/>
  <c r="AI93" i="5"/>
  <c r="BJ97" i="5"/>
  <c r="AI92" i="5"/>
  <c r="BJ98" i="5"/>
  <c r="AI91" i="5"/>
  <c r="BJ99" i="5" s="1"/>
  <c r="AI90" i="5"/>
  <c r="BJ100" i="5"/>
  <c r="AI89" i="5"/>
  <c r="BJ101" i="5"/>
  <c r="AI116" i="5"/>
  <c r="BJ104" i="5"/>
  <c r="AI115" i="5"/>
  <c r="BJ105" i="5"/>
  <c r="AI114" i="5"/>
  <c r="BJ106" i="5" s="1"/>
  <c r="AI113" i="5"/>
  <c r="BJ107" i="5"/>
  <c r="AI112" i="5"/>
  <c r="BJ108" i="5"/>
  <c r="AI111" i="5"/>
  <c r="BJ109" i="5" s="1"/>
  <c r="AI110" i="5"/>
  <c r="BJ110" i="5"/>
  <c r="AI109" i="5"/>
  <c r="BJ111" i="5" s="1"/>
  <c r="AI108" i="5"/>
  <c r="BJ112" i="5" s="1"/>
  <c r="AI107" i="5"/>
  <c r="BJ113" i="5"/>
  <c r="AI106" i="5"/>
  <c r="BJ114" i="5"/>
  <c r="AI105" i="5"/>
  <c r="BJ115" i="5"/>
  <c r="AI104" i="5"/>
  <c r="BJ116" i="5" s="1"/>
  <c r="AI131" i="5"/>
  <c r="BJ119" i="5"/>
  <c r="AI128" i="5"/>
  <c r="BJ122" i="5"/>
  <c r="AI127" i="5"/>
  <c r="BJ123" i="5"/>
  <c r="AI126" i="5"/>
  <c r="BJ124" i="5" s="1"/>
  <c r="AI122" i="5"/>
  <c r="BJ128" i="5" s="1"/>
  <c r="BJ131" i="5"/>
  <c r="AI196" i="5"/>
  <c r="BJ188" i="5"/>
  <c r="AI195" i="5"/>
  <c r="BJ189" i="5" s="1"/>
  <c r="AI194" i="5"/>
  <c r="BJ190" i="5"/>
  <c r="AI193" i="5"/>
  <c r="BJ191" i="5" s="1"/>
  <c r="AI192" i="5"/>
  <c r="BJ192" i="5" s="1"/>
  <c r="AI191" i="5"/>
  <c r="BJ193" i="5"/>
  <c r="AI190" i="5"/>
  <c r="BJ194" i="5" s="1"/>
  <c r="AI189" i="5"/>
  <c r="BJ195" i="5"/>
  <c r="AI188" i="5"/>
  <c r="BJ196" i="5" s="1"/>
  <c r="BI89" i="5"/>
  <c r="BI90" i="5"/>
  <c r="BI91" i="5"/>
  <c r="BI92" i="5"/>
  <c r="BI93" i="5"/>
  <c r="BI94" i="5"/>
  <c r="BI95" i="5"/>
  <c r="BI96" i="5"/>
  <c r="BI97" i="5"/>
  <c r="BI98" i="5"/>
  <c r="BI99" i="5"/>
  <c r="BI100" i="5"/>
  <c r="BI101" i="5"/>
  <c r="BI104" i="5"/>
  <c r="BI105" i="5"/>
  <c r="BI106" i="5"/>
  <c r="BI107" i="5"/>
  <c r="BI108" i="5"/>
  <c r="BI109" i="5"/>
  <c r="BI110" i="5"/>
  <c r="BI111" i="5"/>
  <c r="BI112" i="5"/>
  <c r="BI113" i="5"/>
  <c r="BI114" i="5"/>
  <c r="BI115" i="5"/>
  <c r="BI116" i="5"/>
  <c r="BI120" i="5"/>
  <c r="BI121" i="5"/>
  <c r="BI123" i="5"/>
  <c r="BI124" i="5"/>
  <c r="BI128" i="5"/>
  <c r="BI188" i="5"/>
  <c r="BI189" i="5"/>
  <c r="BI190" i="5"/>
  <c r="BI191" i="5"/>
  <c r="BI192" i="5"/>
  <c r="BI193" i="5"/>
  <c r="BI194" i="5"/>
  <c r="BI195" i="5"/>
  <c r="BI196" i="5"/>
  <c r="BG89" i="5"/>
  <c r="BH89" i="5"/>
  <c r="BG90" i="5"/>
  <c r="BH90" i="5"/>
  <c r="BG91" i="5"/>
  <c r="BH91" i="5"/>
  <c r="BG92" i="5"/>
  <c r="BH92" i="5" s="1"/>
  <c r="BG93" i="5"/>
  <c r="BH93" i="5"/>
  <c r="BG94" i="5"/>
  <c r="BH94" i="5" s="1"/>
  <c r="BG95" i="5"/>
  <c r="BH95" i="5"/>
  <c r="BG96" i="5"/>
  <c r="BH96" i="5"/>
  <c r="BG97" i="5"/>
  <c r="BH97" i="5" s="1"/>
  <c r="BG98" i="5"/>
  <c r="BH98" i="5" s="1"/>
  <c r="BG99" i="5"/>
  <c r="BH99" i="5"/>
  <c r="BG100" i="5"/>
  <c r="BH100" i="5" s="1"/>
  <c r="BG101" i="5"/>
  <c r="BH101" i="5"/>
  <c r="BG104" i="5"/>
  <c r="BH104" i="5" s="1"/>
  <c r="BG105" i="5"/>
  <c r="BH105" i="5"/>
  <c r="BG106" i="5"/>
  <c r="BH106" i="5"/>
  <c r="BG107" i="5"/>
  <c r="BH107" i="5"/>
  <c r="BG108" i="5"/>
  <c r="BH108" i="5"/>
  <c r="BG109" i="5"/>
  <c r="BH109" i="5" s="1"/>
  <c r="BG110" i="5"/>
  <c r="BH110" i="5" s="1"/>
  <c r="BG111" i="5"/>
  <c r="BH111" i="5"/>
  <c r="BG112" i="5"/>
  <c r="BH112" i="5"/>
  <c r="BG113" i="5"/>
  <c r="BH113" i="5" s="1"/>
  <c r="BG114" i="5"/>
  <c r="BH114" i="5" s="1"/>
  <c r="BG115" i="5"/>
  <c r="BH115" i="5"/>
  <c r="BG116" i="5"/>
  <c r="BH116" i="5" s="1"/>
  <c r="BG119" i="5"/>
  <c r="BH119" i="5"/>
  <c r="BG120" i="5"/>
  <c r="BH120" i="5"/>
  <c r="BG122" i="5"/>
  <c r="BH122" i="5" s="1"/>
  <c r="BG123" i="5"/>
  <c r="BH123" i="5"/>
  <c r="BH125" i="5"/>
  <c r="BG127" i="5"/>
  <c r="BH127" i="5"/>
  <c r="BG128" i="5"/>
  <c r="BH128" i="5" s="1"/>
  <c r="BG131" i="5"/>
  <c r="BH131" i="5" s="1"/>
  <c r="BG188" i="5"/>
  <c r="BH188" i="5" s="1"/>
  <c r="BG189" i="5"/>
  <c r="BH189" i="5"/>
  <c r="BG190" i="5"/>
  <c r="BH190" i="5" s="1"/>
  <c r="BG191" i="5"/>
  <c r="BH191" i="5"/>
  <c r="BG192" i="5"/>
  <c r="BH192" i="5"/>
  <c r="BG193" i="5"/>
  <c r="BH193" i="5" s="1"/>
  <c r="BG194" i="5"/>
  <c r="BH194" i="5"/>
  <c r="BG195" i="5"/>
  <c r="BH195" i="5" s="1"/>
  <c r="BG196" i="5"/>
  <c r="BH196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9" i="5"/>
  <c r="AG121" i="5"/>
  <c r="AG122" i="5"/>
  <c r="AG123" i="5"/>
  <c r="AG125" i="5"/>
  <c r="AG127" i="5"/>
  <c r="AG130" i="5"/>
  <c r="AG131" i="5"/>
  <c r="AG188" i="5"/>
  <c r="AG189" i="5"/>
  <c r="AG190" i="5"/>
  <c r="AG191" i="5"/>
  <c r="AG192" i="5"/>
  <c r="AG193" i="5"/>
  <c r="AG194" i="5"/>
  <c r="AG195" i="5"/>
  <c r="AG196" i="5"/>
  <c r="O89" i="5"/>
  <c r="O101" i="5" s="1"/>
  <c r="O90" i="5"/>
  <c r="O100" i="5"/>
  <c r="O91" i="5"/>
  <c r="O99" i="5" s="1"/>
  <c r="O92" i="5"/>
  <c r="O98" i="5" s="1"/>
  <c r="O93" i="5"/>
  <c r="O97" i="5"/>
  <c r="O94" i="5"/>
  <c r="O96" i="5" s="1"/>
  <c r="O95" i="5"/>
  <c r="O104" i="5"/>
  <c r="O116" i="5"/>
  <c r="O105" i="5"/>
  <c r="O115" i="5"/>
  <c r="O106" i="5"/>
  <c r="O114" i="5" s="1"/>
  <c r="O107" i="5"/>
  <c r="O113" i="5" s="1"/>
  <c r="O108" i="5"/>
  <c r="O112" i="5"/>
  <c r="O109" i="5"/>
  <c r="O111" i="5" s="1"/>
  <c r="O110" i="5"/>
  <c r="O122" i="5"/>
  <c r="O128" i="5"/>
  <c r="O125" i="5"/>
  <c r="O189" i="5"/>
  <c r="O195" i="5" s="1"/>
  <c r="O190" i="5"/>
  <c r="O194" i="5"/>
  <c r="O191" i="5"/>
  <c r="O193" i="5" s="1"/>
  <c r="O192" i="5"/>
  <c r="F196" i="5"/>
  <c r="F89" i="5"/>
  <c r="F90" i="5"/>
  <c r="F91" i="5"/>
  <c r="F92" i="5"/>
  <c r="F93" i="5"/>
  <c r="F94" i="5"/>
  <c r="F95" i="5"/>
  <c r="F97" i="5"/>
  <c r="F98" i="5"/>
  <c r="F100" i="5"/>
  <c r="F101" i="5"/>
  <c r="F104" i="5"/>
  <c r="F105" i="5"/>
  <c r="F106" i="5"/>
  <c r="F107" i="5"/>
  <c r="F108" i="5"/>
  <c r="F109" i="5"/>
  <c r="F110" i="5"/>
  <c r="F111" i="5"/>
  <c r="F113" i="5"/>
  <c r="F114" i="5"/>
  <c r="F115" i="5"/>
  <c r="F116" i="5"/>
  <c r="F120" i="5"/>
  <c r="F121" i="5"/>
  <c r="F124" i="5"/>
  <c r="F125" i="5"/>
  <c r="F126" i="5"/>
  <c r="F127" i="5"/>
  <c r="F189" i="5"/>
  <c r="F190" i="5"/>
  <c r="F191" i="5"/>
  <c r="F192" i="5"/>
  <c r="F193" i="5"/>
  <c r="F194" i="5"/>
  <c r="F195" i="5"/>
  <c r="H196" i="5"/>
  <c r="H89" i="5"/>
  <c r="H101" i="5"/>
  <c r="H90" i="5"/>
  <c r="H100" i="5" s="1"/>
  <c r="H91" i="5"/>
  <c r="H99" i="5" s="1"/>
  <c r="H92" i="5"/>
  <c r="H98" i="5"/>
  <c r="H93" i="5"/>
  <c r="H97" i="5"/>
  <c r="H94" i="5"/>
  <c r="H96" i="5" s="1"/>
  <c r="H95" i="5"/>
  <c r="H104" i="5"/>
  <c r="H116" i="5"/>
  <c r="H105" i="5"/>
  <c r="H106" i="5"/>
  <c r="H114" i="5" s="1"/>
  <c r="H107" i="5"/>
  <c r="H113" i="5"/>
  <c r="H108" i="5"/>
  <c r="H112" i="5"/>
  <c r="H109" i="5"/>
  <c r="H110" i="5"/>
  <c r="H111" i="5"/>
  <c r="H115" i="5"/>
  <c r="H119" i="5"/>
  <c r="H131" i="5" s="1"/>
  <c r="H120" i="5"/>
  <c r="H130" i="5"/>
  <c r="H121" i="5"/>
  <c r="H122" i="5"/>
  <c r="H128" i="5" s="1"/>
  <c r="H129" i="5"/>
  <c r="H189" i="5"/>
  <c r="H195" i="5"/>
  <c r="H190" i="5"/>
  <c r="H194" i="5"/>
  <c r="H191" i="5"/>
  <c r="H193" i="5" s="1"/>
  <c r="H192" i="5"/>
  <c r="I89" i="5"/>
  <c r="I101" i="5"/>
  <c r="I90" i="5"/>
  <c r="I100" i="5"/>
  <c r="I91" i="5"/>
  <c r="I92" i="5"/>
  <c r="I98" i="5"/>
  <c r="I93" i="5"/>
  <c r="I94" i="5"/>
  <c r="I96" i="5" s="1"/>
  <c r="I95" i="5"/>
  <c r="I97" i="5"/>
  <c r="I99" i="5"/>
  <c r="I104" i="5"/>
  <c r="I105" i="5"/>
  <c r="I106" i="5"/>
  <c r="I114" i="5"/>
  <c r="I107" i="5"/>
  <c r="I113" i="5"/>
  <c r="I108" i="5"/>
  <c r="I112" i="5"/>
  <c r="I109" i="5"/>
  <c r="I111" i="5"/>
  <c r="I110" i="5"/>
  <c r="I115" i="5"/>
  <c r="I116" i="5"/>
  <c r="I119" i="5"/>
  <c r="I131" i="5" s="1"/>
  <c r="I121" i="5"/>
  <c r="I129" i="5" s="1"/>
  <c r="I125" i="5"/>
  <c r="I189" i="5"/>
  <c r="I195" i="5"/>
  <c r="I190" i="5"/>
  <c r="I194" i="5" s="1"/>
  <c r="I191" i="5"/>
  <c r="I193" i="5"/>
  <c r="I192" i="5"/>
  <c r="K196" i="5"/>
  <c r="K104" i="5"/>
  <c r="K116" i="5" s="1"/>
  <c r="K105" i="5"/>
  <c r="K115" i="5" s="1"/>
  <c r="K106" i="5"/>
  <c r="K114" i="5"/>
  <c r="K107" i="5"/>
  <c r="K113" i="5" s="1"/>
  <c r="K108" i="5"/>
  <c r="K112" i="5" s="1"/>
  <c r="K109" i="5"/>
  <c r="K111" i="5"/>
  <c r="K110" i="5"/>
  <c r="K189" i="5"/>
  <c r="K195" i="5"/>
  <c r="K190" i="5"/>
  <c r="K194" i="5" s="1"/>
  <c r="K191" i="5"/>
  <c r="K193" i="5"/>
  <c r="K192" i="5"/>
  <c r="K89" i="5"/>
  <c r="K101" i="5" s="1"/>
  <c r="K90" i="5"/>
  <c r="K100" i="5"/>
  <c r="K91" i="5"/>
  <c r="K99" i="5" s="1"/>
  <c r="K92" i="5"/>
  <c r="K98" i="5" s="1"/>
  <c r="K93" i="5"/>
  <c r="K97" i="5" s="1"/>
  <c r="K94" i="5"/>
  <c r="K96" i="5"/>
  <c r="K95" i="5"/>
  <c r="K120" i="5"/>
  <c r="K130" i="5"/>
  <c r="K121" i="5"/>
  <c r="K129" i="5"/>
  <c r="L89" i="5"/>
  <c r="L101" i="5"/>
  <c r="L90" i="5"/>
  <c r="L91" i="5"/>
  <c r="L92" i="5"/>
  <c r="L98" i="5" s="1"/>
  <c r="L93" i="5"/>
  <c r="L97" i="5"/>
  <c r="L94" i="5"/>
  <c r="L96" i="5" s="1"/>
  <c r="L95" i="5"/>
  <c r="L99" i="5"/>
  <c r="L100" i="5"/>
  <c r="L104" i="5"/>
  <c r="L116" i="5" s="1"/>
  <c r="L105" i="5"/>
  <c r="L115" i="5"/>
  <c r="L106" i="5"/>
  <c r="L114" i="5"/>
  <c r="L107" i="5"/>
  <c r="L113" i="5"/>
  <c r="L108" i="5"/>
  <c r="L112" i="5" s="1"/>
  <c r="L109" i="5"/>
  <c r="L111" i="5" s="1"/>
  <c r="L110" i="5"/>
  <c r="L120" i="5"/>
  <c r="L130" i="5"/>
  <c r="L123" i="5"/>
  <c r="L127" i="5" s="1"/>
  <c r="L189" i="5"/>
  <c r="L195" i="5"/>
  <c r="L190" i="5"/>
  <c r="L194" i="5" s="1"/>
  <c r="L191" i="5"/>
  <c r="L192" i="5"/>
  <c r="L193" i="5"/>
  <c r="N104" i="5"/>
  <c r="N116" i="5" s="1"/>
  <c r="N105" i="5"/>
  <c r="N115" i="5" s="1"/>
  <c r="N106" i="5"/>
  <c r="N114" i="5" s="1"/>
  <c r="N107" i="5"/>
  <c r="N113" i="5"/>
  <c r="N108" i="5"/>
  <c r="N112" i="5" s="1"/>
  <c r="N109" i="5"/>
  <c r="N111" i="5"/>
  <c r="N110" i="5"/>
  <c r="N189" i="5"/>
  <c r="N195" i="5" s="1"/>
  <c r="N190" i="5"/>
  <c r="N194" i="5"/>
  <c r="N191" i="5"/>
  <c r="N192" i="5"/>
  <c r="N193" i="5"/>
  <c r="N89" i="5"/>
  <c r="N101" i="5" s="1"/>
  <c r="N90" i="5"/>
  <c r="N91" i="5"/>
  <c r="N99" i="5" s="1"/>
  <c r="N92" i="5"/>
  <c r="N98" i="5"/>
  <c r="N93" i="5"/>
  <c r="N97" i="5" s="1"/>
  <c r="N94" i="5"/>
  <c r="N96" i="5"/>
  <c r="N95" i="5"/>
  <c r="N100" i="5"/>
  <c r="N122" i="5"/>
  <c r="N128" i="5" s="1"/>
  <c r="D3" i="10"/>
  <c r="C41" i="2"/>
  <c r="I41" i="2" s="1"/>
  <c r="B23" i="9"/>
  <c r="B25" i="9" s="1"/>
  <c r="B27" i="9" s="1"/>
  <c r="C23" i="9"/>
  <c r="D23" i="9"/>
  <c r="E23" i="9"/>
  <c r="F23" i="9"/>
  <c r="G23" i="9"/>
  <c r="H23" i="9"/>
  <c r="I23" i="9"/>
  <c r="J23" i="9"/>
  <c r="K23" i="9"/>
  <c r="L23" i="9"/>
  <c r="M23" i="9"/>
  <c r="C23" i="8"/>
  <c r="D23" i="8"/>
  <c r="E23" i="8"/>
  <c r="F23" i="8"/>
  <c r="G23" i="8"/>
  <c r="B24" i="8" s="1"/>
  <c r="B25" i="8" s="1"/>
  <c r="H23" i="8"/>
  <c r="I23" i="8"/>
  <c r="J23" i="8"/>
  <c r="K23" i="8"/>
  <c r="L23" i="8"/>
  <c r="M23" i="8"/>
  <c r="C54" i="8"/>
  <c r="D54" i="8"/>
  <c r="E54" i="8"/>
  <c r="F54" i="8"/>
  <c r="G54" i="8"/>
  <c r="H54" i="8"/>
  <c r="I54" i="8"/>
  <c r="J54" i="8"/>
  <c r="K54" i="8"/>
  <c r="L54" i="8"/>
  <c r="M54" i="8"/>
  <c r="H7" i="5"/>
  <c r="C43" i="5"/>
  <c r="AD43" i="5"/>
  <c r="BE43" i="5"/>
  <c r="C55" i="5"/>
  <c r="AD55" i="5"/>
  <c r="BE55" i="5"/>
  <c r="BF208" i="5" s="1"/>
  <c r="BF211" i="5" s="1"/>
  <c r="C71" i="5"/>
  <c r="C116" i="5"/>
  <c r="C196" i="5"/>
  <c r="C86" i="5"/>
  <c r="C101" i="5"/>
  <c r="C158" i="5"/>
  <c r="C183" i="5"/>
  <c r="C170" i="5"/>
  <c r="C144" i="5"/>
  <c r="C131" i="5"/>
  <c r="CV62" i="5"/>
  <c r="CW62" i="5"/>
  <c r="CX63" i="5" s="1"/>
  <c r="CX62" i="5"/>
  <c r="AD71" i="5"/>
  <c r="BE71" i="5"/>
  <c r="AD86" i="5"/>
  <c r="BE86" i="5"/>
  <c r="AD101" i="5"/>
  <c r="BE101" i="5"/>
  <c r="AD116" i="5"/>
  <c r="BE116" i="5"/>
  <c r="AD131" i="5"/>
  <c r="BE131" i="5"/>
  <c r="AD144" i="5"/>
  <c r="BE144" i="5"/>
  <c r="AD158" i="5"/>
  <c r="BE158" i="5"/>
  <c r="AD170" i="5"/>
  <c r="BE170" i="5"/>
  <c r="AD183" i="5"/>
  <c r="BE183" i="5"/>
  <c r="AD196" i="5"/>
  <c r="BE196" i="5"/>
  <c r="I7" i="2"/>
  <c r="I8" i="2"/>
  <c r="I28" i="2"/>
  <c r="C11" i="2"/>
  <c r="I21" i="2"/>
  <c r="C23" i="2"/>
  <c r="C32" i="2"/>
  <c r="C36" i="2"/>
  <c r="C37" i="2"/>
  <c r="I48" i="2"/>
  <c r="AQ123" i="5"/>
  <c r="AP151" i="5"/>
  <c r="BR42" i="5"/>
  <c r="BO182" i="5"/>
  <c r="BR182" i="5"/>
  <c r="AM123" i="5"/>
  <c r="BN127" i="5"/>
  <c r="BL127" i="5"/>
  <c r="AM131" i="5"/>
  <c r="BN119" i="5" s="1"/>
  <c r="BL119" i="5"/>
  <c r="N123" i="5"/>
  <c r="N127" i="5"/>
  <c r="BI125" i="5"/>
  <c r="AP123" i="5"/>
  <c r="BQ127" i="5"/>
  <c r="BI130" i="5"/>
  <c r="BI122" i="5"/>
  <c r="AI125" i="5"/>
  <c r="BJ125" i="5"/>
  <c r="BG140" i="5"/>
  <c r="BO143" i="5"/>
  <c r="BR143" i="5" s="1"/>
  <c r="I149" i="5"/>
  <c r="I70" i="5"/>
  <c r="I157" i="5"/>
  <c r="BL122" i="5"/>
  <c r="AM136" i="5"/>
  <c r="BN84" i="5"/>
  <c r="BN142" i="5" s="1"/>
  <c r="AM149" i="5"/>
  <c r="BN63" i="5"/>
  <c r="BN150" i="5" s="1"/>
  <c r="AM156" i="5"/>
  <c r="H55" i="5"/>
  <c r="H170" i="5"/>
  <c r="H162" i="5"/>
  <c r="AP170" i="5"/>
  <c r="BQ47" i="5"/>
  <c r="BQ162" i="5"/>
  <c r="BN52" i="5"/>
  <c r="BN167" i="5"/>
  <c r="AM165" i="5"/>
  <c r="BK54" i="5"/>
  <c r="BK169" i="5"/>
  <c r="AJ163" i="5"/>
  <c r="K177" i="5"/>
  <c r="K41" i="5"/>
  <c r="K181" i="5" s="1"/>
  <c r="BP68" i="5"/>
  <c r="BP155" i="5"/>
  <c r="AO151" i="5"/>
  <c r="O69" i="5"/>
  <c r="O156" i="5" s="1"/>
  <c r="M156" i="5"/>
  <c r="BK124" i="5"/>
  <c r="AG129" i="5"/>
  <c r="AI120" i="5"/>
  <c r="BJ130" i="5" s="1"/>
  <c r="AQ131" i="5"/>
  <c r="BO119" i="5"/>
  <c r="BR119" i="5" s="1"/>
  <c r="BH84" i="5"/>
  <c r="BH142" i="5" s="1"/>
  <c r="BH48" i="5"/>
  <c r="BH163" i="5"/>
  <c r="BG163" i="5"/>
  <c r="BR48" i="5"/>
  <c r="BO167" i="5"/>
  <c r="BR167" i="5"/>
  <c r="BR52" i="5"/>
  <c r="AM175" i="5"/>
  <c r="AL176" i="5"/>
  <c r="AP131" i="5"/>
  <c r="BQ119" i="5"/>
  <c r="K86" i="5"/>
  <c r="K144" i="5" s="1"/>
  <c r="BG124" i="5"/>
  <c r="BH124" i="5"/>
  <c r="AG126" i="5"/>
  <c r="O137" i="5"/>
  <c r="AJ138" i="5"/>
  <c r="BK82" i="5"/>
  <c r="BK140" i="5"/>
  <c r="BK85" i="5"/>
  <c r="BK143" i="5" s="1"/>
  <c r="AJ135" i="5"/>
  <c r="BJ71" i="5"/>
  <c r="BJ158" i="5"/>
  <c r="AI148" i="5"/>
  <c r="BP36" i="5"/>
  <c r="BP176" i="5"/>
  <c r="AO182" i="5"/>
  <c r="P123" i="5"/>
  <c r="P127" i="5" s="1"/>
  <c r="H85" i="5"/>
  <c r="H143" i="5"/>
  <c r="BQ78" i="5"/>
  <c r="BQ136" i="5" s="1"/>
  <c r="BN79" i="5"/>
  <c r="BN137" i="5"/>
  <c r="AM141" i="5"/>
  <c r="AI153" i="5"/>
  <c r="BJ66" i="5"/>
  <c r="BJ153" i="5" s="1"/>
  <c r="BG164" i="5"/>
  <c r="BH49" i="5"/>
  <c r="BH164" i="5"/>
  <c r="M158" i="5"/>
  <c r="AO128" i="5"/>
  <c r="BP122" i="5"/>
  <c r="BO180" i="5"/>
  <c r="BR180" i="5" s="1"/>
  <c r="AL120" i="5"/>
  <c r="BM130" i="5"/>
  <c r="AO120" i="5"/>
  <c r="BP130" i="5"/>
  <c r="BO127" i="5"/>
  <c r="BR127" i="5" s="1"/>
  <c r="K138" i="5"/>
  <c r="K82" i="5"/>
  <c r="K140" i="5"/>
  <c r="BJ77" i="5"/>
  <c r="BJ135" i="5"/>
  <c r="AI143" i="5"/>
  <c r="BO137" i="5"/>
  <c r="BR137" i="5"/>
  <c r="BR79" i="5"/>
  <c r="BN83" i="5"/>
  <c r="BN141" i="5"/>
  <c r="AM137" i="5"/>
  <c r="AP134" i="5"/>
  <c r="BQ86" i="5"/>
  <c r="BQ144" i="5"/>
  <c r="BN62" i="5"/>
  <c r="BN149" i="5" s="1"/>
  <c r="BG169" i="5"/>
  <c r="I176" i="5"/>
  <c r="I42" i="5"/>
  <c r="I182" i="5"/>
  <c r="I150" i="5"/>
  <c r="I69" i="5"/>
  <c r="I156" i="5"/>
  <c r="AM124" i="5"/>
  <c r="BN126" i="5" s="1"/>
  <c r="AO119" i="5"/>
  <c r="BP131" i="5"/>
  <c r="BO126" i="5"/>
  <c r="BR126" i="5" s="1"/>
  <c r="AP144" i="5"/>
  <c r="BQ76" i="5"/>
  <c r="BQ134" i="5"/>
  <c r="AM135" i="5"/>
  <c r="BN85" i="5"/>
  <c r="BN143" i="5" s="1"/>
  <c r="AL157" i="5"/>
  <c r="BM62" i="5"/>
  <c r="BM149" i="5"/>
  <c r="BN66" i="5"/>
  <c r="BN153" i="5"/>
  <c r="AM153" i="5"/>
  <c r="BJ67" i="5"/>
  <c r="BJ154" i="5"/>
  <c r="AI152" i="5"/>
  <c r="L168" i="5"/>
  <c r="L164" i="5"/>
  <c r="Q42" i="1"/>
  <c r="X42" i="1"/>
  <c r="AM121" i="5"/>
  <c r="BN129" i="5"/>
  <c r="AP124" i="5"/>
  <c r="BQ126" i="5" s="1"/>
  <c r="AQ119" i="5"/>
  <c r="AL150" i="5"/>
  <c r="BG149" i="5"/>
  <c r="AI167" i="5"/>
  <c r="AM170" i="5"/>
  <c r="N67" i="5"/>
  <c r="N154" i="5"/>
  <c r="N152" i="5"/>
  <c r="BO179" i="5"/>
  <c r="BR179" i="5"/>
  <c r="BR39" i="5"/>
  <c r="AL129" i="5"/>
  <c r="BM121" i="5"/>
  <c r="P124" i="5"/>
  <c r="P126" i="5" s="1"/>
  <c r="BG136" i="5"/>
  <c r="BH79" i="5"/>
  <c r="BH137" i="5"/>
  <c r="BG137" i="5"/>
  <c r="BK80" i="5"/>
  <c r="BK138" i="5" s="1"/>
  <c r="BO139" i="5"/>
  <c r="BR139" i="5"/>
  <c r="BR81" i="5"/>
  <c r="BN71" i="5"/>
  <c r="BN158" i="5"/>
  <c r="AM148" i="5"/>
  <c r="BH47" i="5"/>
  <c r="BH162" i="5" s="1"/>
  <c r="BK51" i="5"/>
  <c r="BK166" i="5"/>
  <c r="BQ53" i="5"/>
  <c r="BQ168" i="5"/>
  <c r="BM55" i="5"/>
  <c r="BM170" i="5"/>
  <c r="BH41" i="5"/>
  <c r="BH181" i="5" s="1"/>
  <c r="BG179" i="5"/>
  <c r="BH39" i="5"/>
  <c r="BH179" i="5" s="1"/>
  <c r="I138" i="5"/>
  <c r="BO148" i="5"/>
  <c r="BR148" i="5"/>
  <c r="BO158" i="5"/>
  <c r="BR158" i="5"/>
  <c r="BR71" i="5"/>
  <c r="O165" i="5"/>
  <c r="O52" i="5"/>
  <c r="O167" i="5"/>
  <c r="BM43" i="5"/>
  <c r="BM183" i="5"/>
  <c r="S44" i="1"/>
  <c r="T44" i="1"/>
  <c r="Q44" i="1"/>
  <c r="O70" i="5"/>
  <c r="O157" i="5" s="1"/>
  <c r="M157" i="5"/>
  <c r="E140" i="5"/>
  <c r="F82" i="5"/>
  <c r="F140" i="5" s="1"/>
  <c r="L162" i="5"/>
  <c r="BO138" i="5"/>
  <c r="BR138" i="5"/>
  <c r="I177" i="5"/>
  <c r="AO157" i="5"/>
  <c r="BP62" i="5"/>
  <c r="BP149" i="5" s="1"/>
  <c r="BM154" i="5"/>
  <c r="AL152" i="5"/>
  <c r="AG163" i="5"/>
  <c r="AM183" i="5"/>
  <c r="BN35" i="5"/>
  <c r="BN175" i="5" s="1"/>
  <c r="K85" i="5"/>
  <c r="K143" i="5" s="1"/>
  <c r="BR78" i="5"/>
  <c r="BO136" i="5"/>
  <c r="BR136" i="5"/>
  <c r="BH65" i="5"/>
  <c r="BH152" i="5"/>
  <c r="BG152" i="5"/>
  <c r="N162" i="5"/>
  <c r="N55" i="5"/>
  <c r="N170" i="5" s="1"/>
  <c r="BG182" i="5"/>
  <c r="BH42" i="5"/>
  <c r="BH182" i="5" s="1"/>
  <c r="E181" i="5"/>
  <c r="F41" i="5"/>
  <c r="F53" i="5"/>
  <c r="F168" i="5"/>
  <c r="E168" i="5"/>
  <c r="M142" i="5"/>
  <c r="P120" i="5"/>
  <c r="P130" i="5" s="1"/>
  <c r="N120" i="5"/>
  <c r="N130" i="5" s="1"/>
  <c r="O120" i="5"/>
  <c r="O130" i="5"/>
  <c r="BR76" i="5"/>
  <c r="BO134" i="5"/>
  <c r="BR134" i="5"/>
  <c r="AO152" i="5"/>
  <c r="BP67" i="5"/>
  <c r="BP154" i="5"/>
  <c r="AL169" i="5"/>
  <c r="BP81" i="5"/>
  <c r="BP139" i="5"/>
  <c r="AO139" i="5"/>
  <c r="BK69" i="5"/>
  <c r="BK156" i="5"/>
  <c r="AJ150" i="5"/>
  <c r="BO165" i="5"/>
  <c r="BR165" i="5"/>
  <c r="BR50" i="5"/>
  <c r="AO179" i="5"/>
  <c r="BP39" i="5"/>
  <c r="BP179" i="5" s="1"/>
  <c r="P41" i="5"/>
  <c r="AI151" i="5"/>
  <c r="BJ68" i="5"/>
  <c r="BJ155" i="5" s="1"/>
  <c r="O134" i="5"/>
  <c r="O86" i="5"/>
  <c r="O144" i="5"/>
  <c r="AN201" i="5"/>
  <c r="AF202" i="5"/>
  <c r="H52" i="5"/>
  <c r="H167" i="5"/>
  <c r="BP85" i="5"/>
  <c r="BP143" i="5" s="1"/>
  <c r="AO135" i="5"/>
  <c r="AP158" i="5"/>
  <c r="BQ61" i="5"/>
  <c r="BQ148" i="5" s="1"/>
  <c r="N183" i="5"/>
  <c r="AJ148" i="5"/>
  <c r="BJ65" i="5"/>
  <c r="BJ152" i="5"/>
  <c r="BH67" i="5"/>
  <c r="BH154" i="5" s="1"/>
  <c r="BG154" i="5"/>
  <c r="K42" i="5"/>
  <c r="K182" i="5"/>
  <c r="I71" i="5"/>
  <c r="I158" i="5"/>
  <c r="I148" i="5"/>
  <c r="N142" i="5"/>
  <c r="N136" i="5"/>
  <c r="AL135" i="5"/>
  <c r="BM85" i="5"/>
  <c r="BM143" i="5"/>
  <c r="AP152" i="5"/>
  <c r="BQ67" i="5"/>
  <c r="BQ154" i="5"/>
  <c r="AO165" i="5"/>
  <c r="L42" i="5"/>
  <c r="L182" i="5"/>
  <c r="L176" i="5"/>
  <c r="BG180" i="5"/>
  <c r="BH40" i="5"/>
  <c r="BH180" i="5"/>
  <c r="AP177" i="5"/>
  <c r="BQ41" i="5"/>
  <c r="BQ181" i="5"/>
  <c r="BM64" i="5"/>
  <c r="BM151" i="5"/>
  <c r="AL155" i="5"/>
  <c r="R43" i="1"/>
  <c r="S43" i="1"/>
  <c r="T43" i="1" s="1"/>
  <c r="M14" i="5"/>
  <c r="R12" i="7"/>
  <c r="P68" i="5"/>
  <c r="AO158" i="5"/>
  <c r="BP61" i="5"/>
  <c r="BP148" i="5" s="1"/>
  <c r="H69" i="5"/>
  <c r="H156" i="5"/>
  <c r="H150" i="5"/>
  <c r="AR202" i="5"/>
  <c r="L138" i="5"/>
  <c r="AM154" i="5"/>
  <c r="BM66" i="5"/>
  <c r="BM153" i="5"/>
  <c r="BP70" i="5"/>
  <c r="BP157" i="5"/>
  <c r="AO169" i="5"/>
  <c r="K175" i="5"/>
  <c r="AL137" i="5"/>
  <c r="BM141" i="5"/>
  <c r="AP156" i="5"/>
  <c r="BQ63" i="5"/>
  <c r="BQ150" i="5"/>
  <c r="H176" i="5"/>
  <c r="H42" i="5"/>
  <c r="H182" i="5" s="1"/>
  <c r="AJ182" i="5"/>
  <c r="BK36" i="5"/>
  <c r="BK176" i="5" s="1"/>
  <c r="AM177" i="5"/>
  <c r="BN41" i="5"/>
  <c r="BN181" i="5"/>
  <c r="N121" i="5"/>
  <c r="N129" i="5"/>
  <c r="BR83" i="5"/>
  <c r="BR77" i="5"/>
  <c r="BR47" i="5"/>
  <c r="N138" i="5"/>
  <c r="BP66" i="5"/>
  <c r="BP153" i="5"/>
  <c r="AP180" i="5"/>
  <c r="BQ35" i="5"/>
  <c r="BP37" i="5"/>
  <c r="BP177" i="5"/>
  <c r="AL143" i="5"/>
  <c r="BM77" i="5"/>
  <c r="BM135" i="5"/>
  <c r="BQ69" i="5"/>
  <c r="BQ156" i="5" s="1"/>
  <c r="BQ71" i="5"/>
  <c r="BQ158" i="5" s="1"/>
  <c r="AP148" i="5"/>
  <c r="BJ54" i="5"/>
  <c r="BJ169" i="5"/>
  <c r="AI163" i="5"/>
  <c r="O43" i="5"/>
  <c r="O183" i="5" s="1"/>
  <c r="O175" i="5"/>
  <c r="K136" i="5"/>
  <c r="K84" i="5"/>
  <c r="K142" i="5"/>
  <c r="AO154" i="5"/>
  <c r="BP65" i="5"/>
  <c r="BP152" i="5"/>
  <c r="BH69" i="5"/>
  <c r="BH156" i="5"/>
  <c r="O164" i="5"/>
  <c r="O53" i="5"/>
  <c r="O168" i="5" s="1"/>
  <c r="BN40" i="5"/>
  <c r="BN180" i="5" s="1"/>
  <c r="AM178" i="5"/>
  <c r="BH43" i="5"/>
  <c r="BH183" i="5"/>
  <c r="BG183" i="5"/>
  <c r="K123" i="5"/>
  <c r="K127" i="5"/>
  <c r="H82" i="5"/>
  <c r="H140" i="5"/>
  <c r="BG150" i="5"/>
  <c r="L86" i="5"/>
  <c r="L144" i="5" s="1"/>
  <c r="L134" i="5"/>
  <c r="AO156" i="5"/>
  <c r="BP63" i="5"/>
  <c r="BP150" i="5" s="1"/>
  <c r="BM54" i="5"/>
  <c r="BM169" i="5"/>
  <c r="AL163" i="5"/>
  <c r="BQ42" i="5"/>
  <c r="BQ182" i="5"/>
  <c r="AP176" i="5"/>
  <c r="Q45" i="1"/>
  <c r="S45" i="1"/>
  <c r="T45" i="1"/>
  <c r="X45" i="1"/>
  <c r="E155" i="5"/>
  <c r="F68" i="5"/>
  <c r="F155" i="5"/>
  <c r="L69" i="5"/>
  <c r="L156" i="5"/>
  <c r="J156" i="5"/>
  <c r="BG176" i="5"/>
  <c r="AJ178" i="5"/>
  <c r="BK40" i="5"/>
  <c r="BK180" i="5"/>
  <c r="AL134" i="5"/>
  <c r="AL136" i="5"/>
  <c r="AL138" i="5"/>
  <c r="AL140" i="5"/>
  <c r="AL142" i="5"/>
  <c r="AP143" i="5"/>
  <c r="AL144" i="5"/>
  <c r="AM176" i="5"/>
  <c r="AL181" i="5"/>
  <c r="AL165" i="5"/>
  <c r="BM52" i="5"/>
  <c r="BM167" i="5"/>
  <c r="L43" i="5"/>
  <c r="L183" i="5"/>
  <c r="L175" i="5"/>
  <c r="BG178" i="5"/>
  <c r="BH38" i="5"/>
  <c r="BH178" i="5"/>
  <c r="AJ176" i="5"/>
  <c r="BK42" i="5"/>
  <c r="BK182" i="5" s="1"/>
  <c r="O138" i="5"/>
  <c r="H134" i="5"/>
  <c r="BP76" i="5"/>
  <c r="BP134" i="5"/>
  <c r="BP78" i="5"/>
  <c r="BP136" i="5" s="1"/>
  <c r="BP84" i="5"/>
  <c r="BP142" i="5"/>
  <c r="BP86" i="5"/>
  <c r="BP144" i="5"/>
  <c r="BK62" i="5"/>
  <c r="BK149" i="5" s="1"/>
  <c r="BK66" i="5"/>
  <c r="BK153" i="5"/>
  <c r="K55" i="5"/>
  <c r="K170" i="5"/>
  <c r="BK35" i="5"/>
  <c r="BP35" i="5"/>
  <c r="BH37" i="5"/>
  <c r="BH177" i="5" s="1"/>
  <c r="BJ39" i="5"/>
  <c r="BJ179" i="5" s="1"/>
  <c r="BK64" i="5"/>
  <c r="BK151" i="5"/>
  <c r="AL167" i="5"/>
  <c r="BM50" i="5"/>
  <c r="BM165" i="5" s="1"/>
  <c r="R44" i="1"/>
  <c r="AM167" i="5"/>
  <c r="AM169" i="5"/>
  <c r="F181" i="5"/>
  <c r="BP175" i="5"/>
  <c r="J15" i="5"/>
  <c r="P8" i="2"/>
  <c r="J16" i="5" l="1"/>
  <c r="C22" i="2" s="1"/>
  <c r="I22" i="2" s="1"/>
  <c r="BP151" i="5"/>
  <c r="P43" i="5"/>
  <c r="P202" i="5" s="1"/>
  <c r="BK39" i="5"/>
  <c r="BK179" i="5" s="1"/>
  <c r="AO177" i="5"/>
  <c r="AO202" i="5" s="1"/>
  <c r="BP41" i="5"/>
  <c r="AP137" i="5"/>
  <c r="BQ83" i="5"/>
  <c r="BQ141" i="5" s="1"/>
  <c r="BR82" i="5"/>
  <c r="BO140" i="5"/>
  <c r="BR140" i="5" s="1"/>
  <c r="AO125" i="5"/>
  <c r="BP125" i="5" s="1"/>
  <c r="BO125" i="5"/>
  <c r="BR125" i="5" s="1"/>
  <c r="AP125" i="5"/>
  <c r="BQ125" i="5" s="1"/>
  <c r="BS202" i="5"/>
  <c r="BS200" i="5"/>
  <c r="AN202" i="5"/>
  <c r="M202" i="5"/>
  <c r="BM79" i="5"/>
  <c r="BM137" i="5" s="1"/>
  <c r="BJ70" i="5"/>
  <c r="BJ157" i="5" s="1"/>
  <c r="AI149" i="5"/>
  <c r="N41" i="5"/>
  <c r="BK68" i="5"/>
  <c r="BK155" i="5" s="1"/>
  <c r="AJ151" i="5"/>
  <c r="AJ120" i="5"/>
  <c r="BK130" i="5" s="1"/>
  <c r="AG120" i="5"/>
  <c r="BG130" i="5"/>
  <c r="BH130" i="5" s="1"/>
  <c r="BO124" i="5"/>
  <c r="BR124" i="5" s="1"/>
  <c r="AP126" i="5"/>
  <c r="BQ124" i="5" s="1"/>
  <c r="AO126" i="5"/>
  <c r="BP124" i="5" s="1"/>
  <c r="BQ175" i="5"/>
  <c r="J17" i="5"/>
  <c r="C39" i="2" s="1"/>
  <c r="I39" i="2" s="1"/>
  <c r="AK202" i="5"/>
  <c r="BL126" i="5"/>
  <c r="BL200" i="5" s="1"/>
  <c r="AP127" i="5"/>
  <c r="BQ123" i="5" s="1"/>
  <c r="AO127" i="5"/>
  <c r="BP123" i="5" s="1"/>
  <c r="AQ127" i="5"/>
  <c r="AH202" i="5"/>
  <c r="AI155" i="5"/>
  <c r="BJ64" i="5"/>
  <c r="BJ151" i="5" s="1"/>
  <c r="I162" i="5"/>
  <c r="I55" i="5"/>
  <c r="I170" i="5" s="1"/>
  <c r="F176" i="5"/>
  <c r="L124" i="5"/>
  <c r="L126" i="5" s="1"/>
  <c r="N124" i="5"/>
  <c r="N126" i="5" s="1"/>
  <c r="AI121" i="5"/>
  <c r="BJ129" i="5" s="1"/>
  <c r="AJ121" i="5"/>
  <c r="BK129" i="5" s="1"/>
  <c r="AL121" i="5"/>
  <c r="BM129" i="5" s="1"/>
  <c r="AQ129" i="5"/>
  <c r="AP129" i="5"/>
  <c r="BQ121" i="5" s="1"/>
  <c r="BV121" i="5" s="1"/>
  <c r="BW121" i="5" s="1"/>
  <c r="AO129" i="5"/>
  <c r="BP121" i="5" s="1"/>
  <c r="AJ181" i="5"/>
  <c r="BK37" i="5"/>
  <c r="BK177" i="5" s="1"/>
  <c r="F123" i="5"/>
  <c r="I123" i="5"/>
  <c r="I127" i="5" s="1"/>
  <c r="AP130" i="5"/>
  <c r="BQ120" i="5" s="1"/>
  <c r="AQ130" i="5"/>
  <c r="K124" i="5"/>
  <c r="K126" i="5" s="1"/>
  <c r="AJ169" i="5"/>
  <c r="BK48" i="5"/>
  <c r="BK163" i="5" s="1"/>
  <c r="I122" i="5"/>
  <c r="I128" i="5" s="1"/>
  <c r="F122" i="5"/>
  <c r="F200" i="5" s="1"/>
  <c r="BI127" i="5"/>
  <c r="AJ123" i="5"/>
  <c r="BK127" i="5" s="1"/>
  <c r="AI123" i="5"/>
  <c r="BJ127" i="5" s="1"/>
  <c r="AL123" i="5"/>
  <c r="BM127" i="5" s="1"/>
  <c r="BN78" i="5"/>
  <c r="BN136" i="5" s="1"/>
  <c r="AM142" i="5"/>
  <c r="BN64" i="5"/>
  <c r="BN151" i="5" s="1"/>
  <c r="AM155" i="5"/>
  <c r="AJ124" i="5"/>
  <c r="BK126" i="5" s="1"/>
  <c r="AI124" i="5"/>
  <c r="BJ126" i="5" s="1"/>
  <c r="Q201" i="5"/>
  <c r="AL139" i="5"/>
  <c r="BJ83" i="5"/>
  <c r="BJ141" i="5" s="1"/>
  <c r="AI137" i="5"/>
  <c r="BJ47" i="5"/>
  <c r="BJ162" i="5" s="1"/>
  <c r="AI170" i="5"/>
  <c r="AL180" i="5"/>
  <c r="BJ36" i="5"/>
  <c r="AI182" i="5"/>
  <c r="K148" i="5"/>
  <c r="K71" i="5"/>
  <c r="K158" i="5" s="1"/>
  <c r="P119" i="5"/>
  <c r="P131" i="5" s="1"/>
  <c r="O119" i="5"/>
  <c r="O131" i="5" s="1"/>
  <c r="J202" i="5"/>
  <c r="S41" i="1"/>
  <c r="T41" i="1" s="1"/>
  <c r="X41" i="1"/>
  <c r="AL183" i="5"/>
  <c r="BM35" i="5"/>
  <c r="AL179" i="5"/>
  <c r="BM39" i="5"/>
  <c r="BM179" i="5" s="1"/>
  <c r="Q46" i="1"/>
  <c r="R46" i="1"/>
  <c r="S46" i="1"/>
  <c r="T46" i="1" s="1"/>
  <c r="B55" i="8"/>
  <c r="B56" i="8" s="1"/>
  <c r="BK175" i="5"/>
  <c r="AN200" i="5"/>
  <c r="AJ149" i="5"/>
  <c r="AJ200" i="5" s="1"/>
  <c r="BK70" i="5"/>
  <c r="BK157" i="5" s="1"/>
  <c r="AJ180" i="5"/>
  <c r="BK38" i="5"/>
  <c r="BK178" i="5" s="1"/>
  <c r="BJ84" i="5"/>
  <c r="BJ142" i="5" s="1"/>
  <c r="AI136" i="5"/>
  <c r="O40" i="5"/>
  <c r="O180" i="5" s="1"/>
  <c r="T180" i="5" s="1"/>
  <c r="U180" i="5" s="1"/>
  <c r="AR200" i="5"/>
  <c r="AO137" i="5"/>
  <c r="AP140" i="5"/>
  <c r="BQ80" i="5"/>
  <c r="BQ138" i="5" s="1"/>
  <c r="AP154" i="5"/>
  <c r="BQ65" i="5"/>
  <c r="BQ152" i="5" s="1"/>
  <c r="BV152" i="5" s="1"/>
  <c r="BW152" i="5" s="1"/>
  <c r="AM126" i="5"/>
  <c r="BN124" i="5" s="1"/>
  <c r="AL126" i="5"/>
  <c r="BM124" i="5" s="1"/>
  <c r="CH35" i="5"/>
  <c r="Q200" i="5"/>
  <c r="AJ179" i="5"/>
  <c r="BO175" i="5"/>
  <c r="BR175" i="5" s="1"/>
  <c r="AL149" i="5"/>
  <c r="BM70" i="5"/>
  <c r="BM157" i="5" s="1"/>
  <c r="AL127" i="5"/>
  <c r="BM123" i="5" s="1"/>
  <c r="AM127" i="5"/>
  <c r="BN123" i="5" s="1"/>
  <c r="BL123" i="5"/>
  <c r="BS201" i="5"/>
  <c r="I175" i="5"/>
  <c r="I43" i="5"/>
  <c r="I183" i="5" s="1"/>
  <c r="BH176" i="5"/>
  <c r="L125" i="5"/>
  <c r="N125" i="5"/>
  <c r="J201" i="5"/>
  <c r="AM128" i="5"/>
  <c r="BN122" i="5" s="1"/>
  <c r="O135" i="5"/>
  <c r="T135" i="5" s="1"/>
  <c r="U135" i="5" s="1"/>
  <c r="O85" i="5"/>
  <c r="O143" i="5" s="1"/>
  <c r="T143" i="5" s="1"/>
  <c r="U143" i="5" s="1"/>
  <c r="BP54" i="5"/>
  <c r="BP169" i="5" s="1"/>
  <c r="AO163" i="5"/>
  <c r="R41" i="1"/>
  <c r="J13" i="5"/>
  <c r="C19" i="2" s="1"/>
  <c r="I19" i="2" s="1"/>
  <c r="O54" i="5"/>
  <c r="O169" i="5" s="1"/>
  <c r="T169" i="5" s="1"/>
  <c r="U169" i="5" s="1"/>
  <c r="N85" i="5"/>
  <c r="N143" i="5" s="1"/>
  <c r="N135" i="5"/>
  <c r="BQ64" i="5"/>
  <c r="AP155" i="5"/>
  <c r="AU155" i="5" s="1"/>
  <c r="AV155" i="5" s="1"/>
  <c r="BO154" i="5"/>
  <c r="BR154" i="5" s="1"/>
  <c r="BR67" i="5"/>
  <c r="BQ52" i="5"/>
  <c r="BQ167" i="5" s="1"/>
  <c r="BV167" i="5" s="1"/>
  <c r="BW167" i="5" s="1"/>
  <c r="AP165" i="5"/>
  <c r="AU165" i="5" s="1"/>
  <c r="AV165" i="5" s="1"/>
  <c r="BQ54" i="5"/>
  <c r="BQ169" i="5" s="1"/>
  <c r="BV169" i="5" s="1"/>
  <c r="BW169" i="5" s="1"/>
  <c r="AP163" i="5"/>
  <c r="BP55" i="5"/>
  <c r="BP170" i="5" s="1"/>
  <c r="AO162" i="5"/>
  <c r="H175" i="5"/>
  <c r="L68" i="5"/>
  <c r="L155" i="5" s="1"/>
  <c r="J155" i="5"/>
  <c r="J200" i="5" s="1"/>
  <c r="AH201" i="5"/>
  <c r="AJ119" i="5"/>
  <c r="BK131" i="5" s="1"/>
  <c r="BJ62" i="5"/>
  <c r="BJ149" i="5" s="1"/>
  <c r="AI157" i="5"/>
  <c r="BQ55" i="5"/>
  <c r="BQ170" i="5" s="1"/>
  <c r="BV170" i="5" s="1"/>
  <c r="BW170" i="5" s="1"/>
  <c r="AP162" i="5"/>
  <c r="G183" i="5"/>
  <c r="G202" i="5" s="1"/>
  <c r="K151" i="5"/>
  <c r="K68" i="5"/>
  <c r="K155" i="5" s="1"/>
  <c r="AG202" i="5"/>
  <c r="AI176" i="5"/>
  <c r="AI156" i="5"/>
  <c r="AJ142" i="5"/>
  <c r="L178" i="5"/>
  <c r="BI131" i="5"/>
  <c r="AO143" i="5"/>
  <c r="BP77" i="5"/>
  <c r="BP135" i="5" s="1"/>
  <c r="H53" i="5"/>
  <c r="H168" i="5" s="1"/>
  <c r="AQ128" i="5"/>
  <c r="AP128" i="5"/>
  <c r="BQ122" i="5" s="1"/>
  <c r="BV122" i="5" s="1"/>
  <c r="BW122" i="5" s="1"/>
  <c r="AG200" i="5"/>
  <c r="O178" i="5"/>
  <c r="T178" i="5" s="1"/>
  <c r="U178" i="5" s="1"/>
  <c r="BJ42" i="5"/>
  <c r="BJ182" i="5" s="1"/>
  <c r="AI135" i="5"/>
  <c r="AI202" i="5" s="1"/>
  <c r="AI134" i="5"/>
  <c r="BI129" i="5"/>
  <c r="BG144" i="5"/>
  <c r="I165" i="5"/>
  <c r="BH50" i="5"/>
  <c r="BH165" i="5" s="1"/>
  <c r="BG165" i="5"/>
  <c r="BM41" i="5"/>
  <c r="BM181" i="5" s="1"/>
  <c r="AL177" i="5"/>
  <c r="D205" i="5"/>
  <c r="D208" i="5" s="1"/>
  <c r="D211" i="5" s="1"/>
  <c r="AQ125" i="5"/>
  <c r="I152" i="5"/>
  <c r="BH66" i="5"/>
  <c r="BH153" i="5" s="1"/>
  <c r="AL148" i="5"/>
  <c r="Q41" i="1"/>
  <c r="Q43" i="1"/>
  <c r="X43" i="1"/>
  <c r="BF205" i="5"/>
  <c r="BH61" i="5"/>
  <c r="BH148" i="5" s="1"/>
  <c r="BG148" i="5"/>
  <c r="AO168" i="5"/>
  <c r="BP49" i="5"/>
  <c r="BP164" i="5" s="1"/>
  <c r="L40" i="5"/>
  <c r="BL124" i="5"/>
  <c r="AP167" i="5"/>
  <c r="BQ50" i="5"/>
  <c r="BQ165" i="5" s="1"/>
  <c r="BV165" i="5" s="1"/>
  <c r="BW165" i="5" s="1"/>
  <c r="O68" i="5"/>
  <c r="O155" i="5" s="1"/>
  <c r="T155" i="5" s="1"/>
  <c r="U155" i="5" s="1"/>
  <c r="M155" i="5"/>
  <c r="M201" i="5" s="1"/>
  <c r="X46" i="1"/>
  <c r="AF201" i="5"/>
  <c r="BI126" i="5"/>
  <c r="BI201" i="5" s="1"/>
  <c r="E156" i="5"/>
  <c r="E201" i="5" s="1"/>
  <c r="BM40" i="5"/>
  <c r="BM180" i="5" s="1"/>
  <c r="BO181" i="5"/>
  <c r="BR181" i="5" s="1"/>
  <c r="BR41" i="5"/>
  <c r="BJ43" i="5"/>
  <c r="BJ183" i="5" s="1"/>
  <c r="BL121" i="5"/>
  <c r="AM129" i="5"/>
  <c r="BN121" i="5" s="1"/>
  <c r="AL130" i="5"/>
  <c r="BM120" i="5" s="1"/>
  <c r="AM130" i="5"/>
  <c r="BN120" i="5" s="1"/>
  <c r="BL120" i="5"/>
  <c r="AI168" i="5"/>
  <c r="BK61" i="5"/>
  <c r="BK148" i="5" s="1"/>
  <c r="BP69" i="5"/>
  <c r="BP156" i="5" s="1"/>
  <c r="BQ70" i="5"/>
  <c r="BQ157" i="5" s="1"/>
  <c r="BV157" i="5" s="1"/>
  <c r="BW157" i="5" s="1"/>
  <c r="K163" i="5"/>
  <c r="K54" i="5"/>
  <c r="AL182" i="5"/>
  <c r="AL201" i="5" s="1"/>
  <c r="BM36" i="5"/>
  <c r="BM176" i="5" s="1"/>
  <c r="AI177" i="5"/>
  <c r="BJ41" i="5"/>
  <c r="BJ181" i="5" s="1"/>
  <c r="H124" i="5"/>
  <c r="H126" i="5" s="1"/>
  <c r="I124" i="5"/>
  <c r="I126" i="5" s="1"/>
  <c r="BH68" i="5"/>
  <c r="BH155" i="5" s="1"/>
  <c r="L119" i="5"/>
  <c r="L131" i="5" s="1"/>
  <c r="K119" i="5"/>
  <c r="K131" i="5" s="1"/>
  <c r="AE208" i="5"/>
  <c r="AE211" i="5" s="1"/>
  <c r="AE205" i="5"/>
  <c r="H71" i="5"/>
  <c r="H158" i="5" s="1"/>
  <c r="H148" i="5"/>
  <c r="BO130" i="5"/>
  <c r="BR130" i="5" s="1"/>
  <c r="AQ120" i="5"/>
  <c r="AQ201" i="5" s="1"/>
  <c r="AG124" i="5"/>
  <c r="AG201" i="5" s="1"/>
  <c r="BG126" i="5"/>
  <c r="BH126" i="5" s="1"/>
  <c r="BJ51" i="5"/>
  <c r="BJ166" i="5" s="1"/>
  <c r="AJ137" i="5"/>
  <c r="BK83" i="5"/>
  <c r="BK141" i="5" s="1"/>
  <c r="I84" i="5"/>
  <c r="I142" i="5" s="1"/>
  <c r="BJ79" i="5"/>
  <c r="BJ137" i="5" s="1"/>
  <c r="AJ154" i="5"/>
  <c r="AJ201" i="5" s="1"/>
  <c r="BG158" i="5"/>
  <c r="BH71" i="5"/>
  <c r="BH158" i="5" s="1"/>
  <c r="BO149" i="5"/>
  <c r="BR149" i="5" s="1"/>
  <c r="J158" i="5"/>
  <c r="K122" i="5"/>
  <c r="K128" i="5" s="1"/>
  <c r="L122" i="5"/>
  <c r="L128" i="5" s="1"/>
  <c r="AK201" i="5"/>
  <c r="AK200" i="5"/>
  <c r="AL119" i="5"/>
  <c r="BM131" i="5" s="1"/>
  <c r="BQ36" i="5"/>
  <c r="BQ176" i="5" s="1"/>
  <c r="BV176" i="5" s="1"/>
  <c r="BW176" i="5" s="1"/>
  <c r="AP182" i="5"/>
  <c r="AU182" i="5" s="1"/>
  <c r="AV182" i="5" s="1"/>
  <c r="I54" i="5"/>
  <c r="I169" i="5" s="1"/>
  <c r="I163" i="5"/>
  <c r="BO177" i="5"/>
  <c r="BR177" i="5" s="1"/>
  <c r="BR37" i="5"/>
  <c r="AM140" i="5"/>
  <c r="BN80" i="5"/>
  <c r="BN138" i="5" s="1"/>
  <c r="H68" i="5"/>
  <c r="H155" i="5" s="1"/>
  <c r="P121" i="5"/>
  <c r="P129" i="5" s="1"/>
  <c r="O121" i="5"/>
  <c r="O129" i="5" s="1"/>
  <c r="BQ66" i="5"/>
  <c r="BQ153" i="5" s="1"/>
  <c r="BR69" i="5"/>
  <c r="BO156" i="5"/>
  <c r="BR156" i="5" s="1"/>
  <c r="I178" i="5"/>
  <c r="AM182" i="5"/>
  <c r="AO121" i="5"/>
  <c r="BP129" i="5" s="1"/>
  <c r="BL129" i="5"/>
  <c r="AL158" i="5"/>
  <c r="BM68" i="5"/>
  <c r="BM155" i="5" s="1"/>
  <c r="AL151" i="5"/>
  <c r="I34" i="2"/>
  <c r="P16" i="2" s="1"/>
  <c r="R55" i="5"/>
  <c r="S55" i="5" s="1"/>
  <c r="AU162" i="5"/>
  <c r="AV162" i="5" s="1"/>
  <c r="BV138" i="5"/>
  <c r="BW138" i="5" s="1"/>
  <c r="AS111" i="5"/>
  <c r="AT111" i="5" s="1"/>
  <c r="AU180" i="5"/>
  <c r="AV180" i="5" s="1"/>
  <c r="AU181" i="5"/>
  <c r="AV181" i="5" s="1"/>
  <c r="AU188" i="5"/>
  <c r="AV188" i="5" s="1"/>
  <c r="AU108" i="5"/>
  <c r="AV108" i="5" s="1"/>
  <c r="BV116" i="5"/>
  <c r="BW116" i="5" s="1"/>
  <c r="AU152" i="5"/>
  <c r="AV152" i="5" s="1"/>
  <c r="BT157" i="5"/>
  <c r="BU157" i="5" s="1"/>
  <c r="R62" i="5"/>
  <c r="S62" i="5" s="1"/>
  <c r="AU190" i="5"/>
  <c r="AV190" i="5" s="1"/>
  <c r="AU85" i="5"/>
  <c r="AV85" i="5" s="1"/>
  <c r="AS169" i="5"/>
  <c r="AT169" i="5" s="1"/>
  <c r="R86" i="5"/>
  <c r="S86" i="5" s="1"/>
  <c r="AU97" i="5"/>
  <c r="AV97" i="5" s="1"/>
  <c r="BV101" i="5"/>
  <c r="BW101" i="5" s="1"/>
  <c r="R178" i="5"/>
  <c r="S178" i="5" s="1"/>
  <c r="BT134" i="5"/>
  <c r="BU134" i="5" s="1"/>
  <c r="AS64" i="5"/>
  <c r="AT64" i="5" s="1"/>
  <c r="T83" i="5"/>
  <c r="U83" i="5" s="1"/>
  <c r="T193" i="5"/>
  <c r="U193" i="5" s="1"/>
  <c r="T126" i="5"/>
  <c r="U126" i="5" s="1"/>
  <c r="BV84" i="5"/>
  <c r="BW84" i="5" s="1"/>
  <c r="BT178" i="5"/>
  <c r="BU178" i="5" s="1"/>
  <c r="R152" i="5"/>
  <c r="S152" i="5" s="1"/>
  <c r="AS136" i="5"/>
  <c r="AT136" i="5" s="1"/>
  <c r="AS43" i="5"/>
  <c r="AT43" i="5" s="1"/>
  <c r="AU114" i="5"/>
  <c r="AV114" i="5" s="1"/>
  <c r="BV142" i="5"/>
  <c r="BW142" i="5" s="1"/>
  <c r="T90" i="5"/>
  <c r="U90" i="5" s="1"/>
  <c r="AU109" i="5"/>
  <c r="AV109" i="5" s="1"/>
  <c r="AU62" i="5"/>
  <c r="AV62" i="5" s="1"/>
  <c r="T48" i="5"/>
  <c r="U48" i="5" s="1"/>
  <c r="T51" i="5"/>
  <c r="U51" i="5" s="1"/>
  <c r="BV130" i="5"/>
  <c r="BW130" i="5" s="1"/>
  <c r="AS182" i="5"/>
  <c r="AT182" i="5" s="1"/>
  <c r="AS153" i="5"/>
  <c r="AT153" i="5" s="1"/>
  <c r="BT136" i="5"/>
  <c r="BU136" i="5" s="1"/>
  <c r="BT123" i="5"/>
  <c r="BU123" i="5" s="1"/>
  <c r="AS91" i="5"/>
  <c r="AT91" i="5" s="1"/>
  <c r="AS77" i="5"/>
  <c r="AT77" i="5" s="1"/>
  <c r="AS48" i="5"/>
  <c r="AT48" i="5" s="1"/>
  <c r="BT196" i="5"/>
  <c r="BU196" i="5" s="1"/>
  <c r="BT143" i="5"/>
  <c r="BU143" i="5" s="1"/>
  <c r="AS134" i="5"/>
  <c r="AT134" i="5" s="1"/>
  <c r="AS85" i="5"/>
  <c r="AT85" i="5" s="1"/>
  <c r="AU70" i="5"/>
  <c r="AV70" i="5" s="1"/>
  <c r="T175" i="5"/>
  <c r="U175" i="5" s="1"/>
  <c r="BV149" i="5"/>
  <c r="BW149" i="5" s="1"/>
  <c r="AS148" i="5"/>
  <c r="AT148" i="5" s="1"/>
  <c r="AS35" i="5"/>
  <c r="AT35" i="5" s="1"/>
  <c r="BV48" i="5"/>
  <c r="BW48" i="5" s="1"/>
  <c r="BV134" i="5"/>
  <c r="BW134" i="5" s="1"/>
  <c r="BV115" i="5"/>
  <c r="BW115" i="5" s="1"/>
  <c r="R69" i="5"/>
  <c r="S69" i="5" s="1"/>
  <c r="BV41" i="5"/>
  <c r="BW41" i="5" s="1"/>
  <c r="AU123" i="5"/>
  <c r="AV123" i="5" s="1"/>
  <c r="T71" i="5"/>
  <c r="U71" i="5" s="1"/>
  <c r="T154" i="5"/>
  <c r="U154" i="5" s="1"/>
  <c r="BV90" i="5"/>
  <c r="BW90" i="5" s="1"/>
  <c r="AU157" i="5"/>
  <c r="AV157" i="5" s="1"/>
  <c r="T191" i="5"/>
  <c r="U191" i="5" s="1"/>
  <c r="T140" i="5"/>
  <c r="U140" i="5" s="1"/>
  <c r="T195" i="5"/>
  <c r="U195" i="5" s="1"/>
  <c r="T165" i="5"/>
  <c r="U165" i="5" s="1"/>
  <c r="BT183" i="5"/>
  <c r="BU183" i="5" s="1"/>
  <c r="R154" i="5"/>
  <c r="S154" i="5" s="1"/>
  <c r="BT138" i="5"/>
  <c r="BU138" i="5" s="1"/>
  <c r="BT125" i="5"/>
  <c r="BU125" i="5" s="1"/>
  <c r="AS96" i="5"/>
  <c r="AT96" i="5" s="1"/>
  <c r="AS79" i="5"/>
  <c r="AT79" i="5" s="1"/>
  <c r="BT50" i="5"/>
  <c r="BU50" i="5" s="1"/>
  <c r="BV70" i="5"/>
  <c r="BW70" i="5" s="1"/>
  <c r="AU164" i="5"/>
  <c r="AV164" i="5" s="1"/>
  <c r="BT112" i="5"/>
  <c r="BU112" i="5" s="1"/>
  <c r="BT114" i="5"/>
  <c r="BU114" i="5" s="1"/>
  <c r="AS116" i="5"/>
  <c r="AT116" i="5" s="1"/>
  <c r="BV156" i="5"/>
  <c r="BW156" i="5" s="1"/>
  <c r="AU81" i="5"/>
  <c r="AV81" i="5" s="1"/>
  <c r="AU47" i="5"/>
  <c r="AV47" i="5" s="1"/>
  <c r="T194" i="5"/>
  <c r="U194" i="5" s="1"/>
  <c r="AU40" i="5"/>
  <c r="AV40" i="5" s="1"/>
  <c r="T106" i="5"/>
  <c r="U106" i="5" s="1"/>
  <c r="T89" i="5"/>
  <c r="U89" i="5" s="1"/>
  <c r="T177" i="5"/>
  <c r="U177" i="5" s="1"/>
  <c r="AS189" i="5"/>
  <c r="AT189" i="5" s="1"/>
  <c r="BT155" i="5"/>
  <c r="BU155" i="5" s="1"/>
  <c r="R140" i="5"/>
  <c r="S140" i="5" s="1"/>
  <c r="R129" i="5"/>
  <c r="S129" i="5" s="1"/>
  <c r="AS100" i="5"/>
  <c r="AT100" i="5" s="1"/>
  <c r="BT81" i="5"/>
  <c r="BU81" i="5" s="1"/>
  <c r="AS51" i="5"/>
  <c r="AT51" i="5" s="1"/>
  <c r="BV136" i="5"/>
  <c r="BW136" i="5" s="1"/>
  <c r="R35" i="5"/>
  <c r="S35" i="5" s="1"/>
  <c r="BV97" i="5"/>
  <c r="BW97" i="5" s="1"/>
  <c r="AU141" i="5"/>
  <c r="AV141" i="5" s="1"/>
  <c r="AS89" i="5"/>
  <c r="AT89" i="5" s="1"/>
  <c r="BT90" i="5"/>
  <c r="BU90" i="5" s="1"/>
  <c r="BV106" i="5"/>
  <c r="BW106" i="5" s="1"/>
  <c r="BV63" i="5"/>
  <c r="BW63" i="5" s="1"/>
  <c r="T108" i="5"/>
  <c r="U108" i="5" s="1"/>
  <c r="AU98" i="5"/>
  <c r="AV98" i="5" s="1"/>
  <c r="AU111" i="5"/>
  <c r="AV111" i="5" s="1"/>
  <c r="AU94" i="5"/>
  <c r="AV94" i="5" s="1"/>
  <c r="T176" i="5"/>
  <c r="U176" i="5" s="1"/>
  <c r="BT191" i="5"/>
  <c r="BU191" i="5" s="1"/>
  <c r="AS157" i="5"/>
  <c r="AT157" i="5" s="1"/>
  <c r="R142" i="5"/>
  <c r="S142" i="5" s="1"/>
  <c r="BT130" i="5"/>
  <c r="BU130" i="5" s="1"/>
  <c r="R107" i="5"/>
  <c r="S107" i="5" s="1"/>
  <c r="R84" i="5"/>
  <c r="S84" i="5" s="1"/>
  <c r="R37" i="5"/>
  <c r="S37" i="5" s="1"/>
  <c r="AS39" i="5"/>
  <c r="AT39" i="5" s="1"/>
  <c r="BT41" i="5"/>
  <c r="BU41" i="5" s="1"/>
  <c r="R50" i="5"/>
  <c r="S50" i="5" s="1"/>
  <c r="AS52" i="5"/>
  <c r="AT52" i="5" s="1"/>
  <c r="BT54" i="5"/>
  <c r="BU54" i="5" s="1"/>
  <c r="BT61" i="5"/>
  <c r="BU61" i="5" s="1"/>
  <c r="R65" i="5"/>
  <c r="S65" i="5" s="1"/>
  <c r="AS67" i="5"/>
  <c r="AT67" i="5" s="1"/>
  <c r="BT69" i="5"/>
  <c r="BU69" i="5" s="1"/>
  <c r="R79" i="5"/>
  <c r="S79" i="5" s="1"/>
  <c r="AS81" i="5"/>
  <c r="AT81" i="5" s="1"/>
  <c r="BT83" i="5"/>
  <c r="BU83" i="5" s="1"/>
  <c r="R91" i="5"/>
  <c r="S91" i="5" s="1"/>
  <c r="AS93" i="5"/>
  <c r="AT93" i="5" s="1"/>
  <c r="BT95" i="5"/>
  <c r="BU95" i="5" s="1"/>
  <c r="R99" i="5"/>
  <c r="S99" i="5" s="1"/>
  <c r="AS101" i="5"/>
  <c r="AT101" i="5" s="1"/>
  <c r="AS105" i="5"/>
  <c r="AT105" i="5" s="1"/>
  <c r="BT107" i="5"/>
  <c r="BU107" i="5" s="1"/>
  <c r="R111" i="5"/>
  <c r="S111" i="5" s="1"/>
  <c r="AS113" i="5"/>
  <c r="AT113" i="5" s="1"/>
  <c r="BT115" i="5"/>
  <c r="BU115" i="5" s="1"/>
  <c r="BT119" i="5"/>
  <c r="BU119" i="5" s="1"/>
  <c r="R123" i="5"/>
  <c r="S123" i="5" s="1"/>
  <c r="AS125" i="5"/>
  <c r="AT125" i="5" s="1"/>
  <c r="BT127" i="5"/>
  <c r="BU127" i="5" s="1"/>
  <c r="R131" i="5"/>
  <c r="R135" i="5"/>
  <c r="S135" i="5" s="1"/>
  <c r="AS137" i="5"/>
  <c r="AT137" i="5" s="1"/>
  <c r="BT139" i="5"/>
  <c r="BU139" i="5" s="1"/>
  <c r="R143" i="5"/>
  <c r="S143" i="5" s="1"/>
  <c r="R148" i="5"/>
  <c r="S148" i="5" s="1"/>
  <c r="AS150" i="5"/>
  <c r="AT150" i="5" s="1"/>
  <c r="BT152" i="5"/>
  <c r="BU152" i="5" s="1"/>
  <c r="R156" i="5"/>
  <c r="S156" i="5" s="1"/>
  <c r="AS158" i="5"/>
  <c r="AT158" i="5" s="1"/>
  <c r="AS163" i="5"/>
  <c r="AT163" i="5" s="1"/>
  <c r="BT165" i="5"/>
  <c r="BU165" i="5" s="1"/>
  <c r="R169" i="5"/>
  <c r="S169" i="5" s="1"/>
  <c r="R175" i="5"/>
  <c r="S175" i="5" s="1"/>
  <c r="AS177" i="5"/>
  <c r="AT177" i="5" s="1"/>
  <c r="BT179" i="5"/>
  <c r="BU179" i="5" s="1"/>
  <c r="R183" i="5"/>
  <c r="S183" i="5" s="1"/>
  <c r="R189" i="5"/>
  <c r="S189" i="5" s="1"/>
  <c r="AS191" i="5"/>
  <c r="AT191" i="5" s="1"/>
  <c r="BT193" i="5"/>
  <c r="BU193" i="5" s="1"/>
  <c r="BV127" i="5"/>
  <c r="BW127" i="5" s="1"/>
  <c r="BV163" i="5"/>
  <c r="BW163" i="5" s="1"/>
  <c r="T130" i="5"/>
  <c r="U130" i="5" s="1"/>
  <c r="AU86" i="5"/>
  <c r="AV86" i="5" s="1"/>
  <c r="T142" i="5"/>
  <c r="U142" i="5" s="1"/>
  <c r="T196" i="5"/>
  <c r="U196" i="5" s="1"/>
  <c r="AU77" i="5"/>
  <c r="AV77" i="5" s="1"/>
  <c r="AU113" i="5"/>
  <c r="AV113" i="5" s="1"/>
  <c r="AU175" i="5"/>
  <c r="AV175" i="5" s="1"/>
  <c r="T77" i="5"/>
  <c r="U77" i="5" s="1"/>
  <c r="T113" i="5"/>
  <c r="U113" i="5" s="1"/>
  <c r="T84" i="5"/>
  <c r="U84" i="5" s="1"/>
  <c r="T122" i="5"/>
  <c r="U122" i="5" s="1"/>
  <c r="T170" i="5"/>
  <c r="U170" i="5" s="1"/>
  <c r="AU50" i="5"/>
  <c r="AV50" i="5" s="1"/>
  <c r="AU93" i="5"/>
  <c r="AV93" i="5" s="1"/>
  <c r="AU129" i="5"/>
  <c r="AV129" i="5" s="1"/>
  <c r="AU169" i="5"/>
  <c r="AV169" i="5" s="1"/>
  <c r="BV49" i="5"/>
  <c r="BW49" i="5" s="1"/>
  <c r="BV92" i="5"/>
  <c r="BW92" i="5" s="1"/>
  <c r="BV128" i="5"/>
  <c r="BW128" i="5" s="1"/>
  <c r="BV180" i="5"/>
  <c r="BW180" i="5" s="1"/>
  <c r="BV177" i="5"/>
  <c r="T101" i="5"/>
  <c r="U101" i="5" s="1"/>
  <c r="AU38" i="5"/>
  <c r="AV38" i="5" s="1"/>
  <c r="AU120" i="5"/>
  <c r="BV81" i="5"/>
  <c r="BW81" i="5" s="1"/>
  <c r="T38" i="5"/>
  <c r="U38" i="5" s="1"/>
  <c r="AU37" i="5"/>
  <c r="AV37" i="5" s="1"/>
  <c r="AU119" i="5"/>
  <c r="AV119" i="5" s="1"/>
  <c r="BV98" i="5"/>
  <c r="BW98" i="5" s="1"/>
  <c r="AU54" i="5"/>
  <c r="AV54" i="5" s="1"/>
  <c r="AU135" i="5"/>
  <c r="AV135" i="5" s="1"/>
  <c r="BV114" i="5"/>
  <c r="BW114" i="5" s="1"/>
  <c r="T49" i="5"/>
  <c r="U49" i="5" s="1"/>
  <c r="T149" i="5"/>
  <c r="U149" i="5" s="1"/>
  <c r="AU91" i="5"/>
  <c r="AV91" i="5" s="1"/>
  <c r="AU191" i="5"/>
  <c r="AV191" i="5" s="1"/>
  <c r="AU177" i="5"/>
  <c r="AV177" i="5" s="1"/>
  <c r="T183" i="5"/>
  <c r="U183" i="5" s="1"/>
  <c r="BV105" i="5"/>
  <c r="BW105" i="5" s="1"/>
  <c r="BV109" i="5"/>
  <c r="BW109" i="5" s="1"/>
  <c r="AU110" i="5"/>
  <c r="AV110" i="5" s="1"/>
  <c r="T111" i="5"/>
  <c r="U111" i="5" s="1"/>
  <c r="AU176" i="5"/>
  <c r="AV176" i="5" s="1"/>
  <c r="BV86" i="5"/>
  <c r="BW86" i="5" s="1"/>
  <c r="T120" i="5"/>
  <c r="U120" i="5" s="1"/>
  <c r="BV71" i="5"/>
  <c r="BW71" i="5" s="1"/>
  <c r="R38" i="5"/>
  <c r="S38" i="5" s="1"/>
  <c r="AS40" i="5"/>
  <c r="AT40" i="5" s="1"/>
  <c r="BT42" i="5"/>
  <c r="BU42" i="5" s="1"/>
  <c r="BT47" i="5"/>
  <c r="BU47" i="5" s="1"/>
  <c r="R51" i="5"/>
  <c r="S51" i="5" s="1"/>
  <c r="AS53" i="5"/>
  <c r="AT53" i="5" s="1"/>
  <c r="BT55" i="5"/>
  <c r="BU55" i="5" s="1"/>
  <c r="BT62" i="5"/>
  <c r="BU62" i="5" s="1"/>
  <c r="R66" i="5"/>
  <c r="S66" i="5" s="1"/>
  <c r="AS68" i="5"/>
  <c r="AT68" i="5" s="1"/>
  <c r="BT70" i="5"/>
  <c r="BU70" i="5" s="1"/>
  <c r="BT76" i="5"/>
  <c r="BU76" i="5" s="1"/>
  <c r="R80" i="5"/>
  <c r="S80" i="5" s="1"/>
  <c r="AS82" i="5"/>
  <c r="AT82" i="5" s="1"/>
  <c r="BT84" i="5"/>
  <c r="BU84" i="5" s="1"/>
  <c r="R92" i="5"/>
  <c r="S92" i="5" s="1"/>
  <c r="AS94" i="5"/>
  <c r="AT94" i="5" s="1"/>
  <c r="BT96" i="5"/>
  <c r="BU96" i="5" s="1"/>
  <c r="R100" i="5"/>
  <c r="S100" i="5" s="1"/>
  <c r="R104" i="5"/>
  <c r="S104" i="5" s="1"/>
  <c r="AS106" i="5"/>
  <c r="AT106" i="5" s="1"/>
  <c r="BT108" i="5"/>
  <c r="BU108" i="5" s="1"/>
  <c r="R112" i="5"/>
  <c r="S112" i="5" s="1"/>
  <c r="AS114" i="5"/>
  <c r="AT114" i="5" s="1"/>
  <c r="BT116" i="5"/>
  <c r="BU116" i="5" s="1"/>
  <c r="BT120" i="5"/>
  <c r="BU120" i="5" s="1"/>
  <c r="R124" i="5"/>
  <c r="S124" i="5" s="1"/>
  <c r="AS126" i="5"/>
  <c r="AT126" i="5" s="1"/>
  <c r="BT128" i="5"/>
  <c r="BU128" i="5" s="1"/>
  <c r="R136" i="5"/>
  <c r="S136" i="5" s="1"/>
  <c r="AS138" i="5"/>
  <c r="AT138" i="5" s="1"/>
  <c r="R144" i="5"/>
  <c r="S144" i="5" s="1"/>
  <c r="R149" i="5"/>
  <c r="S149" i="5" s="1"/>
  <c r="AS151" i="5"/>
  <c r="AT151" i="5" s="1"/>
  <c r="BT153" i="5"/>
  <c r="BU153" i="5" s="1"/>
  <c r="R157" i="5"/>
  <c r="S157" i="5" s="1"/>
  <c r="R162" i="5"/>
  <c r="S162" i="5" s="1"/>
  <c r="AS164" i="5"/>
  <c r="AT164" i="5" s="1"/>
  <c r="BT166" i="5"/>
  <c r="BU166" i="5" s="1"/>
  <c r="R170" i="5"/>
  <c r="S170" i="5" s="1"/>
  <c r="R176" i="5"/>
  <c r="S176" i="5" s="1"/>
  <c r="AS178" i="5"/>
  <c r="AT178" i="5" s="1"/>
  <c r="BT180" i="5"/>
  <c r="BU180" i="5" s="1"/>
  <c r="R190" i="5"/>
  <c r="S190" i="5" s="1"/>
  <c r="AS192" i="5"/>
  <c r="AT192" i="5" s="1"/>
  <c r="BT194" i="5"/>
  <c r="BU194" i="5" s="1"/>
  <c r="BV126" i="5"/>
  <c r="BW126" i="5" s="1"/>
  <c r="AU42" i="5"/>
  <c r="AV42" i="5" s="1"/>
  <c r="AU96" i="5"/>
  <c r="AV96" i="5" s="1"/>
  <c r="BV148" i="5"/>
  <c r="BW148" i="5" s="1"/>
  <c r="BV131" i="5"/>
  <c r="BW131" i="5" s="1"/>
  <c r="T53" i="5"/>
  <c r="U53" i="5" s="1"/>
  <c r="T96" i="5"/>
  <c r="U96" i="5" s="1"/>
  <c r="BV51" i="5"/>
  <c r="BW51" i="5" s="1"/>
  <c r="BV104" i="5"/>
  <c r="BW104" i="5" s="1"/>
  <c r="BV140" i="5"/>
  <c r="BW140" i="5" s="1"/>
  <c r="T163" i="5"/>
  <c r="U163" i="5" s="1"/>
  <c r="AU64" i="5"/>
  <c r="AV64" i="5" s="1"/>
  <c r="AU104" i="5"/>
  <c r="AV104" i="5" s="1"/>
  <c r="AU140" i="5"/>
  <c r="AV140" i="5" s="1"/>
  <c r="BV39" i="5"/>
  <c r="BW39" i="5" s="1"/>
  <c r="BV111" i="5"/>
  <c r="BW111" i="5" s="1"/>
  <c r="T61" i="5"/>
  <c r="U61" i="5" s="1"/>
  <c r="T109" i="5"/>
  <c r="U109" i="5" s="1"/>
  <c r="T156" i="5"/>
  <c r="U156" i="5" s="1"/>
  <c r="AU36" i="5"/>
  <c r="AV36" i="5" s="1"/>
  <c r="AU80" i="5"/>
  <c r="AV80" i="5" s="1"/>
  <c r="AU116" i="5"/>
  <c r="AV116" i="5" s="1"/>
  <c r="AU166" i="5"/>
  <c r="AV166" i="5" s="1"/>
  <c r="BV107" i="5"/>
  <c r="BW107" i="5" s="1"/>
  <c r="BV179" i="5"/>
  <c r="BW179" i="5" s="1"/>
  <c r="BV178" i="5"/>
  <c r="BW178" i="5" s="1"/>
  <c r="T98" i="5"/>
  <c r="U98" i="5" s="1"/>
  <c r="AU35" i="5"/>
  <c r="BV108" i="5"/>
  <c r="BW108" i="5" s="1"/>
  <c r="BV164" i="5"/>
  <c r="BW164" i="5" s="1"/>
  <c r="AU43" i="5"/>
  <c r="AV43" i="5" s="1"/>
  <c r="BV91" i="5"/>
  <c r="BW91" i="5" s="1"/>
  <c r="AU92" i="5"/>
  <c r="AV92" i="5" s="1"/>
  <c r="T93" i="5"/>
  <c r="U93" i="5" s="1"/>
  <c r="BV125" i="5"/>
  <c r="BW125" i="5" s="1"/>
  <c r="T189" i="5"/>
  <c r="U189" i="5" s="1"/>
  <c r="BV66" i="5"/>
  <c r="BW66" i="5" s="1"/>
  <c r="T190" i="5"/>
  <c r="U190" i="5" s="1"/>
  <c r="BV158" i="5"/>
  <c r="BW158" i="5" s="1"/>
  <c r="BV77" i="5"/>
  <c r="BW77" i="5" s="1"/>
  <c r="AU78" i="5"/>
  <c r="AV78" i="5" s="1"/>
  <c r="T35" i="5"/>
  <c r="T69" i="5"/>
  <c r="U69" i="5" s="1"/>
  <c r="T43" i="5"/>
  <c r="BT35" i="5"/>
  <c r="R39" i="5"/>
  <c r="S39" i="5" s="1"/>
  <c r="AS41" i="5"/>
  <c r="AT41" i="5" s="1"/>
  <c r="BT43" i="5"/>
  <c r="BU43" i="5" s="1"/>
  <c r="BT48" i="5"/>
  <c r="BU48" i="5" s="1"/>
  <c r="R52" i="5"/>
  <c r="S52" i="5" s="1"/>
  <c r="AS54" i="5"/>
  <c r="AT54" i="5" s="1"/>
  <c r="AS61" i="5"/>
  <c r="AT61" i="5" s="1"/>
  <c r="BT63" i="5"/>
  <c r="BU63" i="5" s="1"/>
  <c r="R67" i="5"/>
  <c r="S67" i="5" s="1"/>
  <c r="AS69" i="5"/>
  <c r="AT69" i="5" s="1"/>
  <c r="BT71" i="5"/>
  <c r="BU71" i="5" s="1"/>
  <c r="BT77" i="5"/>
  <c r="BU77" i="5" s="1"/>
  <c r="R81" i="5"/>
  <c r="S81" i="5" s="1"/>
  <c r="AS83" i="5"/>
  <c r="AT83" i="5" s="1"/>
  <c r="BT85" i="5"/>
  <c r="BU85" i="5" s="1"/>
  <c r="BT89" i="5"/>
  <c r="BU89" i="5" s="1"/>
  <c r="R93" i="5"/>
  <c r="S93" i="5" s="1"/>
  <c r="AS95" i="5"/>
  <c r="AT95" i="5" s="1"/>
  <c r="BT97" i="5"/>
  <c r="BU97" i="5" s="1"/>
  <c r="R101" i="5"/>
  <c r="S101" i="5" s="1"/>
  <c r="R105" i="5"/>
  <c r="S105" i="5" s="1"/>
  <c r="AS107" i="5"/>
  <c r="AT107" i="5" s="1"/>
  <c r="BT109" i="5"/>
  <c r="BU109" i="5" s="1"/>
  <c r="R113" i="5"/>
  <c r="S113" i="5" s="1"/>
  <c r="AS115" i="5"/>
  <c r="AT115" i="5" s="1"/>
  <c r="AS119" i="5"/>
  <c r="AT119" i="5" s="1"/>
  <c r="BT121" i="5"/>
  <c r="BU121" i="5" s="1"/>
  <c r="R125" i="5"/>
  <c r="S125" i="5" s="1"/>
  <c r="AS127" i="5"/>
  <c r="AT127" i="5" s="1"/>
  <c r="BT129" i="5"/>
  <c r="BU129" i="5" s="1"/>
  <c r="R137" i="5"/>
  <c r="S137" i="5" s="1"/>
  <c r="AS139" i="5"/>
  <c r="AT139" i="5" s="1"/>
  <c r="BT141" i="5"/>
  <c r="BU141" i="5" s="1"/>
  <c r="R150" i="5"/>
  <c r="S150" i="5" s="1"/>
  <c r="AS152" i="5"/>
  <c r="AT152" i="5" s="1"/>
  <c r="R158" i="5"/>
  <c r="S158" i="5" s="1"/>
  <c r="R163" i="5"/>
  <c r="S163" i="5" s="1"/>
  <c r="AS165" i="5"/>
  <c r="AT165" i="5" s="1"/>
  <c r="BT167" i="5"/>
  <c r="BU167" i="5" s="1"/>
  <c r="R177" i="5"/>
  <c r="S177" i="5" s="1"/>
  <c r="AS179" i="5"/>
  <c r="AT179" i="5" s="1"/>
  <c r="BT181" i="5"/>
  <c r="BU181" i="5" s="1"/>
  <c r="R191" i="5"/>
  <c r="S191" i="5" s="1"/>
  <c r="AS193" i="5"/>
  <c r="AT193" i="5" s="1"/>
  <c r="BT195" i="5"/>
  <c r="BU195" i="5" s="1"/>
  <c r="T137" i="5"/>
  <c r="U137" i="5" s="1"/>
  <c r="BV124" i="5"/>
  <c r="BW124" i="5" s="1"/>
  <c r="BV85" i="5"/>
  <c r="BW85" i="5" s="1"/>
  <c r="T144" i="5"/>
  <c r="U144" i="5" s="1"/>
  <c r="T134" i="5"/>
  <c r="U134" i="5" s="1"/>
  <c r="T188" i="5"/>
  <c r="U188" i="5" s="1"/>
  <c r="AU65" i="5"/>
  <c r="AV65" i="5" s="1"/>
  <c r="AU105" i="5"/>
  <c r="AV105" i="5" s="1"/>
  <c r="AU163" i="5"/>
  <c r="AV163" i="5" s="1"/>
  <c r="BV40" i="5"/>
  <c r="BW40" i="5" s="1"/>
  <c r="T65" i="5"/>
  <c r="U65" i="5" s="1"/>
  <c r="T105" i="5"/>
  <c r="U105" i="5" s="1"/>
  <c r="T76" i="5"/>
  <c r="U76" i="5" s="1"/>
  <c r="T112" i="5"/>
  <c r="U112" i="5" s="1"/>
  <c r="T162" i="5"/>
  <c r="U162" i="5" s="1"/>
  <c r="AU39" i="5"/>
  <c r="AV39" i="5" s="1"/>
  <c r="AU83" i="5"/>
  <c r="AV83" i="5" s="1"/>
  <c r="AU121" i="5"/>
  <c r="AV121" i="5" s="1"/>
  <c r="AU158" i="5"/>
  <c r="AV158" i="5" s="1"/>
  <c r="BV38" i="5"/>
  <c r="BW38" i="5" s="1"/>
  <c r="BV82" i="5"/>
  <c r="BW82" i="5" s="1"/>
  <c r="BV120" i="5"/>
  <c r="BW120" i="5" s="1"/>
  <c r="BV168" i="5"/>
  <c r="BW168" i="5" s="1"/>
  <c r="BV43" i="5"/>
  <c r="BW43" i="5" s="1"/>
  <c r="T63" i="5"/>
  <c r="U63" i="5" s="1"/>
  <c r="T181" i="5"/>
  <c r="U181" i="5" s="1"/>
  <c r="AU100" i="5"/>
  <c r="AV100" i="5" s="1"/>
  <c r="BV37" i="5"/>
  <c r="T100" i="5"/>
  <c r="U100" i="5" s="1"/>
  <c r="AU99" i="5"/>
  <c r="AV99" i="5" s="1"/>
  <c r="AU115" i="5"/>
  <c r="AV115" i="5" s="1"/>
  <c r="BV96" i="5"/>
  <c r="BW96" i="5" s="1"/>
  <c r="BV196" i="5"/>
  <c r="BW196" i="5" s="1"/>
  <c r="T128" i="5"/>
  <c r="U128" i="5" s="1"/>
  <c r="AU69" i="5"/>
  <c r="AV69" i="5" s="1"/>
  <c r="AU167" i="5"/>
  <c r="AV167" i="5" s="1"/>
  <c r="T47" i="5"/>
  <c r="U47" i="5" s="1"/>
  <c r="T168" i="5"/>
  <c r="U168" i="5" s="1"/>
  <c r="BV141" i="5"/>
  <c r="BW141" i="5" s="1"/>
  <c r="AU66" i="5"/>
  <c r="AV66" i="5" s="1"/>
  <c r="BV191" i="5"/>
  <c r="BW191" i="5" s="1"/>
  <c r="AU149" i="5"/>
  <c r="AV149" i="5" s="1"/>
  <c r="T150" i="5"/>
  <c r="U150" i="5" s="1"/>
  <c r="BV182" i="5"/>
  <c r="BW182" i="5" s="1"/>
  <c r="BV78" i="5"/>
  <c r="BW78" i="5" s="1"/>
  <c r="BV67" i="5"/>
  <c r="BT36" i="5"/>
  <c r="BU36" i="5" s="1"/>
  <c r="R40" i="5"/>
  <c r="S40" i="5" s="1"/>
  <c r="AS42" i="5"/>
  <c r="AT42" i="5" s="1"/>
  <c r="AS47" i="5"/>
  <c r="AT47" i="5" s="1"/>
  <c r="BT49" i="5"/>
  <c r="BU49" i="5" s="1"/>
  <c r="R53" i="5"/>
  <c r="S53" i="5" s="1"/>
  <c r="AS55" i="5"/>
  <c r="AT55" i="5" s="1"/>
  <c r="AS62" i="5"/>
  <c r="AT62" i="5" s="1"/>
  <c r="BT64" i="5"/>
  <c r="BU64" i="5" s="1"/>
  <c r="R68" i="5"/>
  <c r="S68" i="5" s="1"/>
  <c r="AS76" i="5"/>
  <c r="AT76" i="5" s="1"/>
  <c r="BT78" i="5"/>
  <c r="BU78" i="5" s="1"/>
  <c r="R82" i="5"/>
  <c r="S82" i="5" s="1"/>
  <c r="AS36" i="5"/>
  <c r="BT38" i="5"/>
  <c r="BU38" i="5" s="1"/>
  <c r="AS37" i="5"/>
  <c r="AT37" i="5" s="1"/>
  <c r="BT40" i="5"/>
  <c r="BU40" i="5" s="1"/>
  <c r="R43" i="5"/>
  <c r="S43" i="5" s="1"/>
  <c r="R48" i="5"/>
  <c r="S48" i="5" s="1"/>
  <c r="AS50" i="5"/>
  <c r="AT50" i="5" s="1"/>
  <c r="BT52" i="5"/>
  <c r="BU52" i="5" s="1"/>
  <c r="R94" i="5"/>
  <c r="S94" i="5" s="1"/>
  <c r="R96" i="5"/>
  <c r="S96" i="5" s="1"/>
  <c r="R98" i="5"/>
  <c r="S98" i="5" s="1"/>
  <c r="BT99" i="5"/>
  <c r="BU99" i="5" s="1"/>
  <c r="BT101" i="5"/>
  <c r="BU101" i="5" s="1"/>
  <c r="R114" i="5"/>
  <c r="S114" i="5" s="1"/>
  <c r="R116" i="5"/>
  <c r="S116" i="5" s="1"/>
  <c r="AS121" i="5"/>
  <c r="AT121" i="5" s="1"/>
  <c r="AS123" i="5"/>
  <c r="AT123" i="5" s="1"/>
  <c r="AS141" i="5"/>
  <c r="AT141" i="5" s="1"/>
  <c r="AS143" i="5"/>
  <c r="AT143" i="5" s="1"/>
  <c r="BT149" i="5"/>
  <c r="BU149" i="5" s="1"/>
  <c r="BT151" i="5"/>
  <c r="BU151" i="5" s="1"/>
  <c r="R165" i="5"/>
  <c r="S165" i="5" s="1"/>
  <c r="R167" i="5"/>
  <c r="S167" i="5" s="1"/>
  <c r="BT168" i="5"/>
  <c r="BU168" i="5" s="1"/>
  <c r="BT170" i="5"/>
  <c r="BU170" i="5" s="1"/>
  <c r="AS176" i="5"/>
  <c r="AT176" i="5" s="1"/>
  <c r="AS194" i="5"/>
  <c r="AT194" i="5" s="1"/>
  <c r="AS196" i="5"/>
  <c r="AT196" i="5" s="1"/>
  <c r="BV162" i="5"/>
  <c r="BW162" i="5" s="1"/>
  <c r="K18" i="5"/>
  <c r="AU134" i="5"/>
  <c r="AV134" i="5" s="1"/>
  <c r="T153" i="5"/>
  <c r="U153" i="5" s="1"/>
  <c r="BV76" i="5"/>
  <c r="BW76" i="5" s="1"/>
  <c r="T152" i="5"/>
  <c r="U152" i="5" s="1"/>
  <c r="AU84" i="5"/>
  <c r="AV84" i="5" s="1"/>
  <c r="AU151" i="5"/>
  <c r="AV151" i="5" s="1"/>
  <c r="AU150" i="5"/>
  <c r="AV150" i="5" s="1"/>
  <c r="BV62" i="5"/>
  <c r="BW62" i="5" s="1"/>
  <c r="T37" i="5"/>
  <c r="U37" i="5" s="1"/>
  <c r="AU144" i="5"/>
  <c r="AV144" i="5" s="1"/>
  <c r="BV89" i="5"/>
  <c r="BW89" i="5" s="1"/>
  <c r="T139" i="5"/>
  <c r="U139" i="5" s="1"/>
  <c r="AU138" i="5"/>
  <c r="AV138" i="5" s="1"/>
  <c r="BV137" i="5"/>
  <c r="BW137" i="5" s="1"/>
  <c r="AU79" i="5"/>
  <c r="AV79" i="5" s="1"/>
  <c r="BV181" i="5"/>
  <c r="BW181" i="5" s="1"/>
  <c r="T166" i="5"/>
  <c r="U166" i="5" s="1"/>
  <c r="AU49" i="5"/>
  <c r="AV49" i="5" s="1"/>
  <c r="AU67" i="5"/>
  <c r="AV67" i="5" s="1"/>
  <c r="AU148" i="5"/>
  <c r="AV148" i="5" s="1"/>
  <c r="T164" i="5"/>
  <c r="U164" i="5" s="1"/>
  <c r="T107" i="5"/>
  <c r="U107" i="5" s="1"/>
  <c r="T79" i="5"/>
  <c r="U79" i="5" s="1"/>
  <c r="T52" i="5"/>
  <c r="U52" i="5" s="1"/>
  <c r="R54" i="5"/>
  <c r="S54" i="5" s="1"/>
  <c r="R61" i="5"/>
  <c r="S61" i="5" s="1"/>
  <c r="AS63" i="5"/>
  <c r="AT63" i="5" s="1"/>
  <c r="BT65" i="5"/>
  <c r="BU65" i="5" s="1"/>
  <c r="R76" i="5"/>
  <c r="S76" i="5" s="1"/>
  <c r="F9" i="10" s="1"/>
  <c r="AS78" i="5"/>
  <c r="AT78" i="5" s="1"/>
  <c r="BT80" i="5"/>
  <c r="BU80" i="5" s="1"/>
  <c r="AS97" i="5"/>
  <c r="AT97" i="5" s="1"/>
  <c r="AS99" i="5"/>
  <c r="AT99" i="5" s="1"/>
  <c r="BT104" i="5"/>
  <c r="BU104" i="5" s="1"/>
  <c r="BT106" i="5"/>
  <c r="BU106" i="5" s="1"/>
  <c r="R119" i="5"/>
  <c r="R121" i="5"/>
  <c r="S121" i="5" s="1"/>
  <c r="BT122" i="5"/>
  <c r="BU122" i="5" s="1"/>
  <c r="BT124" i="5"/>
  <c r="BU124" i="5" s="1"/>
  <c r="BT126" i="5"/>
  <c r="BU126" i="5" s="1"/>
  <c r="R139" i="5"/>
  <c r="S139" i="5" s="1"/>
  <c r="R141" i="5"/>
  <c r="S141" i="5" s="1"/>
  <c r="BT142" i="5"/>
  <c r="BU142" i="5" s="1"/>
  <c r="BT144" i="5"/>
  <c r="BU144" i="5" s="1"/>
  <c r="AS149" i="5"/>
  <c r="AT149" i="5" s="1"/>
  <c r="AS166" i="5"/>
  <c r="AT166" i="5" s="1"/>
  <c r="AS168" i="5"/>
  <c r="AT168" i="5" s="1"/>
  <c r="AS170" i="5"/>
  <c r="AT170" i="5" s="1"/>
  <c r="R194" i="5"/>
  <c r="S194" i="5" s="1"/>
  <c r="R196" i="5"/>
  <c r="S196" i="5" s="1"/>
  <c r="T124" i="5"/>
  <c r="U124" i="5" s="1"/>
  <c r="T131" i="5"/>
  <c r="U131" i="5" s="1"/>
  <c r="AU76" i="5"/>
  <c r="AV76" i="5" s="1"/>
  <c r="BV83" i="5"/>
  <c r="BW83" i="5" s="1"/>
  <c r="AU71" i="5"/>
  <c r="AV71" i="5" s="1"/>
  <c r="AU68" i="5"/>
  <c r="AV68" i="5" s="1"/>
  <c r="T121" i="5"/>
  <c r="U121" i="5" s="1"/>
  <c r="BV119" i="5"/>
  <c r="BW119" i="5" s="1"/>
  <c r="AU179" i="5"/>
  <c r="AV179" i="5" s="1"/>
  <c r="BV47" i="5"/>
  <c r="BW47" i="5" s="1"/>
  <c r="AU107" i="5"/>
  <c r="AV107" i="5" s="1"/>
  <c r="T115" i="5"/>
  <c r="U115" i="5" s="1"/>
  <c r="T138" i="5"/>
  <c r="U138" i="5" s="1"/>
  <c r="R64" i="5"/>
  <c r="AS66" i="5"/>
  <c r="AT66" i="5" s="1"/>
  <c r="BT68" i="5"/>
  <c r="BU68" i="5" s="1"/>
  <c r="AS70" i="5"/>
  <c r="AT70" i="5" s="1"/>
  <c r="R83" i="5"/>
  <c r="S83" i="5" s="1"/>
  <c r="R85" i="5"/>
  <c r="S85" i="5" s="1"/>
  <c r="BT86" i="5"/>
  <c r="BU86" i="5" s="1"/>
  <c r="AS90" i="5"/>
  <c r="AT90" i="5" s="1"/>
  <c r="AS92" i="5"/>
  <c r="AT92" i="5" s="1"/>
  <c r="AS108" i="5"/>
  <c r="AT108" i="5" s="1"/>
  <c r="AS110" i="5"/>
  <c r="AT110" i="5" s="1"/>
  <c r="AS112" i="5"/>
  <c r="AT112" i="5" s="1"/>
  <c r="AS128" i="5"/>
  <c r="AS130" i="5"/>
  <c r="AT130" i="5" s="1"/>
  <c r="R134" i="5"/>
  <c r="S134" i="5" s="1"/>
  <c r="BT135" i="5"/>
  <c r="BU135" i="5" s="1"/>
  <c r="BT137" i="5"/>
  <c r="BU137" i="5" s="1"/>
  <c r="R151" i="5"/>
  <c r="S151" i="5" s="1"/>
  <c r="R153" i="5"/>
  <c r="S153" i="5" s="1"/>
  <c r="BT156" i="5"/>
  <c r="BU156" i="5" s="1"/>
  <c r="BT158" i="5"/>
  <c r="BU158" i="5" s="1"/>
  <c r="AS181" i="5"/>
  <c r="AT181" i="5" s="1"/>
  <c r="AS183" i="5"/>
  <c r="AT183" i="5" s="1"/>
  <c r="BT188" i="5"/>
  <c r="BU188" i="5" s="1"/>
  <c r="BT190" i="5"/>
  <c r="BU190" i="5" s="1"/>
  <c r="BT192" i="5"/>
  <c r="BU192" i="5" s="1"/>
  <c r="T141" i="5"/>
  <c r="U141" i="5" s="1"/>
  <c r="T158" i="5"/>
  <c r="U158" i="5" s="1"/>
  <c r="T125" i="5"/>
  <c r="U125" i="5" s="1"/>
  <c r="T78" i="5"/>
  <c r="U78" i="5" s="1"/>
  <c r="AU52" i="5"/>
  <c r="AV52" i="5" s="1"/>
  <c r="AU131" i="5"/>
  <c r="AV131" i="5" s="1"/>
  <c r="AU130" i="5"/>
  <c r="AV130" i="5" s="1"/>
  <c r="BV93" i="5"/>
  <c r="BW93" i="5" s="1"/>
  <c r="BV193" i="5"/>
  <c r="BW193" i="5" s="1"/>
  <c r="T104" i="5"/>
  <c r="U104" i="5" s="1"/>
  <c r="T182" i="5"/>
  <c r="U182" i="5" s="1"/>
  <c r="BV110" i="5"/>
  <c r="BW110" i="5" s="1"/>
  <c r="T99" i="5"/>
  <c r="U99" i="5" s="1"/>
  <c r="T179" i="5"/>
  <c r="U179" i="5" s="1"/>
  <c r="AU90" i="5"/>
  <c r="AV90" i="5" s="1"/>
  <c r="BV79" i="5"/>
  <c r="BW79" i="5" s="1"/>
  <c r="BV143" i="5"/>
  <c r="BW143" i="5" s="1"/>
  <c r="AU61" i="5"/>
  <c r="AV61" i="5" s="1"/>
  <c r="T55" i="5"/>
  <c r="U55" i="5" s="1"/>
  <c r="BV53" i="5"/>
  <c r="BW53" i="5" s="1"/>
  <c r="T92" i="5"/>
  <c r="U92" i="5" s="1"/>
  <c r="BV68" i="5"/>
  <c r="BW68" i="5" s="1"/>
  <c r="AU89" i="5"/>
  <c r="AV89" i="5" s="1"/>
  <c r="BV188" i="5"/>
  <c r="BW188" i="5" s="1"/>
  <c r="AU192" i="5"/>
  <c r="AV192" i="5" s="1"/>
  <c r="AU196" i="5"/>
  <c r="AV196" i="5" s="1"/>
  <c r="T70" i="5"/>
  <c r="U70" i="5" s="1"/>
  <c r="BT39" i="5"/>
  <c r="BU39" i="5" s="1"/>
  <c r="R192" i="5"/>
  <c r="S192" i="5" s="1"/>
  <c r="T97" i="5"/>
  <c r="U97" i="5" s="1"/>
  <c r="AU195" i="5"/>
  <c r="AV195" i="5" s="1"/>
  <c r="T41" i="5"/>
  <c r="U41" i="5" s="1"/>
  <c r="BV139" i="5"/>
  <c r="BW139" i="5" s="1"/>
  <c r="AU139" i="5"/>
  <c r="AV139" i="5" s="1"/>
  <c r="BV192" i="5"/>
  <c r="BW192" i="5" s="1"/>
  <c r="AU136" i="5"/>
  <c r="AV136" i="5" s="1"/>
  <c r="AU48" i="5"/>
  <c r="AV48" i="5" s="1"/>
  <c r="BV190" i="5"/>
  <c r="BW190" i="5" s="1"/>
  <c r="AU142" i="5"/>
  <c r="AV142" i="5" s="1"/>
  <c r="BV113" i="5"/>
  <c r="BW113" i="5" s="1"/>
  <c r="R42" i="5"/>
  <c r="S42" i="5" s="1"/>
  <c r="R47" i="5"/>
  <c r="S47" i="5" s="1"/>
  <c r="AS49" i="5"/>
  <c r="AT49" i="5" s="1"/>
  <c r="BT51" i="5"/>
  <c r="BU51" i="5" s="1"/>
  <c r="R70" i="5"/>
  <c r="S70" i="5" s="1"/>
  <c r="AS84" i="5"/>
  <c r="AT84" i="5" s="1"/>
  <c r="AS86" i="5"/>
  <c r="AT86" i="5" s="1"/>
  <c r="R90" i="5"/>
  <c r="S90" i="5" s="1"/>
  <c r="BT91" i="5"/>
  <c r="BU91" i="5" s="1"/>
  <c r="BT93" i="5"/>
  <c r="BU93" i="5" s="1"/>
  <c r="R106" i="5"/>
  <c r="S106" i="5" s="1"/>
  <c r="R108" i="5"/>
  <c r="S108" i="5" s="1"/>
  <c r="R110" i="5"/>
  <c r="S110" i="5" s="1"/>
  <c r="BT111" i="5"/>
  <c r="BU111" i="5" s="1"/>
  <c r="BT113" i="5"/>
  <c r="BU113" i="5" s="1"/>
  <c r="R126" i="5"/>
  <c r="S126" i="5" s="1"/>
  <c r="R128" i="5"/>
  <c r="S128" i="5" s="1"/>
  <c r="R130" i="5"/>
  <c r="S130" i="5" s="1"/>
  <c r="BT131" i="5"/>
  <c r="BU131" i="5" s="1"/>
  <c r="AS135" i="5"/>
  <c r="AT135" i="5" s="1"/>
  <c r="AS154" i="5"/>
  <c r="AT154" i="5" s="1"/>
  <c r="AS156" i="5"/>
  <c r="AT156" i="5" s="1"/>
  <c r="BT162" i="5"/>
  <c r="BU162" i="5" s="1"/>
  <c r="BT164" i="5"/>
  <c r="BU164" i="5" s="1"/>
  <c r="R179" i="5"/>
  <c r="S179" i="5" s="1"/>
  <c r="R181" i="5"/>
  <c r="S181" i="5" s="1"/>
  <c r="BT182" i="5"/>
  <c r="BU182" i="5" s="1"/>
  <c r="AS188" i="5"/>
  <c r="AT188" i="5" s="1"/>
  <c r="AS190" i="5"/>
  <c r="AT190" i="5" s="1"/>
  <c r="AU170" i="5"/>
  <c r="AV170" i="5" s="1"/>
  <c r="AU53" i="5"/>
  <c r="AV53" i="5" s="1"/>
  <c r="BV95" i="5"/>
  <c r="BW95" i="5" s="1"/>
  <c r="BV123" i="5"/>
  <c r="BW123" i="5" s="1"/>
  <c r="T66" i="5"/>
  <c r="U66" i="5" s="1"/>
  <c r="AU41" i="5"/>
  <c r="AV41" i="5" s="1"/>
  <c r="BV112" i="5"/>
  <c r="BW112" i="5" s="1"/>
  <c r="T123" i="5"/>
  <c r="U123" i="5" s="1"/>
  <c r="AU51" i="5"/>
  <c r="AV51" i="5" s="1"/>
  <c r="AU122" i="5"/>
  <c r="AV122" i="5" s="1"/>
  <c r="T94" i="5"/>
  <c r="U94" i="5" s="1"/>
  <c r="AU193" i="5"/>
  <c r="AV193" i="5" s="1"/>
  <c r="BV100" i="5"/>
  <c r="BW100" i="5" s="1"/>
  <c r="T91" i="5"/>
  <c r="U91" i="5" s="1"/>
  <c r="T167" i="5"/>
  <c r="U167" i="5" s="1"/>
  <c r="BV35" i="5"/>
  <c r="BV135" i="5"/>
  <c r="BW135" i="5" s="1"/>
  <c r="AU82" i="5"/>
  <c r="AV82" i="5" s="1"/>
  <c r="T36" i="5"/>
  <c r="U36" i="5" s="1"/>
  <c r="AU154" i="5"/>
  <c r="AV154" i="5" s="1"/>
  <c r="BV154" i="5"/>
  <c r="BW154" i="5" s="1"/>
  <c r="AU168" i="5"/>
  <c r="AV168" i="5" s="1"/>
  <c r="T50" i="5"/>
  <c r="U50" i="5" s="1"/>
  <c r="AU106" i="5"/>
  <c r="AV106" i="5" s="1"/>
  <c r="BV69" i="5"/>
  <c r="BW69" i="5" s="1"/>
  <c r="R36" i="5"/>
  <c r="S36" i="5" s="1"/>
  <c r="R63" i="5"/>
  <c r="S63" i="5" s="1"/>
  <c r="AS65" i="5"/>
  <c r="AT65" i="5" s="1"/>
  <c r="BT67" i="5"/>
  <c r="R78" i="5"/>
  <c r="S78" i="5" s="1"/>
  <c r="AS80" i="5"/>
  <c r="AT80" i="5" s="1"/>
  <c r="BT82" i="5"/>
  <c r="BU82" i="5" s="1"/>
  <c r="R95" i="5"/>
  <c r="S95" i="5" s="1"/>
  <c r="R97" i="5"/>
  <c r="S97" i="5" s="1"/>
  <c r="BT98" i="5"/>
  <c r="BU98" i="5" s="1"/>
  <c r="BT100" i="5"/>
  <c r="BU100" i="5" s="1"/>
  <c r="AS104" i="5"/>
  <c r="AT104" i="5" s="1"/>
  <c r="R115" i="5"/>
  <c r="S115" i="5" s="1"/>
  <c r="AS120" i="5"/>
  <c r="AT120" i="5" s="1"/>
  <c r="AS122" i="5"/>
  <c r="AT122" i="5" s="1"/>
  <c r="AS124" i="5"/>
  <c r="AT124" i="5" s="1"/>
  <c r="AS140" i="5"/>
  <c r="AT140" i="5" s="1"/>
  <c r="AS142" i="5"/>
  <c r="AT142" i="5" s="1"/>
  <c r="AS144" i="5"/>
  <c r="AT144" i="5" s="1"/>
  <c r="BT148" i="5"/>
  <c r="BU148" i="5" s="1"/>
  <c r="BT150" i="5"/>
  <c r="BU150" i="5" s="1"/>
  <c r="R164" i="5"/>
  <c r="S164" i="5" s="1"/>
  <c r="R166" i="5"/>
  <c r="S166" i="5" s="1"/>
  <c r="R168" i="5"/>
  <c r="S168" i="5" s="1"/>
  <c r="BT169" i="5"/>
  <c r="BU169" i="5" s="1"/>
  <c r="AS175" i="5"/>
  <c r="AT175" i="5" s="1"/>
  <c r="AS195" i="5"/>
  <c r="AT195" i="5" s="1"/>
  <c r="T157" i="5"/>
  <c r="U157" i="5" s="1"/>
  <c r="T42" i="5"/>
  <c r="U42" i="5" s="1"/>
  <c r="T114" i="5"/>
  <c r="U114" i="5" s="1"/>
  <c r="AU95" i="5"/>
  <c r="AV95" i="5" s="1"/>
  <c r="AU183" i="5"/>
  <c r="AV183" i="5" s="1"/>
  <c r="BV94" i="5"/>
  <c r="BW94" i="5" s="1"/>
  <c r="BV194" i="5"/>
  <c r="BW194" i="5" s="1"/>
  <c r="AU194" i="5"/>
  <c r="AV194" i="5" s="1"/>
  <c r="BV129" i="5"/>
  <c r="BW129" i="5" s="1"/>
  <c r="T151" i="5"/>
  <c r="U151" i="5" s="1"/>
  <c r="AU63" i="5"/>
  <c r="AV63" i="5" s="1"/>
  <c r="T148" i="5"/>
  <c r="U148" i="5" s="1"/>
  <c r="AU55" i="5"/>
  <c r="AV55" i="5" s="1"/>
  <c r="BV99" i="5"/>
  <c r="BW99" i="5" s="1"/>
  <c r="T82" i="5"/>
  <c r="U82" i="5" s="1"/>
  <c r="AU137" i="5"/>
  <c r="AV137" i="5" s="1"/>
  <c r="BV155" i="5"/>
  <c r="BW155" i="5" s="1"/>
  <c r="T136" i="5"/>
  <c r="U136" i="5" s="1"/>
  <c r="BV153" i="5"/>
  <c r="BW153" i="5" s="1"/>
  <c r="T192" i="5"/>
  <c r="U192" i="5" s="1"/>
  <c r="BV166" i="5"/>
  <c r="BW166" i="5" s="1"/>
  <c r="T129" i="5"/>
  <c r="U129" i="5" s="1"/>
  <c r="BV150" i="5"/>
  <c r="BW150" i="5" s="1"/>
  <c r="BV65" i="5"/>
  <c r="BW65" i="5" s="1"/>
  <c r="AU189" i="5"/>
  <c r="AV189" i="5" s="1"/>
  <c r="BT37" i="5"/>
  <c r="BU37" i="5" s="1"/>
  <c r="BV175" i="5"/>
  <c r="AU125" i="5"/>
  <c r="AV125" i="5" s="1"/>
  <c r="BV195" i="5"/>
  <c r="BW195" i="5" s="1"/>
  <c r="T67" i="5"/>
  <c r="U67" i="5" s="1"/>
  <c r="BV189" i="5"/>
  <c r="BW189" i="5" s="1"/>
  <c r="T81" i="5"/>
  <c r="U81" i="5" s="1"/>
  <c r="T86" i="5"/>
  <c r="U86" i="5" s="1"/>
  <c r="R193" i="5"/>
  <c r="S193" i="5" s="1"/>
  <c r="R188" i="5"/>
  <c r="S188" i="5" s="1"/>
  <c r="R180" i="5"/>
  <c r="S180" i="5" s="1"/>
  <c r="AS129" i="5"/>
  <c r="R120" i="5"/>
  <c r="S120" i="5" s="1"/>
  <c r="R109" i="5"/>
  <c r="S109" i="5" s="1"/>
  <c r="BT92" i="5"/>
  <c r="BU92" i="5" s="1"/>
  <c r="BT79" i="5"/>
  <c r="BU79" i="5" s="1"/>
  <c r="R71" i="5"/>
  <c r="S71" i="5" s="1"/>
  <c r="BT53" i="5"/>
  <c r="BU53" i="5" s="1"/>
  <c r="AS38" i="5"/>
  <c r="AT38" i="5" s="1"/>
  <c r="BV52" i="5"/>
  <c r="BW52" i="5" s="1"/>
  <c r="AU124" i="5"/>
  <c r="AV124" i="5" s="1"/>
  <c r="AU143" i="5"/>
  <c r="AV143" i="5" s="1"/>
  <c r="BV183" i="5"/>
  <c r="BW183" i="5" s="1"/>
  <c r="BV144" i="5"/>
  <c r="BW144" i="5" s="1"/>
  <c r="T80" i="5"/>
  <c r="U80" i="5" s="1"/>
  <c r="T62" i="5"/>
  <c r="U62" i="5" s="1"/>
  <c r="T39" i="5"/>
  <c r="U39" i="5" s="1"/>
  <c r="AU178" i="5"/>
  <c r="AV178" i="5" s="1"/>
  <c r="T127" i="5"/>
  <c r="U127" i="5" s="1"/>
  <c r="AU101" i="5"/>
  <c r="AV101" i="5" s="1"/>
  <c r="AU112" i="5"/>
  <c r="AV112" i="5" s="1"/>
  <c r="AS180" i="5"/>
  <c r="AT180" i="5" s="1"/>
  <c r="AS167" i="5"/>
  <c r="AT167" i="5" s="1"/>
  <c r="AS162" i="5"/>
  <c r="AT162" i="5" s="1"/>
  <c r="AS155" i="5"/>
  <c r="AT155" i="5" s="1"/>
  <c r="AS109" i="5"/>
  <c r="AT109" i="5" s="1"/>
  <c r="AS98" i="5"/>
  <c r="AT98" i="5" s="1"/>
  <c r="R89" i="5"/>
  <c r="S89" i="5" s="1"/>
  <c r="AS71" i="5"/>
  <c r="AT71" i="5" s="1"/>
  <c r="BT66" i="5"/>
  <c r="BU66" i="5" s="1"/>
  <c r="R49" i="5"/>
  <c r="S49" i="5" s="1"/>
  <c r="BV61" i="5"/>
  <c r="BW61" i="5" s="1"/>
  <c r="AU153" i="5"/>
  <c r="AV153" i="5" s="1"/>
  <c r="AU156" i="5"/>
  <c r="AV156" i="5" s="1"/>
  <c r="BV42" i="5"/>
  <c r="BW42" i="5" s="1"/>
  <c r="T110" i="5"/>
  <c r="U110" i="5" s="1"/>
  <c r="T116" i="5"/>
  <c r="U116" i="5" s="1"/>
  <c r="T64" i="5"/>
  <c r="T95" i="5"/>
  <c r="U95" i="5" s="1"/>
  <c r="R195" i="5"/>
  <c r="S195" i="5" s="1"/>
  <c r="BT189" i="5"/>
  <c r="BU189" i="5" s="1"/>
  <c r="R182" i="5"/>
  <c r="S182" i="5" s="1"/>
  <c r="BT176" i="5"/>
  <c r="BU176" i="5" s="1"/>
  <c r="BT163" i="5"/>
  <c r="BU163" i="5" s="1"/>
  <c r="R138" i="5"/>
  <c r="S138" i="5" s="1"/>
  <c r="AS131" i="5"/>
  <c r="AT131" i="5" s="1"/>
  <c r="R127" i="5"/>
  <c r="S127" i="5" s="1"/>
  <c r="R122" i="5"/>
  <c r="S122" i="5" s="1"/>
  <c r="BT110" i="5"/>
  <c r="BU110" i="5" s="1"/>
  <c r="BT105" i="5"/>
  <c r="BU105" i="5" s="1"/>
  <c r="BT94" i="5"/>
  <c r="BU94" i="5" s="1"/>
  <c r="R77" i="5"/>
  <c r="S77" i="5" s="1"/>
  <c r="R41" i="5"/>
  <c r="S41" i="5" s="1"/>
  <c r="I26" i="2"/>
  <c r="I30" i="2" s="1"/>
  <c r="P12" i="2" s="1"/>
  <c r="I23" i="2"/>
  <c r="I37" i="2" s="1"/>
  <c r="P25" i="2" s="1"/>
  <c r="I18" i="2"/>
  <c r="I36" i="2" s="1"/>
  <c r="P24" i="2" s="1"/>
  <c r="I10" i="2"/>
  <c r="I11" i="2" s="1"/>
  <c r="I13" i="2"/>
  <c r="C18" i="10" l="1"/>
  <c r="AJ202" i="5"/>
  <c r="AO201" i="5"/>
  <c r="N181" i="5"/>
  <c r="N201" i="5" s="1"/>
  <c r="N202" i="5"/>
  <c r="N200" i="5"/>
  <c r="BR200" i="5"/>
  <c r="K169" i="5"/>
  <c r="K202" i="5"/>
  <c r="P200" i="5"/>
  <c r="BQ151" i="5"/>
  <c r="BV151" i="5" s="1"/>
  <c r="BW151" i="5" s="1"/>
  <c r="C24" i="2"/>
  <c r="I24" i="2" s="1"/>
  <c r="BH200" i="5"/>
  <c r="O202" i="5"/>
  <c r="AT129" i="5"/>
  <c r="I18" i="10" s="1"/>
  <c r="G200" i="5"/>
  <c r="I202" i="5"/>
  <c r="BV36" i="5"/>
  <c r="BW36" i="5" s="1"/>
  <c r="AO200" i="5"/>
  <c r="L180" i="5"/>
  <c r="L200" i="5" s="1"/>
  <c r="AQ200" i="5"/>
  <c r="F202" i="5"/>
  <c r="AP200" i="5"/>
  <c r="AQ202" i="5"/>
  <c r="BU67" i="5"/>
  <c r="U43" i="5"/>
  <c r="AV120" i="5"/>
  <c r="O201" i="5"/>
  <c r="BM175" i="5"/>
  <c r="BM200" i="5"/>
  <c r="BM201" i="5"/>
  <c r="BM202" i="5"/>
  <c r="BI202" i="5"/>
  <c r="BH201" i="5"/>
  <c r="P201" i="5"/>
  <c r="M16" i="5" s="1"/>
  <c r="R13" i="7" s="1"/>
  <c r="BQ201" i="5"/>
  <c r="G16" i="10"/>
  <c r="F201" i="5"/>
  <c r="H202" i="5"/>
  <c r="H200" i="5"/>
  <c r="G201" i="5"/>
  <c r="O200" i="5"/>
  <c r="AL200" i="5"/>
  <c r="AM202" i="5"/>
  <c r="BI200" i="5"/>
  <c r="BW175" i="5"/>
  <c r="BT175" i="5"/>
  <c r="BU175" i="5" s="1"/>
  <c r="M10" i="10" s="1"/>
  <c r="BO201" i="5"/>
  <c r="AU126" i="5"/>
  <c r="AV126" i="5" s="1"/>
  <c r="BV50" i="5"/>
  <c r="BW50" i="5" s="1"/>
  <c r="BT154" i="5"/>
  <c r="BU154" i="5" s="1"/>
  <c r="K15" i="10" s="1"/>
  <c r="BW177" i="5"/>
  <c r="T68" i="5"/>
  <c r="U68" i="5" s="1"/>
  <c r="AI201" i="5"/>
  <c r="E200" i="5"/>
  <c r="M13" i="10"/>
  <c r="BJ202" i="5"/>
  <c r="BJ176" i="5"/>
  <c r="BJ200" i="5" s="1"/>
  <c r="BN200" i="5"/>
  <c r="BL202" i="5"/>
  <c r="AM201" i="5"/>
  <c r="S119" i="5"/>
  <c r="I8" i="10" s="1"/>
  <c r="BT140" i="5"/>
  <c r="BU140" i="5" s="1"/>
  <c r="J15" i="10" s="1"/>
  <c r="BV54" i="5"/>
  <c r="BW54" i="5" s="1"/>
  <c r="I201" i="5"/>
  <c r="BG200" i="5"/>
  <c r="AP201" i="5"/>
  <c r="M200" i="5"/>
  <c r="D18" i="10"/>
  <c r="K200" i="5"/>
  <c r="T40" i="5"/>
  <c r="U40" i="5" s="1"/>
  <c r="AP202" i="5"/>
  <c r="K201" i="5"/>
  <c r="BG201" i="5"/>
  <c r="BR201" i="5"/>
  <c r="BR202" i="5"/>
  <c r="BK202" i="5"/>
  <c r="T119" i="5"/>
  <c r="U119" i="5" s="1"/>
  <c r="I200" i="5"/>
  <c r="BO200" i="5"/>
  <c r="BG202" i="5"/>
  <c r="E202" i="5"/>
  <c r="AM200" i="5"/>
  <c r="R155" i="5"/>
  <c r="S155" i="5" s="1"/>
  <c r="K16" i="10" s="1"/>
  <c r="BK200" i="5"/>
  <c r="BT177" i="5"/>
  <c r="BU177" i="5" s="1"/>
  <c r="M12" i="10" s="1"/>
  <c r="BN202" i="5"/>
  <c r="BO202" i="5"/>
  <c r="BH202" i="5"/>
  <c r="BN201" i="5"/>
  <c r="T85" i="5"/>
  <c r="U85" i="5" s="1"/>
  <c r="BV64" i="5"/>
  <c r="BW64" i="5" s="1"/>
  <c r="H201" i="5"/>
  <c r="AL202" i="5"/>
  <c r="AU128" i="5"/>
  <c r="AV128" i="5" s="1"/>
  <c r="AT128" i="5"/>
  <c r="I17" i="10" s="1"/>
  <c r="BV55" i="5"/>
  <c r="BW55" i="5" s="1"/>
  <c r="BV80" i="5"/>
  <c r="BW80" i="5" s="1"/>
  <c r="T54" i="5"/>
  <c r="U54" i="5" s="1"/>
  <c r="AU127" i="5"/>
  <c r="AV127" i="5" s="1"/>
  <c r="F10" i="10"/>
  <c r="BW37" i="5"/>
  <c r="BW67" i="5"/>
  <c r="S131" i="5"/>
  <c r="I20" i="10" s="1"/>
  <c r="BK201" i="5"/>
  <c r="BL201" i="5"/>
  <c r="BP181" i="5"/>
  <c r="BP202" i="5" s="1"/>
  <c r="BP200" i="5"/>
  <c r="BP201" i="5"/>
  <c r="AI200" i="5"/>
  <c r="G8" i="10"/>
  <c r="F19" i="10"/>
  <c r="I15" i="10"/>
  <c r="I14" i="10"/>
  <c r="E17" i="10"/>
  <c r="M16" i="10"/>
  <c r="N18" i="10"/>
  <c r="M18" i="10"/>
  <c r="G9" i="10"/>
  <c r="K14" i="10"/>
  <c r="D12" i="10"/>
  <c r="M15" i="10"/>
  <c r="N13" i="10"/>
  <c r="K12" i="10"/>
  <c r="K9" i="10"/>
  <c r="I12" i="10"/>
  <c r="F18" i="10"/>
  <c r="J9" i="10"/>
  <c r="E19" i="10"/>
  <c r="K18" i="10"/>
  <c r="L12" i="10"/>
  <c r="M14" i="10"/>
  <c r="C17" i="10"/>
  <c r="N16" i="10"/>
  <c r="J16" i="10"/>
  <c r="E9" i="10"/>
  <c r="G17" i="10"/>
  <c r="E10" i="10"/>
  <c r="K19" i="10"/>
  <c r="H9" i="10"/>
  <c r="F14" i="10"/>
  <c r="D15" i="10"/>
  <c r="L10" i="10"/>
  <c r="J11" i="10"/>
  <c r="L17" i="10"/>
  <c r="E13" i="10"/>
  <c r="I11" i="10"/>
  <c r="L14" i="10"/>
  <c r="I19" i="10"/>
  <c r="L11" i="10"/>
  <c r="H11" i="10"/>
  <c r="N17" i="10"/>
  <c r="D10" i="10"/>
  <c r="J17" i="10"/>
  <c r="F17" i="10"/>
  <c r="L16" i="10"/>
  <c r="M17" i="10"/>
  <c r="I10" i="10"/>
  <c r="L13" i="10"/>
  <c r="H18" i="10"/>
  <c r="D11" i="10"/>
  <c r="H17" i="10"/>
  <c r="L18" i="10"/>
  <c r="J19" i="10"/>
  <c r="K13" i="10"/>
  <c r="N15" i="10"/>
  <c r="H16" i="10"/>
  <c r="G18" i="10"/>
  <c r="C12" i="10"/>
  <c r="N10" i="10"/>
  <c r="AS201" i="5" a="1"/>
  <c r="AS201" i="5" s="1"/>
  <c r="G14" i="10"/>
  <c r="H10" i="10"/>
  <c r="E16" i="10"/>
  <c r="C15" i="10"/>
  <c r="J12" i="10"/>
  <c r="G11" i="10"/>
  <c r="S64" i="5"/>
  <c r="E12" i="10" s="1"/>
  <c r="J18" i="5"/>
  <c r="J19" i="5" s="1"/>
  <c r="N14" i="10"/>
  <c r="F12" i="10"/>
  <c r="E18" i="10"/>
  <c r="L15" i="10"/>
  <c r="G12" i="10"/>
  <c r="C14" i="10"/>
  <c r="M11" i="10"/>
  <c r="K10" i="10"/>
  <c r="K17" i="10"/>
  <c r="D13" i="10"/>
  <c r="C16" i="10"/>
  <c r="J13" i="10"/>
  <c r="I9" i="10"/>
  <c r="F15" i="10"/>
  <c r="K11" i="10"/>
  <c r="I13" i="10"/>
  <c r="G19" i="10"/>
  <c r="N11" i="10"/>
  <c r="J10" i="10"/>
  <c r="H15" i="10"/>
  <c r="U64" i="5"/>
  <c r="BW35" i="5"/>
  <c r="AT36" i="5"/>
  <c r="AS202" i="5" a="1"/>
  <c r="AS202" i="5" s="1"/>
  <c r="J18" i="10"/>
  <c r="H12" i="10"/>
  <c r="C13" i="10"/>
  <c r="E11" i="10"/>
  <c r="H14" i="10"/>
  <c r="F16" i="10"/>
  <c r="H20" i="10"/>
  <c r="E15" i="10"/>
  <c r="H13" i="10"/>
  <c r="G13" i="10"/>
  <c r="D16" i="10"/>
  <c r="H8" i="10"/>
  <c r="G10" i="10"/>
  <c r="R200" i="5" a="1"/>
  <c r="R200" i="5" s="1"/>
  <c r="BU35" i="5"/>
  <c r="C10" i="10" s="1"/>
  <c r="U35" i="5"/>
  <c r="AV35" i="5"/>
  <c r="AS200" i="5" a="1"/>
  <c r="AS200" i="5" s="1"/>
  <c r="E14" i="10"/>
  <c r="I16" i="10"/>
  <c r="R202" i="5" a="1"/>
  <c r="R202" i="5" s="1"/>
  <c r="H19" i="10"/>
  <c r="F11" i="10"/>
  <c r="J14" i="10"/>
  <c r="D17" i="10"/>
  <c r="G15" i="10"/>
  <c r="G20" i="10"/>
  <c r="N12" i="10"/>
  <c r="F13" i="10"/>
  <c r="D14" i="10"/>
  <c r="R201" i="5" a="1"/>
  <c r="R201" i="5" s="1"/>
  <c r="I12" i="2"/>
  <c r="I32" i="2" s="1"/>
  <c r="P14" i="2" s="1"/>
  <c r="I33" i="2"/>
  <c r="L22" i="10" l="1"/>
  <c r="L24" i="10" s="1"/>
  <c r="BV202" i="5" a="1"/>
  <c r="BV202" i="5" s="1"/>
  <c r="BT201" i="5" a="1"/>
  <c r="BT201" i="5" s="1"/>
  <c r="BV200" i="5" a="1"/>
  <c r="BV200" i="5" s="1"/>
  <c r="BT202" i="5" a="1"/>
  <c r="BT202" i="5" s="1"/>
  <c r="L202" i="5"/>
  <c r="N14" i="5"/>
  <c r="AU201" i="5" a="1"/>
  <c r="AU201" i="5" s="1"/>
  <c r="AU200" i="5" a="1"/>
  <c r="AU200" i="5" s="1"/>
  <c r="AU202" i="5" a="1"/>
  <c r="AU202" i="5" s="1"/>
  <c r="T200" i="5" a="1"/>
  <c r="T200" i="5" s="1"/>
  <c r="L201" i="5"/>
  <c r="T202" i="5" a="1"/>
  <c r="T202" i="5" s="1"/>
  <c r="BQ200" i="5"/>
  <c r="BQ202" i="5"/>
  <c r="AT201" i="5" a="1"/>
  <c r="AT201" i="5" s="1"/>
  <c r="T201" i="5" a="1"/>
  <c r="T201" i="5" s="1"/>
  <c r="BT200" i="5" a="1"/>
  <c r="BT200" i="5" s="1"/>
  <c r="BV201" i="5" a="1"/>
  <c r="BV201" i="5" s="1"/>
  <c r="BJ201" i="5"/>
  <c r="M26" i="10"/>
  <c r="M27" i="10" s="1"/>
  <c r="F26" i="10"/>
  <c r="F27" i="10" s="1"/>
  <c r="M22" i="10"/>
  <c r="M24" i="10" s="1"/>
  <c r="J26" i="10"/>
  <c r="J27" i="10" s="1"/>
  <c r="K26" i="10"/>
  <c r="K27" i="10" s="1"/>
  <c r="E22" i="10"/>
  <c r="E24" i="10" s="1"/>
  <c r="G22" i="10"/>
  <c r="G24" i="10" s="1"/>
  <c r="F22" i="10"/>
  <c r="F24" i="10" s="1"/>
  <c r="L26" i="10"/>
  <c r="L27" i="10" s="1"/>
  <c r="J22" i="10"/>
  <c r="J24" i="10" s="1"/>
  <c r="D26" i="10"/>
  <c r="D27" i="10" s="1"/>
  <c r="G26" i="10"/>
  <c r="G27" i="10" s="1"/>
  <c r="O14" i="5"/>
  <c r="T12" i="7" s="1"/>
  <c r="S12" i="7"/>
  <c r="N22" i="10"/>
  <c r="N24" i="10" s="1"/>
  <c r="N26" i="10"/>
  <c r="N27" i="10" s="1"/>
  <c r="D22" i="10"/>
  <c r="D24" i="10" s="1"/>
  <c r="E26" i="10"/>
  <c r="E27" i="10" s="1"/>
  <c r="C11" i="10"/>
  <c r="C22" i="10" s="1"/>
  <c r="C24" i="10" s="1"/>
  <c r="BW200" i="5" a="1"/>
  <c r="BW200" i="5" s="1"/>
  <c r="BW202" i="5" a="1"/>
  <c r="BW202" i="5" s="1"/>
  <c r="BW201" i="5" a="1"/>
  <c r="BW201" i="5" s="1"/>
  <c r="S201" i="5" a="1"/>
  <c r="S201" i="5" s="1"/>
  <c r="AT202" i="5" a="1"/>
  <c r="AT202" i="5" s="1"/>
  <c r="K22" i="10"/>
  <c r="K24" i="10" s="1"/>
  <c r="AV201" i="5" a="1"/>
  <c r="AV201" i="5" s="1"/>
  <c r="AV200" i="5" a="1"/>
  <c r="AV200" i="5" s="1"/>
  <c r="AV202" i="5" a="1"/>
  <c r="AV202" i="5" s="1"/>
  <c r="I22" i="10"/>
  <c r="I24" i="10" s="1"/>
  <c r="I26" i="10"/>
  <c r="I27" i="10" s="1"/>
  <c r="S200" i="5" a="1"/>
  <c r="S200" i="5" s="1"/>
  <c r="S202" i="5" a="1"/>
  <c r="S202" i="5" s="1"/>
  <c r="AT200" i="5" a="1"/>
  <c r="AT200" i="5" s="1"/>
  <c r="BU201" i="5" a="1"/>
  <c r="BU201" i="5" s="1"/>
  <c r="BU202" i="5" a="1"/>
  <c r="BU202" i="5" s="1"/>
  <c r="BU200" i="5" a="1"/>
  <c r="BU200" i="5" s="1"/>
  <c r="H22" i="10"/>
  <c r="H24" i="10" s="1"/>
  <c r="H26" i="10"/>
  <c r="H27" i="10" s="1"/>
  <c r="U200" i="5" a="1"/>
  <c r="U200" i="5" s="1"/>
  <c r="U202" i="5" a="1"/>
  <c r="U202" i="5" s="1"/>
  <c r="U201" i="5" a="1"/>
  <c r="U201" i="5" s="1"/>
  <c r="E24" i="7"/>
  <c r="E30" i="7" s="1"/>
  <c r="P15" i="2"/>
  <c r="N16" i="5" l="1"/>
  <c r="O16" i="5" s="1"/>
  <c r="T13" i="7" s="1"/>
  <c r="C26" i="10"/>
  <c r="O27" i="10" s="1"/>
  <c r="C42" i="2" s="1"/>
  <c r="O24" i="10"/>
  <c r="C37" i="10"/>
  <c r="D35" i="10"/>
  <c r="D43" i="10"/>
  <c r="E34" i="10"/>
  <c r="E42" i="10"/>
  <c r="F33" i="10"/>
  <c r="F41" i="10"/>
  <c r="G32" i="10"/>
  <c r="G40" i="10"/>
  <c r="H39" i="10"/>
  <c r="I38" i="10"/>
  <c r="J37" i="10"/>
  <c r="K36" i="10"/>
  <c r="K44" i="10"/>
  <c r="L35" i="10"/>
  <c r="L43" i="10"/>
  <c r="M34" i="10"/>
  <c r="M42" i="10"/>
  <c r="N33" i="10"/>
  <c r="N41" i="10"/>
  <c r="D32" i="10"/>
  <c r="G37" i="10"/>
  <c r="H36" i="10"/>
  <c r="H44" i="10"/>
  <c r="I35" i="10"/>
  <c r="I43" i="10"/>
  <c r="J34" i="10"/>
  <c r="K33" i="10"/>
  <c r="K41" i="10"/>
  <c r="L40" i="10"/>
  <c r="M39" i="10"/>
  <c r="C33" i="10"/>
  <c r="J33" i="10"/>
  <c r="L39" i="10"/>
  <c r="M38" i="10"/>
  <c r="C36" i="10"/>
  <c r="C44" i="10"/>
  <c r="D34" i="10"/>
  <c r="D42" i="10"/>
  <c r="E33" i="10"/>
  <c r="E41" i="10"/>
  <c r="F32" i="10"/>
  <c r="F40" i="10"/>
  <c r="G39" i="10"/>
  <c r="H38" i="10"/>
  <c r="I37" i="10"/>
  <c r="J36" i="10"/>
  <c r="J44" i="10"/>
  <c r="K35" i="10"/>
  <c r="K43" i="10"/>
  <c r="L34" i="10"/>
  <c r="L42" i="10"/>
  <c r="M33" i="10"/>
  <c r="M41" i="10"/>
  <c r="N32" i="10"/>
  <c r="N40" i="10"/>
  <c r="C42" i="10"/>
  <c r="J42" i="10"/>
  <c r="N38" i="10"/>
  <c r="D39" i="10"/>
  <c r="K40" i="10"/>
  <c r="N37" i="10"/>
  <c r="C35" i="10"/>
  <c r="C43" i="10"/>
  <c r="D33" i="10"/>
  <c r="D41" i="10"/>
  <c r="E32" i="10"/>
  <c r="E40" i="10"/>
  <c r="F39" i="10"/>
  <c r="G38" i="10"/>
  <c r="H37" i="10"/>
  <c r="I36" i="10"/>
  <c r="I44" i="10"/>
  <c r="J35" i="10"/>
  <c r="J43" i="10"/>
  <c r="K34" i="10"/>
  <c r="K42" i="10"/>
  <c r="L33" i="10"/>
  <c r="L41" i="10"/>
  <c r="M32" i="10"/>
  <c r="M40" i="10"/>
  <c r="N39" i="10"/>
  <c r="C34" i="10"/>
  <c r="D40" i="10"/>
  <c r="E39" i="10"/>
  <c r="F38" i="10"/>
  <c r="L32" i="10"/>
  <c r="C41" i="10"/>
  <c r="E38" i="10"/>
  <c r="F37" i="10"/>
  <c r="G36" i="10"/>
  <c r="G44" i="10"/>
  <c r="H35" i="10"/>
  <c r="H43" i="10"/>
  <c r="I34" i="10"/>
  <c r="I42" i="10"/>
  <c r="J41" i="10"/>
  <c r="K32" i="10"/>
  <c r="C32" i="10"/>
  <c r="C40" i="10"/>
  <c r="D38" i="10"/>
  <c r="E37" i="10"/>
  <c r="F36" i="10"/>
  <c r="F44" i="10"/>
  <c r="G35" i="10"/>
  <c r="G43" i="10"/>
  <c r="H34" i="10"/>
  <c r="H42" i="10"/>
  <c r="I33" i="10"/>
  <c r="I41" i="10"/>
  <c r="J32" i="10"/>
  <c r="J40" i="10"/>
  <c r="K39" i="10"/>
  <c r="L38" i="10"/>
  <c r="M37" i="10"/>
  <c r="N36" i="10"/>
  <c r="N44" i="10"/>
  <c r="C39" i="10"/>
  <c r="D37" i="10"/>
  <c r="E36" i="10"/>
  <c r="E44" i="10"/>
  <c r="F35" i="10"/>
  <c r="F43" i="10"/>
  <c r="G34" i="10"/>
  <c r="G42" i="10"/>
  <c r="H33" i="10"/>
  <c r="H41" i="10"/>
  <c r="I32" i="10"/>
  <c r="I40" i="10"/>
  <c r="J39" i="10"/>
  <c r="K38" i="10"/>
  <c r="L37" i="10"/>
  <c r="M36" i="10"/>
  <c r="M44" i="10"/>
  <c r="N35" i="10"/>
  <c r="N43" i="10"/>
  <c r="C38" i="10"/>
  <c r="D36" i="10"/>
  <c r="D44" i="10"/>
  <c r="E35" i="10"/>
  <c r="E43" i="10"/>
  <c r="F34" i="10"/>
  <c r="F42" i="10"/>
  <c r="G33" i="10"/>
  <c r="G41" i="10"/>
  <c r="H32" i="10"/>
  <c r="H40" i="10"/>
  <c r="I39" i="10"/>
  <c r="J38" i="10"/>
  <c r="K37" i="10"/>
  <c r="L36" i="10"/>
  <c r="L44" i="10"/>
  <c r="M35" i="10"/>
  <c r="M43" i="10"/>
  <c r="N34" i="10"/>
  <c r="N42" i="10"/>
  <c r="S13" i="7" l="1"/>
  <c r="C27" i="10"/>
  <c r="C50" i="10"/>
  <c r="C51" i="10" s="1"/>
  <c r="Q24" i="10"/>
  <c r="H19" i="7"/>
  <c r="I42" i="2"/>
  <c r="E20" i="7"/>
  <c r="C56" i="10"/>
  <c r="C63" i="10" a="1"/>
  <c r="C63" i="10" s="1"/>
  <c r="C46" i="10"/>
  <c r="C61" i="10" a="1"/>
  <c r="C61" i="10" s="1"/>
  <c r="C62" i="10" s="1"/>
  <c r="C53" i="10"/>
  <c r="I61" i="10" a="1"/>
  <c r="I61" i="10" s="1"/>
  <c r="I62" i="10" s="1"/>
  <c r="I53" i="10"/>
  <c r="I56" i="10"/>
  <c r="I63" i="10" a="1"/>
  <c r="I63" i="10" s="1"/>
  <c r="I46" i="10"/>
  <c r="M46" i="10"/>
  <c r="M61" i="10" a="1"/>
  <c r="M61" i="10" s="1"/>
  <c r="M62" i="10" s="1"/>
  <c r="M56" i="10"/>
  <c r="M53" i="10"/>
  <c r="M63" i="10" a="1"/>
  <c r="M63" i="10" s="1"/>
  <c r="G56" i="10"/>
  <c r="G46" i="10"/>
  <c r="G61" i="10" a="1"/>
  <c r="G61" i="10" s="1"/>
  <c r="G62" i="10" s="1"/>
  <c r="G53" i="10"/>
  <c r="G63" i="10" a="1"/>
  <c r="G63" i="10" s="1"/>
  <c r="H56" i="10"/>
  <c r="H46" i="10"/>
  <c r="H61" i="10" a="1"/>
  <c r="H61" i="10" s="1"/>
  <c r="H62" i="10" s="1"/>
  <c r="H63" i="10" a="1"/>
  <c r="H63" i="10" s="1"/>
  <c r="H53" i="10"/>
  <c r="K56" i="10"/>
  <c r="K63" i="10" a="1"/>
  <c r="K63" i="10" s="1"/>
  <c r="K46" i="10"/>
  <c r="K61" i="10" a="1"/>
  <c r="K61" i="10" s="1"/>
  <c r="K62" i="10" s="1"/>
  <c r="K65" i="10" s="1"/>
  <c r="K53" i="10"/>
  <c r="F56" i="10"/>
  <c r="F63" i="10" a="1"/>
  <c r="F63" i="10" s="1"/>
  <c r="F61" i="10" a="1"/>
  <c r="F61" i="10" s="1"/>
  <c r="F62" i="10" s="1"/>
  <c r="F53" i="10"/>
  <c r="F46" i="10"/>
  <c r="E61" i="10" a="1"/>
  <c r="E61" i="10" s="1"/>
  <c r="E62" i="10" s="1"/>
  <c r="E46" i="10"/>
  <c r="E56" i="10"/>
  <c r="E53" i="10"/>
  <c r="E63" i="10" a="1"/>
  <c r="E63" i="10" s="1"/>
  <c r="D56" i="10"/>
  <c r="D46" i="10"/>
  <c r="D63" i="10" a="1"/>
  <c r="D63" i="10" s="1"/>
  <c r="D61" i="10" a="1"/>
  <c r="D61" i="10" s="1"/>
  <c r="D62" i="10" s="1"/>
  <c r="D65" i="10" s="1"/>
  <c r="D53" i="10"/>
  <c r="J53" i="10"/>
  <c r="J56" i="10"/>
  <c r="J63" i="10" a="1"/>
  <c r="J63" i="10" s="1"/>
  <c r="J46" i="10"/>
  <c r="J61" i="10" a="1"/>
  <c r="J61" i="10" s="1"/>
  <c r="J62" i="10" s="1"/>
  <c r="L56" i="10"/>
  <c r="L63" i="10" a="1"/>
  <c r="L63" i="10" s="1"/>
  <c r="L46" i="10"/>
  <c r="L61" i="10" a="1"/>
  <c r="L61" i="10" s="1"/>
  <c r="L62" i="10" s="1"/>
  <c r="L53" i="10"/>
  <c r="N56" i="10"/>
  <c r="N61" i="10" a="1"/>
  <c r="N61" i="10" s="1"/>
  <c r="N62" i="10" s="1"/>
  <c r="N53" i="10"/>
  <c r="N63" i="10" a="1"/>
  <c r="N63" i="10" s="1"/>
  <c r="N46" i="10"/>
  <c r="E32" i="7" l="1"/>
  <c r="E22" i="7"/>
  <c r="E65" i="10"/>
  <c r="M65" i="10"/>
  <c r="N65" i="10"/>
  <c r="F65" i="10"/>
  <c r="J65" i="10"/>
  <c r="G32" i="7"/>
  <c r="H65" i="10"/>
  <c r="H54" i="10"/>
  <c r="H66" i="10"/>
  <c r="H57" i="10"/>
  <c r="H58" i="10" s="1"/>
  <c r="H69" i="10" s="1"/>
  <c r="N66" i="10"/>
  <c r="N54" i="10"/>
  <c r="N57" i="10"/>
  <c r="N58" i="10" s="1"/>
  <c r="N69" i="10" s="1"/>
  <c r="F66" i="10"/>
  <c r="F54" i="10"/>
  <c r="F57" i="10"/>
  <c r="F58" i="10" s="1"/>
  <c r="F69" i="10" s="1"/>
  <c r="G66" i="10"/>
  <c r="G57" i="10"/>
  <c r="G58" i="10" s="1"/>
  <c r="G69" i="10" s="1"/>
  <c r="G54" i="10"/>
  <c r="G65" i="10"/>
  <c r="O63" i="10"/>
  <c r="O46" i="10"/>
  <c r="D66" i="10"/>
  <c r="D54" i="10"/>
  <c r="D57" i="10"/>
  <c r="D58" i="10" s="1"/>
  <c r="D69" i="10" s="1"/>
  <c r="C66" i="10"/>
  <c r="C57" i="10"/>
  <c r="C58" i="10" s="1"/>
  <c r="C54" i="10"/>
  <c r="J54" i="10"/>
  <c r="J66" i="10"/>
  <c r="J57" i="10"/>
  <c r="J58" i="10" s="1"/>
  <c r="J69" i="10" s="1"/>
  <c r="K57" i="10"/>
  <c r="K58" i="10" s="1"/>
  <c r="K69" i="10" s="1"/>
  <c r="K66" i="10"/>
  <c r="K54" i="10"/>
  <c r="M57" i="10"/>
  <c r="M58" i="10" s="1"/>
  <c r="M69" i="10" s="1"/>
  <c r="M66" i="10"/>
  <c r="M54" i="10"/>
  <c r="L65" i="10"/>
  <c r="I65" i="10"/>
  <c r="L66" i="10"/>
  <c r="L54" i="10"/>
  <c r="L57" i="10"/>
  <c r="L58" i="10" s="1"/>
  <c r="L69" i="10" s="1"/>
  <c r="E57" i="10"/>
  <c r="E58" i="10" s="1"/>
  <c r="E69" i="10" s="1"/>
  <c r="E66" i="10"/>
  <c r="E54" i="10"/>
  <c r="I54" i="10"/>
  <c r="I57" i="10"/>
  <c r="I58" i="10" s="1"/>
  <c r="I69" i="10" s="1"/>
  <c r="I66" i="10"/>
  <c r="O56" i="10"/>
  <c r="O62" i="10"/>
  <c r="C65" i="10"/>
  <c r="O58" i="10" l="1"/>
  <c r="C69" i="10"/>
  <c r="O69" i="10" s="1"/>
  <c r="I12" i="7" s="1"/>
  <c r="O65" i="10"/>
  <c r="N12" i="7" s="1"/>
  <c r="O66" i="10"/>
  <c r="N13" i="7" s="1"/>
  <c r="O57" i="10"/>
  <c r="I13" i="7" s="1"/>
  <c r="O54" i="10"/>
  <c r="I15" i="7" l="1"/>
  <c r="I1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</author>
  </authors>
  <commentList>
    <comment ref="G6" authorId="0" shapeId="0" xr:uid="{00000000-0006-0000-0400-000001000000}">
      <text>
        <r>
          <rPr>
            <b/>
            <sz val="12"/>
            <color indexed="81"/>
            <rFont val="Tahoma"/>
            <family val="2"/>
          </rPr>
          <t>Applies to all runs</t>
        </r>
      </text>
    </comment>
  </commentList>
</comments>
</file>

<file path=xl/sharedStrings.xml><?xml version="1.0" encoding="utf-8"?>
<sst xmlns="http://schemas.openxmlformats.org/spreadsheetml/2006/main" count="1238" uniqueCount="207">
  <si>
    <t>SCALING INPUTS FOR HIGH CONCENTRATION DESIGN (~8000X)</t>
  </si>
  <si>
    <t>Assume:</t>
  </si>
  <si>
    <t>Constant reactor temperature</t>
  </si>
  <si>
    <t>Constant reactor heat duty</t>
  </si>
  <si>
    <t>Steady state operation</t>
  </si>
  <si>
    <t>Solar performance based on single-day, monthly averages</t>
  </si>
  <si>
    <t>Hybrid operation for 24hr/day with fixed fraction for process down time</t>
  </si>
  <si>
    <t>Reactor Heat Duty</t>
  </si>
  <si>
    <t>kWh/hour</t>
  </si>
  <si>
    <t>Yearly Operation</t>
  </si>
  <si>
    <t>Hours</t>
  </si>
  <si>
    <t>Average (unweighted) Values</t>
  </si>
  <si>
    <t>Annual Solar</t>
  </si>
  <si>
    <t>Electrical for Hybrid (or Shortfall)</t>
  </si>
  <si>
    <r>
      <t>h</t>
    </r>
    <r>
      <rPr>
        <b/>
        <vertAlign val="subscript"/>
        <sz val="14"/>
        <rFont val="Arial"/>
        <family val="2"/>
      </rPr>
      <t>s</t>
    </r>
  </si>
  <si>
    <r>
      <t>h</t>
    </r>
    <r>
      <rPr>
        <b/>
        <vertAlign val="subscript"/>
        <sz val="14"/>
        <rFont val="Arial"/>
        <family val="2"/>
      </rPr>
      <t>r</t>
    </r>
  </si>
  <si>
    <r>
      <t>h</t>
    </r>
    <r>
      <rPr>
        <b/>
        <vertAlign val="subscript"/>
        <sz val="14"/>
        <rFont val="Arial"/>
        <family val="2"/>
      </rPr>
      <t>r*</t>
    </r>
    <r>
      <rPr>
        <b/>
        <sz val="14"/>
        <rFont val="Symbol"/>
        <family val="1"/>
        <charset val="2"/>
      </rPr>
      <t>h</t>
    </r>
    <r>
      <rPr>
        <b/>
        <vertAlign val="subscript"/>
        <sz val="14"/>
        <rFont val="Arial"/>
        <family val="2"/>
      </rPr>
      <t>s</t>
    </r>
  </si>
  <si>
    <t>Annual Net Energy Required to Process</t>
  </si>
  <si>
    <t>GWhr</t>
  </si>
  <si>
    <t>Delivered</t>
  </si>
  <si>
    <t>GWh</t>
  </si>
  <si>
    <t>Solar Hours</t>
  </si>
  <si>
    <t>Design</t>
  </si>
  <si>
    <t>Nominal Fraction from Solar</t>
  </si>
  <si>
    <t>Excess</t>
  </si>
  <si>
    <t>Non-Solar Hours</t>
  </si>
  <si>
    <t>Annual</t>
  </si>
  <si>
    <t>Annual Net Energy Required from Solar</t>
  </si>
  <si>
    <t>Total Energy Provided</t>
  </si>
  <si>
    <t>GWh (Solar delivered + Electrical (solar + non-solar hours))</t>
  </si>
  <si>
    <t>Daggett Yearly Energy</t>
  </si>
  <si>
    <r>
      <t>kWhr/m</t>
    </r>
    <r>
      <rPr>
        <vertAlign val="superscript"/>
        <sz val="12"/>
        <rFont val="Arial"/>
        <family val="2"/>
      </rPr>
      <t>2</t>
    </r>
  </si>
  <si>
    <t>Usable Fraction from Solar</t>
  </si>
  <si>
    <t>Daggett Yearly Hours of Direct Sunlight</t>
  </si>
  <si>
    <t>Hours of solar operation at this temperature</t>
  </si>
  <si>
    <t>Reactor Temperature</t>
  </si>
  <si>
    <r>
      <t>o</t>
    </r>
    <r>
      <rPr>
        <sz val="12"/>
        <rFont val="Arial"/>
        <family val="2"/>
      </rPr>
      <t>C</t>
    </r>
  </si>
  <si>
    <t>Annual Weighted Efficiency</t>
  </si>
  <si>
    <t>Field Area Required</t>
  </si>
  <si>
    <r>
      <t>m</t>
    </r>
    <r>
      <rPr>
        <vertAlign val="superscript"/>
        <sz val="12"/>
        <rFont val="Arial"/>
        <family val="2"/>
      </rPr>
      <t>2</t>
    </r>
  </si>
  <si>
    <t>m^2</t>
  </si>
  <si>
    <t>acres</t>
  </si>
  <si>
    <t>Heliostat Area/Tower</t>
  </si>
  <si>
    <t>cost ($)</t>
  </si>
  <si>
    <t>Tower Height</t>
  </si>
  <si>
    <t>m</t>
  </si>
  <si>
    <t>&lt; Design point tower height is 200m</t>
  </si>
  <si>
    <t># Towers Needed</t>
  </si>
  <si>
    <t>Total Heliostat Area</t>
  </si>
  <si>
    <t>Annual Solar Energy to Process</t>
  </si>
  <si>
    <t>Design Point</t>
  </si>
  <si>
    <t>Baseline Parameters</t>
  </si>
  <si>
    <r>
      <t>@ I=1000W/m</t>
    </r>
    <r>
      <rPr>
        <b/>
        <vertAlign val="superscript"/>
        <sz val="14"/>
        <rFont val="Arial"/>
        <family val="2"/>
      </rPr>
      <t>2</t>
    </r>
  </si>
  <si>
    <t>D82H10</t>
  </si>
  <si>
    <t>Scaling Factors</t>
  </si>
  <si>
    <t>New Parameters</t>
  </si>
  <si>
    <t>Lookout Angle</t>
  </si>
  <si>
    <t>deg</t>
  </si>
  <si>
    <t>CPC Acceptance</t>
  </si>
  <si>
    <t># Towers</t>
  </si>
  <si>
    <t>Heliostat Area</t>
  </si>
  <si>
    <t>Tower Height/Heliostat Dimension</t>
  </si>
  <si>
    <t># Heliostats/Field</t>
  </si>
  <si>
    <t>Total CPC Area</t>
  </si>
  <si>
    <t>Total Heliostat Area/Field</t>
  </si>
  <si>
    <t>Total Number of Heliostats</t>
  </si>
  <si>
    <t>Land Area/Field</t>
  </si>
  <si>
    <t>Total Land Area</t>
  </si>
  <si>
    <t>Delivered Power to Aperture</t>
  </si>
  <si>
    <t>kW</t>
  </si>
  <si>
    <t>Field Efficiency to Aperture</t>
  </si>
  <si>
    <t>CPC Concentration</t>
  </si>
  <si>
    <t>CPC Throughput</t>
  </si>
  <si>
    <t>At Design Point</t>
  </si>
  <si>
    <t>Delivered Power to Reactor</t>
  </si>
  <si>
    <t>Net Concentration</t>
  </si>
  <si>
    <t>Total Power to Aperture</t>
  </si>
  <si>
    <t>MW</t>
  </si>
  <si>
    <t>Total Power to Reactor</t>
  </si>
  <si>
    <t>CPC Surface Area</t>
  </si>
  <si>
    <t># Fields per  Reactor</t>
  </si>
  <si>
    <t>Design Point Efficiency to Receiver</t>
  </si>
  <si>
    <t>C</t>
  </si>
  <si>
    <t>Annual Efficiency</t>
  </si>
  <si>
    <t>Solar Available</t>
  </si>
  <si>
    <t xml:space="preserve">Annual Performance Summary </t>
  </si>
  <si>
    <r>
      <t>o</t>
    </r>
    <r>
      <rPr>
        <b/>
        <sz val="12"/>
        <rFont val="Arial"/>
        <family val="2"/>
      </rPr>
      <t>C</t>
    </r>
  </si>
  <si>
    <r>
      <t>Net Power to Reactor, Wh/m</t>
    </r>
    <r>
      <rPr>
        <b/>
        <vertAlign val="superscript"/>
        <sz val="14"/>
        <rFont val="Arial"/>
        <family val="2"/>
      </rPr>
      <t>2</t>
    </r>
    <r>
      <rPr>
        <b/>
        <sz val="14"/>
        <rFont val="Arial"/>
        <family val="2"/>
      </rPr>
      <t xml:space="preserve"> (for each hour per unit heliostat area) = DNI x Average Efficiency for that hour</t>
    </r>
  </si>
  <si>
    <t>Month</t>
  </si>
  <si>
    <t>Hour</t>
  </si>
  <si>
    <t>Hours/Day</t>
  </si>
  <si>
    <t># Days/Month</t>
  </si>
  <si>
    <t>Hours/Yr</t>
  </si>
  <si>
    <t>Fraction of Year</t>
  </si>
  <si>
    <t>Hours/Month</t>
  </si>
  <si>
    <r>
      <t>Monthly Sum, kWhr/m</t>
    </r>
    <r>
      <rPr>
        <b/>
        <vertAlign val="superscript"/>
        <sz val="12"/>
        <rFont val="Arial"/>
        <family val="2"/>
      </rPr>
      <t>2</t>
    </r>
  </si>
  <si>
    <r>
      <t>h</t>
    </r>
    <r>
      <rPr>
        <b/>
        <vertAlign val="subscript"/>
        <sz val="12"/>
        <rFont val="Arial"/>
        <family val="2"/>
      </rPr>
      <t>annual</t>
    </r>
  </si>
  <si>
    <r>
      <t>h</t>
    </r>
    <r>
      <rPr>
        <b/>
        <vertAlign val="subscript"/>
        <sz val="12"/>
        <rFont val="Arial"/>
        <family val="2"/>
      </rPr>
      <t>monthly</t>
    </r>
  </si>
  <si>
    <t>Net Power to Reactor, kWh (for each hour for entire heliostat field) = DNI x Average Efficiency for that hour x Heliostat Area</t>
  </si>
  <si>
    <t>Monthly Sum, GWh</t>
  </si>
  <si>
    <t>Hours Solar Delivered</t>
  </si>
  <si>
    <t>Annual Solar Requirement</t>
  </si>
  <si>
    <t>Solar At or Above Required Duty</t>
  </si>
  <si>
    <t>Yearly Total</t>
  </si>
  <si>
    <t>Monthly Available, GWh</t>
  </si>
  <si>
    <t>Monthly Excess, GWh</t>
  </si>
  <si>
    <t>Monthly Delivered, GWh</t>
  </si>
  <si>
    <t>Solar Below Required Duty</t>
  </si>
  <si>
    <t>Electrical Required (Solar Available), GWh</t>
  </si>
  <si>
    <t>Electrical Required (Solar Not Available), GWh</t>
  </si>
  <si>
    <t>Solar Total to Process</t>
  </si>
  <si>
    <t>Monthly, GWh</t>
  </si>
  <si>
    <t>Annual Performance Runs from Soltrace for High Concentration System (~8000x)</t>
  </si>
  <si>
    <t>Tower Height, m</t>
  </si>
  <si>
    <t>Reactor Temperature, C</t>
  </si>
  <si>
    <t>Heliostat Dimension</t>
  </si>
  <si>
    <t>T/s</t>
  </si>
  <si>
    <t>s</t>
  </si>
  <si>
    <t>r</t>
  </si>
  <si>
    <t># Heliostats</t>
  </si>
  <si>
    <r>
      <t>Area, m</t>
    </r>
    <r>
      <rPr>
        <vertAlign val="superscript"/>
        <sz val="12"/>
        <rFont val="Arial"/>
        <family val="2"/>
      </rPr>
      <t>2</t>
    </r>
  </si>
  <si>
    <t>Loss Factors At Site (3 Field Averages at Design Point)</t>
  </si>
  <si>
    <r>
      <t>Ellipse Area, m</t>
    </r>
    <r>
      <rPr>
        <vertAlign val="superscript"/>
        <sz val="12"/>
        <rFont val="Arial"/>
        <family val="2"/>
      </rPr>
      <t>2</t>
    </r>
  </si>
  <si>
    <t xml:space="preserve">Loss Factors </t>
  </si>
  <si>
    <t>Heliostat Area Fraction</t>
  </si>
  <si>
    <t>Cosine Loss</t>
  </si>
  <si>
    <t>Not a function of temperature</t>
  </si>
  <si>
    <t>Enclosing Rectangle Area, acres</t>
  </si>
  <si>
    <t>Shading/Blocking</t>
  </si>
  <si>
    <r>
      <t>h</t>
    </r>
    <r>
      <rPr>
        <vertAlign val="subscript"/>
        <sz val="14"/>
        <rFont val="Arial"/>
        <family val="2"/>
      </rPr>
      <t>s</t>
    </r>
  </si>
  <si>
    <r>
      <t>h</t>
    </r>
    <r>
      <rPr>
        <vertAlign val="subscript"/>
        <sz val="14"/>
        <rFont val="Arial"/>
        <family val="2"/>
      </rPr>
      <t>r</t>
    </r>
  </si>
  <si>
    <r>
      <t>h</t>
    </r>
    <r>
      <rPr>
        <vertAlign val="subscript"/>
        <sz val="14"/>
        <rFont val="Arial"/>
        <family val="2"/>
      </rPr>
      <t>r*</t>
    </r>
    <r>
      <rPr>
        <sz val="14"/>
        <rFont val="Symbol"/>
        <family val="1"/>
        <charset val="2"/>
      </rPr>
      <t>h</t>
    </r>
    <r>
      <rPr>
        <vertAlign val="subscript"/>
        <sz val="14"/>
        <rFont val="Arial"/>
        <family val="2"/>
      </rPr>
      <t>s</t>
    </r>
  </si>
  <si>
    <t>Focal Lengths/Field</t>
  </si>
  <si>
    <t>Reflectance</t>
  </si>
  <si>
    <t>Intercept</t>
  </si>
  <si>
    <r>
      <t>q</t>
    </r>
    <r>
      <rPr>
        <vertAlign val="subscript"/>
        <sz val="12"/>
        <rFont val="Arial"/>
        <family val="2"/>
      </rPr>
      <t>c</t>
    </r>
  </si>
  <si>
    <t>g</t>
  </si>
  <si>
    <t>Field Efficiency to Receiver</t>
  </si>
  <si>
    <t>Entrance Radius, m</t>
  </si>
  <si>
    <t>Receiver Heat Loss</t>
  </si>
  <si>
    <t>Exit Radius, m</t>
  </si>
  <si>
    <t>Net Eff to Process</t>
  </si>
  <si>
    <t>Height, m</t>
  </si>
  <si>
    <r>
      <t>~CPC Surface Area, m</t>
    </r>
    <r>
      <rPr>
        <vertAlign val="superscript"/>
        <sz val="12"/>
        <rFont val="Arial"/>
        <family val="2"/>
      </rPr>
      <t>2</t>
    </r>
  </si>
  <si>
    <t>Latitude</t>
  </si>
  <si>
    <t>North Field</t>
  </si>
  <si>
    <t>East Field</t>
  </si>
  <si>
    <t>West Field</t>
  </si>
  <si>
    <r>
      <t>Performance @ 1000 W/m</t>
    </r>
    <r>
      <rPr>
        <b/>
        <vertAlign val="superscript"/>
        <sz val="12"/>
        <rFont val="Arial"/>
        <family val="2"/>
      </rPr>
      <t>2</t>
    </r>
  </si>
  <si>
    <t>@Daggett</t>
  </si>
  <si>
    <r>
      <t>@1000W/m</t>
    </r>
    <r>
      <rPr>
        <b/>
        <vertAlign val="superscript"/>
        <sz val="12"/>
        <rFont val="Arial"/>
        <family val="2"/>
      </rPr>
      <t>2</t>
    </r>
  </si>
  <si>
    <t>Day</t>
  </si>
  <si>
    <r>
      <t>Proj Area, m</t>
    </r>
    <r>
      <rPr>
        <vertAlign val="superscript"/>
        <sz val="12"/>
        <rFont val="Arial"/>
        <family val="2"/>
      </rPr>
      <t>2</t>
    </r>
  </si>
  <si>
    <t>Total Power, kW</t>
  </si>
  <si>
    <r>
      <t>h</t>
    </r>
    <r>
      <rPr>
        <vertAlign val="subscript"/>
        <sz val="12"/>
        <rFont val="Arial"/>
        <family val="2"/>
      </rPr>
      <t>tp</t>
    </r>
  </si>
  <si>
    <t>s/b</t>
  </si>
  <si>
    <t>95% Power, kW</t>
  </si>
  <si>
    <t>% Power</t>
  </si>
  <si>
    <r>
      <t>CPC Entrance Flux, kW/m</t>
    </r>
    <r>
      <rPr>
        <vertAlign val="superscript"/>
        <sz val="12"/>
        <rFont val="Arial"/>
        <family val="2"/>
      </rPr>
      <t>2</t>
    </r>
  </si>
  <si>
    <r>
      <t>CPC Exit Power, kW</t>
    </r>
    <r>
      <rPr>
        <sz val="12"/>
        <rFont val="Arial"/>
        <family val="2"/>
      </rPr>
      <t/>
    </r>
  </si>
  <si>
    <r>
      <t>CPC Exit Flux, kW/m</t>
    </r>
    <r>
      <rPr>
        <vertAlign val="superscript"/>
        <sz val="12"/>
        <rFont val="Arial"/>
        <family val="2"/>
      </rPr>
      <t>2</t>
    </r>
  </si>
  <si>
    <r>
      <t>Ave I</t>
    </r>
    <r>
      <rPr>
        <vertAlign val="subscript"/>
        <sz val="12"/>
        <rFont val="Arial"/>
        <family val="2"/>
      </rPr>
      <t>DN</t>
    </r>
  </si>
  <si>
    <t># Hours</t>
  </si>
  <si>
    <t>T, C</t>
  </si>
  <si>
    <t>Sum</t>
  </si>
  <si>
    <t>Eff</t>
  </si>
  <si>
    <t>Average Efficiencies</t>
  </si>
  <si>
    <t>T,C</t>
  </si>
  <si>
    <t>Solar Efficiency</t>
  </si>
  <si>
    <t>DESIGN POINT</t>
  </si>
  <si>
    <t>Min Values</t>
  </si>
  <si>
    <t>Average Values</t>
  </si>
  <si>
    <t>Max Values</t>
  </si>
  <si>
    <t>Total Number Hours (Chosen Days/Month)</t>
  </si>
  <si>
    <t>Total Number Hours/Year</t>
  </si>
  <si>
    <t>Solar Capacity Factor (Hours Available/Total Hours in Year)</t>
  </si>
  <si>
    <t xml:space="preserve">Soltrace analysis to generate design point </t>
  </si>
  <si>
    <t>L30D82H10</t>
  </si>
  <si>
    <t>T</t>
  </si>
  <si>
    <r>
      <t>s</t>
    </r>
    <r>
      <rPr>
        <vertAlign val="subscript"/>
        <sz val="12"/>
        <rFont val="Arial"/>
        <family val="2"/>
      </rPr>
      <t>slope</t>
    </r>
  </si>
  <si>
    <r>
      <t>s</t>
    </r>
    <r>
      <rPr>
        <vertAlign val="subscript"/>
        <sz val="12"/>
        <rFont val="Arial"/>
        <family val="2"/>
      </rPr>
      <t>spec</t>
    </r>
  </si>
  <si>
    <t>Focal Length</t>
  </si>
  <si>
    <t>Ideal</t>
  </si>
  <si>
    <r>
      <t>C/C</t>
    </r>
    <r>
      <rPr>
        <vertAlign val="subscript"/>
        <sz val="12"/>
        <rFont val="Arial"/>
        <family val="2"/>
      </rPr>
      <t>max</t>
    </r>
  </si>
  <si>
    <t>#</t>
  </si>
  <si>
    <t>95% Intercept Entrance Radius, m</t>
  </si>
  <si>
    <t>95% Intercept Exit Radius, m</t>
  </si>
  <si>
    <t>95% Intercept Height, m</t>
  </si>
  <si>
    <r>
      <t>Ideal Exit Flux, kW/m</t>
    </r>
    <r>
      <rPr>
        <vertAlign val="superscript"/>
        <sz val="12"/>
        <rFont val="Arial"/>
        <family val="2"/>
      </rPr>
      <t>2</t>
    </r>
  </si>
  <si>
    <t>Fraction of Ideal</t>
  </si>
  <si>
    <t>Re</t>
  </si>
  <si>
    <t>CPC Exit Power, kW</t>
  </si>
  <si>
    <t>95% Intercept CPC Parameters</t>
  </si>
  <si>
    <r>
      <t>Daggett TMY2 Average Hourly Values, W/m</t>
    </r>
    <r>
      <rPr>
        <b/>
        <vertAlign val="superscript"/>
        <sz val="12"/>
        <rFont val="Arial"/>
        <family val="2"/>
      </rPr>
      <t>2</t>
    </r>
  </si>
  <si>
    <t>N34 52</t>
  </si>
  <si>
    <t>W116 47</t>
  </si>
  <si>
    <t>Data from Daggett.xls</t>
  </si>
  <si>
    <t>Modeled Day</t>
  </si>
  <si>
    <t># Days</t>
  </si>
  <si>
    <r>
      <t>Yearly Sum, kWhr/m</t>
    </r>
    <r>
      <rPr>
        <b/>
        <vertAlign val="superscript"/>
        <sz val="12"/>
        <rFont val="Arial"/>
        <family val="2"/>
      </rPr>
      <t>2</t>
    </r>
  </si>
  <si>
    <r>
      <t>Daily Average, kWhr/m</t>
    </r>
    <r>
      <rPr>
        <b/>
        <vertAlign val="superscript"/>
        <sz val="12"/>
        <rFont val="Arial"/>
        <family val="2"/>
      </rPr>
      <t>2</t>
    </r>
  </si>
  <si>
    <t>Hours/Year</t>
  </si>
  <si>
    <r>
      <t>Daggett TMY2 Maximum Hourly Values, W/m</t>
    </r>
    <r>
      <rPr>
        <b/>
        <vertAlign val="superscript"/>
        <sz val="10"/>
        <rFont val="Arial"/>
        <family val="2"/>
      </rPr>
      <t>2</t>
    </r>
  </si>
  <si>
    <r>
      <t>Monthly Sum, kWhr/m</t>
    </r>
    <r>
      <rPr>
        <b/>
        <vertAlign val="superscript"/>
        <sz val="10"/>
        <rFont val="Arial"/>
        <family val="2"/>
      </rPr>
      <t>2</t>
    </r>
  </si>
  <si>
    <r>
      <t>Yearly Sum, kWhr/m</t>
    </r>
    <r>
      <rPr>
        <b/>
        <vertAlign val="superscript"/>
        <sz val="10"/>
        <rFont val="Arial"/>
        <family val="2"/>
      </rPr>
      <t>2</t>
    </r>
  </si>
  <si>
    <r>
      <t>Daily Average, kWhr/m</t>
    </r>
    <r>
      <rPr>
        <b/>
        <vertAlign val="superscript"/>
        <sz val="10"/>
        <rFont val="Arial"/>
        <family val="2"/>
      </rPr>
      <t>2</t>
    </r>
  </si>
  <si>
    <r>
      <t>ASHRAE Handbook of Fundamentals, 1972; Clear Day Direct Irradiance, W/m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; </t>
    </r>
    <r>
      <rPr>
        <b/>
        <sz val="12"/>
        <rFont val="Symbol"/>
        <family val="1"/>
        <charset val="2"/>
      </rPr>
      <t>a</t>
    </r>
    <r>
      <rPr>
        <b/>
        <sz val="12"/>
        <rFont val="Arial"/>
        <family val="2"/>
      </rPr>
      <t>&gt;10</t>
    </r>
    <r>
      <rPr>
        <b/>
        <vertAlign val="superscript"/>
        <sz val="12"/>
        <rFont val="Arial"/>
        <family val="2"/>
      </rPr>
      <t>o</t>
    </r>
    <r>
      <rPr>
        <b/>
        <sz val="12"/>
        <rFont val="Arial"/>
        <family val="2"/>
      </rPr>
      <t>; L=30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</si>
</sst>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>
    <font>
      <sz val="12"/>
      <name val="Arial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color indexed="81"/>
      <name val="Tahoma"/>
      <family val="2"/>
    </font>
    <font>
      <sz val="12"/>
      <color indexed="55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perscript"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Symbol"/>
      <family val="1"/>
      <charset val="2"/>
    </font>
    <font>
      <b/>
      <vertAlign val="subscript"/>
      <sz val="12"/>
      <name val="Arial"/>
      <family val="2"/>
    </font>
    <font>
      <b/>
      <sz val="12"/>
      <color rgb="FFC00000"/>
      <name val="Arial"/>
      <family val="2"/>
    </font>
    <font>
      <b/>
      <sz val="14"/>
      <name val="Symbol"/>
      <family val="1"/>
      <charset val="2"/>
    </font>
    <font>
      <b/>
      <vertAlign val="subscript"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2" fontId="0" fillId="0" borderId="0" xfId="0" applyNumberFormat="1"/>
    <xf numFmtId="1" fontId="0" fillId="3" borderId="0" xfId="0" applyNumberForma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165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5" borderId="0" xfId="0" applyFill="1"/>
    <xf numFmtId="165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1" fillId="0" borderId="0" xfId="0" applyNumberFormat="1" applyFont="1" applyAlignment="1">
      <alignment horizontal="center" wrapText="1"/>
    </xf>
    <xf numFmtId="164" fontId="1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 wrapText="1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 wrapText="1"/>
    </xf>
    <xf numFmtId="165" fontId="1" fillId="5" borderId="0" xfId="0" applyNumberFormat="1" applyFont="1" applyFill="1" applyAlignment="1">
      <alignment horizontal="center"/>
    </xf>
    <xf numFmtId="0" fontId="10" fillId="0" borderId="0" xfId="0" applyFont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6" fillId="5" borderId="0" xfId="0" applyFont="1" applyFill="1" applyAlignment="1">
      <alignment horizontal="right"/>
    </xf>
    <xf numFmtId="11" fontId="0" fillId="0" borderId="0" xfId="0" applyNumberFormat="1"/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6" fillId="0" borderId="0" xfId="0" applyFont="1"/>
    <xf numFmtId="0" fontId="4" fillId="0" borderId="0" xfId="0" applyFont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4" borderId="0" xfId="0" applyFill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4" borderId="0" xfId="0" applyFill="1" applyAlignment="1">
      <alignment horizontal="center" vertical="center" wrapText="1"/>
    </xf>
    <xf numFmtId="1" fontId="1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9" xfId="0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 wrapText="1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13" fillId="0" borderId="10" xfId="0" applyFont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  <xf numFmtId="165" fontId="10" fillId="0" borderId="0" xfId="0" applyNumberFormat="1" applyFont="1" applyAlignment="1">
      <alignment horizontal="center"/>
    </xf>
    <xf numFmtId="0" fontId="0" fillId="7" borderId="0" xfId="0" applyFill="1" applyAlignment="1">
      <alignment horizontal="center"/>
    </xf>
    <xf numFmtId="0" fontId="21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2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10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165" fontId="0" fillId="8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1" xfId="0" applyBorder="1"/>
    <xf numFmtId="0" fontId="0" fillId="0" borderId="20" xfId="0" applyBorder="1"/>
    <xf numFmtId="0" fontId="10" fillId="0" borderId="19" xfId="0" applyFont="1" applyBorder="1" applyAlignment="1">
      <alignment horizontal="left"/>
    </xf>
    <xf numFmtId="165" fontId="0" fillId="0" borderId="0" xfId="0" applyNumberFormat="1"/>
    <xf numFmtId="0" fontId="1" fillId="5" borderId="0" xfId="0" applyFont="1" applyFill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1" fontId="1" fillId="0" borderId="0" xfId="0" applyNumberFormat="1" applyFont="1"/>
    <xf numFmtId="0" fontId="10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18" xfId="0" applyNumberFormat="1" applyFont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0" fontId="10" fillId="0" borderId="17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7" xfId="0" quotePrefix="1" applyFont="1" applyBorder="1" applyAlignment="1">
      <alignment horizontal="center"/>
    </xf>
    <xf numFmtId="0" fontId="11" fillId="0" borderId="0" xfId="0" applyFont="1" applyAlignment="1">
      <alignment horizontal="center" vertical="center" textRotation="180" wrapText="1"/>
    </xf>
  </cellXfs>
  <cellStyles count="1">
    <cellStyle name="Normal" xfId="0" builtinId="0"/>
  </cellStyles>
  <dxfs count="2">
    <dxf>
      <fill>
        <patternFill>
          <bgColor indexed="10"/>
        </patternFill>
      </fill>
    </dxf>
    <dxf>
      <font>
        <color theme="1"/>
      </font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CC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82, North Field</a:t>
            </a:r>
          </a:p>
        </c:rich>
      </c:tx>
      <c:layout>
        <c:manualLayout>
          <c:xMode val="edge"/>
          <c:yMode val="edge"/>
          <c:x val="0.36862815684006811"/>
          <c:y val="1.748254733007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33358864427972"/>
          <c:y val="9.4405755582378847E-2"/>
          <c:w val="0.81960941254866337"/>
          <c:h val="0.7307704783969326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Details'!$P$61:$P$71</c:f>
              <c:numCache>
                <c:formatCode>0.000</c:formatCode>
                <c:ptCount val="11"/>
                <c:pt idx="0">
                  <c:v>0.30513966480446925</c:v>
                </c:pt>
                <c:pt idx="1">
                  <c:v>0.52469273743016764</c:v>
                </c:pt>
                <c:pt idx="2">
                  <c:v>0.65572625698324027</c:v>
                </c:pt>
                <c:pt idx="3">
                  <c:v>0.70516759776536309</c:v>
                </c:pt>
                <c:pt idx="4">
                  <c:v>0.71092178770949721</c:v>
                </c:pt>
                <c:pt idx="5">
                  <c:v>0.71452513966480447</c:v>
                </c:pt>
                <c:pt idx="6">
                  <c:v>0.71092178770949721</c:v>
                </c:pt>
                <c:pt idx="7">
                  <c:v>0.70516759776536309</c:v>
                </c:pt>
                <c:pt idx="8">
                  <c:v>0.65572625698324027</c:v>
                </c:pt>
                <c:pt idx="9">
                  <c:v>0.52469273743016764</c:v>
                </c:pt>
                <c:pt idx="10">
                  <c:v>0.30513966480446925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6-4E21-B604-B9877599C9BD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Details'!$R$61:$R$71</c:f>
              <c:numCache>
                <c:formatCode>0.000</c:formatCode>
                <c:ptCount val="11"/>
                <c:pt idx="0">
                  <c:v>0.57608397494468755</c:v>
                </c:pt>
                <c:pt idx="1">
                  <c:v>0.87941737830211975</c:v>
                </c:pt>
                <c:pt idx="2">
                  <c:v>0.92228152246653106</c:v>
                </c:pt>
                <c:pt idx="3">
                  <c:v>0.93217170908311164</c:v>
                </c:pt>
                <c:pt idx="4">
                  <c:v>0.9364586030503449</c:v>
                </c:pt>
                <c:pt idx="5">
                  <c:v>0.93577818998284834</c:v>
                </c:pt>
                <c:pt idx="6">
                  <c:v>0.93553388971610862</c:v>
                </c:pt>
                <c:pt idx="7">
                  <c:v>0.93282152927960171</c:v>
                </c:pt>
                <c:pt idx="8">
                  <c:v>0.92334679574305811</c:v>
                </c:pt>
                <c:pt idx="9">
                  <c:v>0.89236676785706526</c:v>
                </c:pt>
                <c:pt idx="10">
                  <c:v>0.77371145079822568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96-4E21-B604-B9877599C9BD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Details'!$T$61:$T$71</c:f>
              <c:numCache>
                <c:formatCode>0.000</c:formatCode>
                <c:ptCount val="11"/>
                <c:pt idx="0">
                  <c:v>0.88447604581718453</c:v>
                </c:pt>
                <c:pt idx="1">
                  <c:v>0.93281603090432941</c:v>
                </c:pt>
                <c:pt idx="2">
                  <c:v>0.9462413769758008</c:v>
                </c:pt>
                <c:pt idx="3">
                  <c:v>0.95001054959425324</c:v>
                </c:pt>
                <c:pt idx="4">
                  <c:v>0.9504151634319643</c:v>
                </c:pt>
                <c:pt idx="5">
                  <c:v>0.95066521987908226</c:v>
                </c:pt>
                <c:pt idx="6">
                  <c:v>0.9504151634319643</c:v>
                </c:pt>
                <c:pt idx="7">
                  <c:v>0.95001054959425324</c:v>
                </c:pt>
                <c:pt idx="8">
                  <c:v>0.9462413769758008</c:v>
                </c:pt>
                <c:pt idx="9">
                  <c:v>0.93281603090432941</c:v>
                </c:pt>
                <c:pt idx="10">
                  <c:v>0.88447604581718453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96-4E21-B604-B9877599C9BD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Details'!$S$61:$S$71</c:f>
              <c:numCache>
                <c:formatCode>0.000</c:formatCode>
                <c:ptCount val="11"/>
                <c:pt idx="0">
                  <c:v>0.17578607101384822</c:v>
                </c:pt>
                <c:pt idx="1">
                  <c:v>0.46142391156500051</c:v>
                </c:pt>
                <c:pt idx="2">
                  <c:v>0.60476421061178265</c:v>
                </c:pt>
                <c:pt idx="3">
                  <c:v>0.65733728479897069</c:v>
                </c:pt>
                <c:pt idx="4">
                  <c:v>0.66574882419648962</c:v>
                </c:pt>
                <c:pt idx="5">
                  <c:v>0.66863704189277262</c:v>
                </c:pt>
                <c:pt idx="6">
                  <c:v>0.66509142533979559</c:v>
                </c:pt>
                <c:pt idx="7">
                  <c:v>0.6577955169459091</c:v>
                </c:pt>
                <c:pt idx="8">
                  <c:v>0.60546273827006403</c:v>
                </c:pt>
                <c:pt idx="9">
                  <c:v>0.4682183622186345</c:v>
                </c:pt>
                <c:pt idx="10">
                  <c:v>0.23609005275195019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96-4E21-B604-B9877599C9BD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Details'!$U$61:$U$71</c:f>
              <c:numCache>
                <c:formatCode>0.000</c:formatCode>
                <c:ptCount val="11"/>
                <c:pt idx="0">
                  <c:v>0.26988872414823806</c:v>
                </c:pt>
                <c:pt idx="1">
                  <c:v>0.48944179677393646</c:v>
                </c:pt>
                <c:pt idx="2">
                  <c:v>0.62047531632700914</c:v>
                </c:pt>
                <c:pt idx="3">
                  <c:v>0.66991665710913184</c:v>
                </c:pt>
                <c:pt idx="4">
                  <c:v>0.67567084705326608</c:v>
                </c:pt>
                <c:pt idx="5">
                  <c:v>0.67927419900857333</c:v>
                </c:pt>
                <c:pt idx="6">
                  <c:v>0.67567084705326608</c:v>
                </c:pt>
                <c:pt idx="7">
                  <c:v>0.66991665710913184</c:v>
                </c:pt>
                <c:pt idx="8">
                  <c:v>0.62047531632700914</c:v>
                </c:pt>
                <c:pt idx="9">
                  <c:v>0.48944179677393646</c:v>
                </c:pt>
                <c:pt idx="10">
                  <c:v>0.26988872414823806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96-4E21-B604-B9877599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1200"/>
        <c:axId val="195893504"/>
      </c:scatterChart>
      <c:valAx>
        <c:axId val="195891200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078519605008433"/>
              <c:y val="0.9020994422316206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893504"/>
        <c:crosses val="autoZero"/>
        <c:crossBetween val="midCat"/>
      </c:valAx>
      <c:valAx>
        <c:axId val="1958935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7451032956175337E-2"/>
              <c:y val="0.332168399271333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89120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411840172794627"/>
          <c:y val="0.47902179684392232"/>
          <c:w val="0.31568687899601638"/>
          <c:h val="0.307692833009235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22, East Field</a:t>
            </a:r>
          </a:p>
        </c:rich>
      </c:tx>
      <c:layout>
        <c:manualLayout>
          <c:xMode val="edge"/>
          <c:yMode val="edge"/>
          <c:x val="0.38306489323267301"/>
          <c:y val="1.9762883991485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91946796980135"/>
          <c:y val="0.10671957355401904"/>
          <c:w val="0.83669437206083652"/>
          <c:h val="0.71541640049175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Details'!$AQ$35:$AQ$43</c:f>
              <c:numCache>
                <c:formatCode>0.000</c:formatCode>
                <c:ptCount val="9"/>
                <c:pt idx="0">
                  <c:v>0.26918994413407821</c:v>
                </c:pt>
                <c:pt idx="1">
                  <c:v>0.3727932960893855</c:v>
                </c:pt>
                <c:pt idx="2">
                  <c:v>0.49650837988826818</c:v>
                </c:pt>
                <c:pt idx="3">
                  <c:v>0.59790502793296085</c:v>
                </c:pt>
                <c:pt idx="4">
                  <c:v>0.66642458100558655</c:v>
                </c:pt>
                <c:pt idx="5">
                  <c:v>0.65673184357541903</c:v>
                </c:pt>
                <c:pt idx="6">
                  <c:v>0.59145251396648046</c:v>
                </c:pt>
                <c:pt idx="7">
                  <c:v>0.54240223463687154</c:v>
                </c:pt>
                <c:pt idx="8">
                  <c:v>0.35941340782122905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29-4D27-97B4-35747A53D01C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Details'!$AS$35:$AS$43</c:f>
              <c:numCache>
                <c:formatCode>0.000</c:formatCode>
                <c:ptCount val="9"/>
                <c:pt idx="0">
                  <c:v>0.5039699911746881</c:v>
                </c:pt>
                <c:pt idx="1">
                  <c:v>0.81760143832984689</c:v>
                </c:pt>
                <c:pt idx="2">
                  <c:v>0.89164395780179317</c:v>
                </c:pt>
                <c:pt idx="3">
                  <c:v>0.9148371387449209</c:v>
                </c:pt>
                <c:pt idx="4">
                  <c:v>0.9267929735430116</c:v>
                </c:pt>
                <c:pt idx="5">
                  <c:v>0.92587136162955042</c:v>
                </c:pt>
                <c:pt idx="6">
                  <c:v>0.91682635112477018</c:v>
                </c:pt>
                <c:pt idx="7">
                  <c:v>0.90042000094127672</c:v>
                </c:pt>
                <c:pt idx="8">
                  <c:v>0.81258387172914948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29-4D27-97B4-35747A53D01C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Details'!$AT$35:$AT$43</c:f>
              <c:numCache>
                <c:formatCode>0.000</c:formatCode>
                <c:ptCount val="9"/>
                <c:pt idx="0">
                  <c:v>0.13566365376956618</c:v>
                </c:pt>
                <c:pt idx="1">
                  <c:v>0.30479633508240606</c:v>
                </c:pt>
                <c:pt idx="2">
                  <c:v>0.44270869692533171</c:v>
                </c:pt>
                <c:pt idx="3">
                  <c:v>0.54698572499539189</c:v>
                </c:pt>
                <c:pt idx="4">
                  <c:v>0.61763761907232317</c:v>
                </c:pt>
                <c:pt idx="5">
                  <c:v>0.60804920623665815</c:v>
                </c:pt>
                <c:pt idx="6">
                  <c:v>0.54225925024346044</c:v>
                </c:pt>
                <c:pt idx="7">
                  <c:v>0.48838982062228248</c:v>
                </c:pt>
                <c:pt idx="8">
                  <c:v>0.29205353847874205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29-4D27-97B4-35747A53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43808"/>
        <c:axId val="195946368"/>
      </c:scatterChart>
      <c:valAx>
        <c:axId val="195943808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362947882816335"/>
              <c:y val="0.893282356415120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46368"/>
        <c:crosses val="autoZero"/>
        <c:crossBetween val="midCat"/>
      </c:valAx>
      <c:valAx>
        <c:axId val="19594636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80655085070301E-2"/>
              <c:y val="0.3359690278552459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4380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95972167941345"/>
          <c:y val="0.50592983018201565"/>
          <c:w val="0.20766149475244863"/>
          <c:h val="0.292490683073978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 West Field</a:t>
            </a:r>
          </a:p>
        </c:rich>
      </c:tx>
      <c:layout>
        <c:manualLayout>
          <c:xMode val="edge"/>
          <c:yMode val="edge"/>
          <c:x val="0.39842285815546968"/>
          <c:y val="1.89394639983723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46973199918624E-2"/>
          <c:w val="0.82840396250146853"/>
          <c:h val="0.7234875247378238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Details'!$BR$35:$BR$43</c:f>
              <c:numCache>
                <c:formatCode>0.000</c:formatCode>
                <c:ptCount val="9"/>
                <c:pt idx="0">
                  <c:v>0.35941340782122905</c:v>
                </c:pt>
                <c:pt idx="1">
                  <c:v>0.54240223463687154</c:v>
                </c:pt>
                <c:pt idx="2">
                  <c:v>0.59145251396648046</c:v>
                </c:pt>
                <c:pt idx="3">
                  <c:v>0.65673184357541903</c:v>
                </c:pt>
                <c:pt idx="4">
                  <c:v>0.66642458100558655</c:v>
                </c:pt>
                <c:pt idx="5">
                  <c:v>0.59790502793296085</c:v>
                </c:pt>
                <c:pt idx="6">
                  <c:v>0.49650837988826818</c:v>
                </c:pt>
                <c:pt idx="7">
                  <c:v>0.3727932960893855</c:v>
                </c:pt>
                <c:pt idx="8">
                  <c:v>0.26918994413407821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FD-4835-8E25-5B6B2A455FD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Details'!$BT$35:$BT$43</c:f>
              <c:numCache>
                <c:formatCode>0.000</c:formatCode>
                <c:ptCount val="9"/>
                <c:pt idx="0">
                  <c:v>0.62848828825293146</c:v>
                </c:pt>
                <c:pt idx="1">
                  <c:v>0.87463738778196187</c:v>
                </c:pt>
                <c:pt idx="2">
                  <c:v>0.90903803485061263</c:v>
                </c:pt>
                <c:pt idx="3">
                  <c:v>0.92246560992025151</c:v>
                </c:pt>
                <c:pt idx="4">
                  <c:v>0.9267929735430116</c:v>
                </c:pt>
                <c:pt idx="5">
                  <c:v>0.91857797632666949</c:v>
                </c:pt>
                <c:pt idx="6">
                  <c:v>0.90092158417529589</c:v>
                </c:pt>
                <c:pt idx="7">
                  <c:v>0.85511430977654057</c:v>
                </c:pt>
                <c:pt idx="8">
                  <c:v>0.74976825542585512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FD-4835-8E25-5B6B2A455FD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Details'!$BU$35:$BU$43</c:f>
              <c:numCache>
                <c:formatCode>0.000</c:formatCode>
                <c:ptCount val="9"/>
                <c:pt idx="0">
                  <c:v>0.22588711745671702</c:v>
                </c:pt>
                <c:pt idx="1">
                  <c:v>0.4744052736298921</c:v>
                </c:pt>
                <c:pt idx="2">
                  <c:v>0.53765283100354389</c:v>
                </c:pt>
                <c:pt idx="3">
                  <c:v>0.60581254063785017</c:v>
                </c:pt>
                <c:pt idx="4">
                  <c:v>0.61763761907232317</c:v>
                </c:pt>
                <c:pt idx="5">
                  <c:v>0.54922239059419997</c:v>
                </c:pt>
                <c:pt idx="6">
                  <c:v>0.44731511616524822</c:v>
                </c:pt>
                <c:pt idx="7">
                  <c:v>0.31878088207479638</c:v>
                </c:pt>
                <c:pt idx="8">
                  <c:v>0.20183007479159121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FD-4835-8E25-5B6B2A455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23328"/>
        <c:axId val="196007808"/>
      </c:scatterChart>
      <c:valAx>
        <c:axId val="1959233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1518486322525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07808"/>
        <c:crosses val="autoZero"/>
        <c:crossBetween val="midCat"/>
        <c:majorUnit val="2"/>
      </c:valAx>
      <c:valAx>
        <c:axId val="1960078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4698244770377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233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8863817115800839"/>
          <c:w val="0.2031562098515507"/>
          <c:h val="0.280304067175912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Based on Daggett TMY Solar Data</a:t>
            </a:r>
          </a:p>
        </c:rich>
      </c:tx>
      <c:layout>
        <c:manualLayout>
          <c:xMode val="edge"/>
          <c:yMode val="edge"/>
          <c:x val="0.31054461181923626"/>
          <c:y val="9.917355371900827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858632676709228E-2"/>
          <c:y val="0.13719008264462809"/>
          <c:w val="0.83893395133256088"/>
          <c:h val="0.70909090909090911"/>
        </c:manualLayout>
      </c:layout>
      <c:scatterChart>
        <c:scatterStyle val="smoothMarker"/>
        <c:varyColors val="0"/>
        <c:ser>
          <c:idx val="0"/>
          <c:order val="0"/>
          <c:tx>
            <c:v>Acceptance Angle = 23.5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'Annual Performance Details'!$CQ$57:$CQ$67</c:f>
              <c:numCache>
                <c:formatCode>General</c:formatCode>
                <c:ptCount val="11"/>
                <c:pt idx="0">
                  <c:v>1300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1800</c:v>
                </c:pt>
                <c:pt idx="6">
                  <c:v>1900</c:v>
                </c:pt>
                <c:pt idx="7">
                  <c:v>2000</c:v>
                </c:pt>
                <c:pt idx="8">
                  <c:v>2100</c:v>
                </c:pt>
                <c:pt idx="9">
                  <c:v>2200</c:v>
                </c:pt>
                <c:pt idx="10">
                  <c:v>2300</c:v>
                </c:pt>
              </c:numCache>
            </c:numRef>
          </c:xVal>
          <c:yVal>
            <c:numRef>
              <c:f>'Annual Performance Details'!$CS$57:$CS$67</c:f>
              <c:numCache>
                <c:formatCode>0.000</c:formatCode>
                <c:ptCount val="11"/>
                <c:pt idx="0">
                  <c:v>0.50698427978989635</c:v>
                </c:pt>
                <c:pt idx="1">
                  <c:v>0.49895450945341252</c:v>
                </c:pt>
                <c:pt idx="2">
                  <c:v>0.48934819093936599</c:v>
                </c:pt>
                <c:pt idx="3">
                  <c:v>0.4779713374797081</c:v>
                </c:pt>
                <c:pt idx="4">
                  <c:v>0.46461870364312563</c:v>
                </c:pt>
                <c:pt idx="5">
                  <c:v>0.44907378533504033</c:v>
                </c:pt>
                <c:pt idx="6">
                  <c:v>0.4311088197976099</c:v>
                </c:pt>
                <c:pt idx="7">
                  <c:v>0.41048478560972723</c:v>
                </c:pt>
                <c:pt idx="8">
                  <c:v>0.38695140268702055</c:v>
                </c:pt>
                <c:pt idx="9">
                  <c:v>0.36024713228185357</c:v>
                </c:pt>
                <c:pt idx="10">
                  <c:v>0.33009917698332553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C-43B9-8A6F-B7EF4A4666DF}"/>
            </c:ext>
          </c:extLst>
        </c:ser>
        <c:ser>
          <c:idx val="1"/>
          <c:order val="1"/>
          <c:tx>
            <c:v>Acceptance Angle = 35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'Annual Performance Details'!$CQ$73:$CQ$81</c:f>
              <c:numCache>
                <c:formatCode>General</c:formatCode>
                <c:ptCount val="9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</c:numCache>
            </c:numRef>
          </c:xVal>
          <c:yVal>
            <c:numRef>
              <c:f>'Annual Performance Details'!$CS$73:$CS$81</c:f>
              <c:numCache>
                <c:formatCode>0.000</c:formatCode>
                <c:ptCount val="9"/>
                <c:pt idx="0">
                  <c:v>0.46165944294244138</c:v>
                </c:pt>
                <c:pt idx="1">
                  <c:v>0.45018844899948751</c:v>
                </c:pt>
                <c:pt idx="2">
                  <c:v>0.43630807870845328</c:v>
                </c:pt>
                <c:pt idx="3">
                  <c:v>0.41970246578042908</c:v>
                </c:pt>
                <c:pt idx="4">
                  <c:v>0.40003628204795222</c:v>
                </c:pt>
                <c:pt idx="5">
                  <c:v>0.37695473746500779</c:v>
                </c:pt>
                <c:pt idx="6">
                  <c:v>0.35008358010702778</c:v>
                </c:pt>
                <c:pt idx="7">
                  <c:v>0.3190290961708917</c:v>
                </c:pt>
                <c:pt idx="8">
                  <c:v>0.28337810997492624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CC-43B9-8A6F-B7EF4A466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90112"/>
        <c:axId val="196112768"/>
      </c:scatterChart>
      <c:valAx>
        <c:axId val="196090112"/>
        <c:scaling>
          <c:orientation val="minMax"/>
          <c:max val="2000"/>
          <c:min val="12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Receiver Temperature, 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o</a:t>
                </a: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</a:p>
            </c:rich>
          </c:tx>
          <c:layout>
            <c:manualLayout>
              <c:xMode val="edge"/>
              <c:yMode val="edge"/>
              <c:x val="0.39745075318655948"/>
              <c:y val="0.905785123966940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112768"/>
        <c:crosses val="autoZero"/>
        <c:crossBetween val="midCat"/>
      </c:valAx>
      <c:valAx>
        <c:axId val="196112768"/>
        <c:scaling>
          <c:orientation val="minMax"/>
          <c:max val="0.60000000000000064"/>
          <c:min val="0.3000000000000003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 To Process</a:t>
                </a:r>
              </a:p>
            </c:rich>
          </c:tx>
          <c:layout>
            <c:manualLayout>
              <c:xMode val="edge"/>
              <c:yMode val="edge"/>
              <c:x val="1.6222479721900392E-2"/>
              <c:y val="0.348760330578512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90112"/>
        <c:crosses val="autoZero"/>
        <c:crossBetween val="midCat"/>
        <c:maj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820393974507533"/>
          <c:y val="0.17355371900826447"/>
          <c:w val="0.35341830822711545"/>
          <c:h val="0.147107438016529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264, North Field</a:t>
            </a:r>
          </a:p>
        </c:rich>
      </c:tx>
      <c:layout>
        <c:manualLayout>
          <c:xMode val="edge"/>
          <c:yMode val="edge"/>
          <c:x val="0.36186804804160144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40479124056803"/>
          <c:y val="9.5238435920458206E-2"/>
          <c:w val="0.8249035073636497"/>
          <c:h val="0.725277319701949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Details'!$P$148:$P$158</c:f>
              <c:numCache>
                <c:formatCode>0.000</c:formatCode>
                <c:ptCount val="11"/>
                <c:pt idx="0">
                  <c:v>0.30513966480446925</c:v>
                </c:pt>
                <c:pt idx="1">
                  <c:v>0.52469273743016764</c:v>
                </c:pt>
                <c:pt idx="2">
                  <c:v>0.65572625698324027</c:v>
                </c:pt>
                <c:pt idx="3">
                  <c:v>0.70516759776536309</c:v>
                </c:pt>
                <c:pt idx="4">
                  <c:v>0.71092178770949721</c:v>
                </c:pt>
                <c:pt idx="5">
                  <c:v>0.71452513966480447</c:v>
                </c:pt>
                <c:pt idx="6">
                  <c:v>0.71092178770949721</c:v>
                </c:pt>
                <c:pt idx="7">
                  <c:v>0.70516759776536309</c:v>
                </c:pt>
                <c:pt idx="8">
                  <c:v>0.65572625698324027</c:v>
                </c:pt>
                <c:pt idx="9">
                  <c:v>0.52469273743016764</c:v>
                </c:pt>
                <c:pt idx="10">
                  <c:v>0.30513966480446925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71-47C2-B2F5-3A1D8434866F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Details'!$R$148:$R$158</c:f>
              <c:numCache>
                <c:formatCode>0.000</c:formatCode>
                <c:ptCount val="11"/>
                <c:pt idx="0">
                  <c:v>0.75722035254102915</c:v>
                </c:pt>
                <c:pt idx="1">
                  <c:v>0.90022979439684847</c:v>
                </c:pt>
                <c:pt idx="2">
                  <c:v>0.93031206348790774</c:v>
                </c:pt>
                <c:pt idx="3">
                  <c:v>0.94052072762039807</c:v>
                </c:pt>
                <c:pt idx="4">
                  <c:v>0.94082271670417306</c:v>
                </c:pt>
                <c:pt idx="5">
                  <c:v>0.94164460532095351</c:v>
                </c:pt>
                <c:pt idx="6">
                  <c:v>0.93880608568776203</c:v>
                </c:pt>
                <c:pt idx="7">
                  <c:v>0.93518995597933385</c:v>
                </c:pt>
                <c:pt idx="8">
                  <c:v>0.92555205209961244</c:v>
                </c:pt>
                <c:pt idx="9">
                  <c:v>0.88549656155006939</c:v>
                </c:pt>
                <c:pt idx="10">
                  <c:v>0.77142950091477669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71-47C2-B2F5-3A1D8434866F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Details'!$T$148:$T$158</c:f>
              <c:numCache>
                <c:formatCode>0.000</c:formatCode>
                <c:ptCount val="11"/>
                <c:pt idx="0">
                  <c:v>0.88447604581718453</c:v>
                </c:pt>
                <c:pt idx="1">
                  <c:v>0.93281603090432941</c:v>
                </c:pt>
                <c:pt idx="2">
                  <c:v>0.9462413769758008</c:v>
                </c:pt>
                <c:pt idx="3">
                  <c:v>0.95001054959425324</c:v>
                </c:pt>
                <c:pt idx="4">
                  <c:v>0.9504151634319643</c:v>
                </c:pt>
                <c:pt idx="5">
                  <c:v>0.95066521987908226</c:v>
                </c:pt>
                <c:pt idx="6">
                  <c:v>0.9504151634319643</c:v>
                </c:pt>
                <c:pt idx="7">
                  <c:v>0.95001054959425324</c:v>
                </c:pt>
                <c:pt idx="8">
                  <c:v>0.9462413769758008</c:v>
                </c:pt>
                <c:pt idx="9">
                  <c:v>0.93281603090432941</c:v>
                </c:pt>
                <c:pt idx="10">
                  <c:v>0.88447604581718453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71-47C2-B2F5-3A1D8434866F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Details'!$S$148:$S$158</c:f>
              <c:numCache>
                <c:formatCode>0.000</c:formatCode>
                <c:ptCount val="11"/>
                <c:pt idx="0">
                  <c:v>0.23105796455749167</c:v>
                </c:pt>
                <c:pt idx="1">
                  <c:v>0.47234403513827944</c:v>
                </c:pt>
                <c:pt idx="2">
                  <c:v>0.61003004721728038</c:v>
                </c:pt>
                <c:pt idx="3">
                  <c:v>0.66322474214460747</c:v>
                </c:pt>
                <c:pt idx="4">
                  <c:v>0.66885136767703657</c:v>
                </c:pt>
                <c:pt idx="5">
                  <c:v>0.67282874313156393</c:v>
                </c:pt>
                <c:pt idx="6">
                  <c:v>0.66741770074969919</c:v>
                </c:pt>
                <c:pt idx="7">
                  <c:v>0.6594656547122425</c:v>
                </c:pt>
                <c:pt idx="8">
                  <c:v>0.60690878276643589</c:v>
                </c:pt>
                <c:pt idx="9">
                  <c:v>0.46461361486470687</c:v>
                </c:pt>
                <c:pt idx="10">
                  <c:v>0.23539373932941396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71-47C2-B2F5-3A1D8434866F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Details'!$U$148:$U$158</c:f>
              <c:numCache>
                <c:formatCode>0.000</c:formatCode>
                <c:ptCount val="11"/>
                <c:pt idx="0">
                  <c:v>0.26988872414823806</c:v>
                </c:pt>
                <c:pt idx="1">
                  <c:v>0.48944179677393646</c:v>
                </c:pt>
                <c:pt idx="2">
                  <c:v>0.62047531632700914</c:v>
                </c:pt>
                <c:pt idx="3">
                  <c:v>0.66991665710913184</c:v>
                </c:pt>
                <c:pt idx="4">
                  <c:v>0.67567084705326608</c:v>
                </c:pt>
                <c:pt idx="5">
                  <c:v>0.67927419900857333</c:v>
                </c:pt>
                <c:pt idx="6">
                  <c:v>0.67567084705326608</c:v>
                </c:pt>
                <c:pt idx="7">
                  <c:v>0.66991665710913184</c:v>
                </c:pt>
                <c:pt idx="8">
                  <c:v>0.62047531632700914</c:v>
                </c:pt>
                <c:pt idx="9">
                  <c:v>0.48944179677393646</c:v>
                </c:pt>
                <c:pt idx="10">
                  <c:v>0.26988872414823806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71-47C2-B2F5-3A1D84348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86912"/>
        <c:axId val="197301760"/>
      </c:scatterChart>
      <c:valAx>
        <c:axId val="197286912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98098646205804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301760"/>
        <c:crosses val="autoZero"/>
        <c:crossBetween val="midCat"/>
      </c:valAx>
      <c:valAx>
        <c:axId val="19730176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291852820111951E-2"/>
              <c:y val="0.3406605592539471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28691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910542800172127"/>
          <c:y val="0.46886614606994875"/>
          <c:w val="0.31322986954138582"/>
          <c:h val="0.322345475423089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173, North Field</a:t>
            </a:r>
          </a:p>
        </c:rich>
      </c:tx>
      <c:layout>
        <c:manualLayout>
          <c:xMode val="edge"/>
          <c:yMode val="edge"/>
          <c:x val="0.36186804804160144"/>
          <c:y val="1.65562913907284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031838057665"/>
          <c:y val="8.9403973509933732E-2"/>
          <c:w val="0.8249035073636497"/>
          <c:h val="0.7450331125827830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Details'!$P$104:$P$116</c:f>
              <c:numCache>
                <c:formatCode>0.000</c:formatCode>
                <c:ptCount val="13"/>
                <c:pt idx="0">
                  <c:v>0.24865921787709497</c:v>
                </c:pt>
                <c:pt idx="1">
                  <c:v>0.38879888268156426</c:v>
                </c:pt>
                <c:pt idx="2">
                  <c:v>0.54837988826815642</c:v>
                </c:pt>
                <c:pt idx="3">
                  <c:v>0.63377094972067038</c:v>
                </c:pt>
                <c:pt idx="4">
                  <c:v>0.67572625698324018</c:v>
                </c:pt>
                <c:pt idx="5">
                  <c:v>0.68159217877094969</c:v>
                </c:pt>
                <c:pt idx="6">
                  <c:v>0.68924581005586594</c:v>
                </c:pt>
                <c:pt idx="7">
                  <c:v>0.68159217877094969</c:v>
                </c:pt>
                <c:pt idx="8">
                  <c:v>0.67572625698324018</c:v>
                </c:pt>
                <c:pt idx="9">
                  <c:v>0.63377094972067038</c:v>
                </c:pt>
                <c:pt idx="10">
                  <c:v>0.54837988826815642</c:v>
                </c:pt>
                <c:pt idx="11">
                  <c:v>0.38879888268156426</c:v>
                </c:pt>
                <c:pt idx="12">
                  <c:v>0.24865921787709497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8C-4830-A1D2-C6C336BBACA7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Details'!$R$104:$R$116</c:f>
              <c:numCache>
                <c:formatCode>0.000</c:formatCode>
                <c:ptCount val="13"/>
                <c:pt idx="0">
                  <c:v>0.65313417787556838</c:v>
                </c:pt>
                <c:pt idx="1">
                  <c:v>0.85884125769356401</c:v>
                </c:pt>
                <c:pt idx="2">
                  <c:v>0.91427546400173154</c:v>
                </c:pt>
                <c:pt idx="3">
                  <c:v>0.9315153530920024</c:v>
                </c:pt>
                <c:pt idx="4">
                  <c:v>0.93770550464235936</c:v>
                </c:pt>
                <c:pt idx="5">
                  <c:v>0.9394278475580915</c:v>
                </c:pt>
                <c:pt idx="6">
                  <c:v>0.94049076301693213</c:v>
                </c:pt>
                <c:pt idx="7">
                  <c:v>0.93742213096719018</c:v>
                </c:pt>
                <c:pt idx="8">
                  <c:v>0.93805807777764572</c:v>
                </c:pt>
                <c:pt idx="9">
                  <c:v>0.92838197253472843</c:v>
                </c:pt>
                <c:pt idx="10">
                  <c:v>0.91400788540903199</c:v>
                </c:pt>
                <c:pt idx="11">
                  <c:v>0.86473778877603491</c:v>
                </c:pt>
                <c:pt idx="12">
                  <c:v>0.73154135556952049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8C-4830-A1D2-C6C336BBACA7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Details'!$T$104:$T$116</c:f>
              <c:numCache>
                <c:formatCode>0.000</c:formatCode>
                <c:ptCount val="13"/>
                <c:pt idx="0">
                  <c:v>0.85823593849774482</c:v>
                </c:pt>
                <c:pt idx="1">
                  <c:v>0.90933373981657617</c:v>
                </c:pt>
                <c:pt idx="2">
                  <c:v>0.93571802793943171</c:v>
                </c:pt>
                <c:pt idx="3">
                  <c:v>0.9443790526028879</c:v>
                </c:pt>
                <c:pt idx="4">
                  <c:v>0.94783251310433314</c:v>
                </c:pt>
                <c:pt idx="5">
                  <c:v>0.94828147717335043</c:v>
                </c:pt>
                <c:pt idx="6">
                  <c:v>0.94885577809551869</c:v>
                </c:pt>
                <c:pt idx="7">
                  <c:v>0.94828147717335043</c:v>
                </c:pt>
                <c:pt idx="8">
                  <c:v>0.94783251310433314</c:v>
                </c:pt>
                <c:pt idx="9">
                  <c:v>0.9443790526028879</c:v>
                </c:pt>
                <c:pt idx="10">
                  <c:v>0.93571802793943171</c:v>
                </c:pt>
                <c:pt idx="11">
                  <c:v>0.90933373981657617</c:v>
                </c:pt>
                <c:pt idx="12">
                  <c:v>0.85823593849774482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8C-4830-A1D2-C6C336BBACA7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Details'!$S$104:$S$116</c:f>
              <c:numCache>
                <c:formatCode>0.000</c:formatCode>
                <c:ptCount val="13"/>
                <c:pt idx="0">
                  <c:v>0.16240783383933827</c:v>
                </c:pt>
                <c:pt idx="1">
                  <c:v>0.33391652139208711</c:v>
                </c:pt>
                <c:pt idx="2">
                  <c:v>0.50137027679558643</c:v>
                </c:pt>
                <c:pt idx="3">
                  <c:v>0.59036737000850392</c:v>
                </c:pt>
                <c:pt idx="4">
                  <c:v>0.63363223080456188</c:v>
                </c:pt>
                <c:pt idx="5">
                  <c:v>0.64030667341522318</c:v>
                </c:pt>
                <c:pt idx="6">
                  <c:v>0.64822931780566484</c:v>
                </c:pt>
                <c:pt idx="7">
                  <c:v>0.63893959267403366</c:v>
                </c:pt>
                <c:pt idx="8">
                  <c:v>0.63387047372958172</c:v>
                </c:pt>
                <c:pt idx="9">
                  <c:v>0.58838152443688418</c:v>
                </c:pt>
                <c:pt idx="10">
                  <c:v>0.50122354207681885</c:v>
                </c:pt>
                <c:pt idx="11">
                  <c:v>0.33620908608864891</c:v>
                </c:pt>
                <c:pt idx="12">
                  <c:v>0.18190450132066679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8C-4830-A1D2-C6C336BBACA7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Details'!$U$104:$U$116</c:f>
              <c:numCache>
                <c:formatCode>0.000</c:formatCode>
                <c:ptCount val="13"/>
                <c:pt idx="0">
                  <c:v>0.21340827722086381</c:v>
                </c:pt>
                <c:pt idx="1">
                  <c:v>0.35354794202533307</c:v>
                </c:pt>
                <c:pt idx="2">
                  <c:v>0.51312894761192518</c:v>
                </c:pt>
                <c:pt idx="3">
                  <c:v>0.59852000906443925</c:v>
                </c:pt>
                <c:pt idx="4">
                  <c:v>0.64047531632700894</c:v>
                </c:pt>
                <c:pt idx="5">
                  <c:v>0.64634123811471855</c:v>
                </c:pt>
                <c:pt idx="6">
                  <c:v>0.6539948693996348</c:v>
                </c:pt>
                <c:pt idx="7">
                  <c:v>0.64634123811471855</c:v>
                </c:pt>
                <c:pt idx="8">
                  <c:v>0.64047531632700894</c:v>
                </c:pt>
                <c:pt idx="9">
                  <c:v>0.59852000906443925</c:v>
                </c:pt>
                <c:pt idx="10">
                  <c:v>0.51312894761192518</c:v>
                </c:pt>
                <c:pt idx="11">
                  <c:v>0.35354794202533307</c:v>
                </c:pt>
                <c:pt idx="12">
                  <c:v>0.21340827722086381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8C-4830-A1D2-C6C336BBA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63616"/>
        <c:axId val="196065920"/>
      </c:scatterChart>
      <c:valAx>
        <c:axId val="19606361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108993218203981"/>
              <c:y val="0.907284768211919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65920"/>
        <c:crosses val="autoZero"/>
        <c:crossBetween val="midCat"/>
        <c:majorUnit val="2"/>
      </c:valAx>
      <c:valAx>
        <c:axId val="1960659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291852820111951E-2"/>
              <c:y val="0.3410596026490068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6361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49420094217479"/>
          <c:y val="0.49668874172185568"/>
          <c:w val="0.31322986954138582"/>
          <c:h val="0.291390728476821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356 North Field</a:t>
            </a:r>
          </a:p>
        </c:rich>
      </c:tx>
      <c:layout>
        <c:manualLayout>
          <c:xMode val="edge"/>
          <c:yMode val="edge"/>
          <c:x val="0.37769116324758051"/>
          <c:y val="1.86567504094828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016871041072"/>
          <c:y val="9.7015102129310998E-2"/>
          <c:w val="0.82583249166051165"/>
          <c:h val="0.7238819158879354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Details'!$P$188:$P$196</c:f>
              <c:numCache>
                <c:formatCode>0.000</c:formatCode>
                <c:ptCount val="9"/>
                <c:pt idx="0">
                  <c:v>0.30399441340782124</c:v>
                </c:pt>
                <c:pt idx="1">
                  <c:v>0.4751675977653631</c:v>
                </c:pt>
                <c:pt idx="2">
                  <c:v>0.55069832402234642</c:v>
                </c:pt>
                <c:pt idx="3">
                  <c:v>0.64067039106145252</c:v>
                </c:pt>
                <c:pt idx="4">
                  <c:v>0.65335195530726253</c:v>
                </c:pt>
                <c:pt idx="5">
                  <c:v>0.64067039106145252</c:v>
                </c:pt>
                <c:pt idx="6">
                  <c:v>0.55069832402234642</c:v>
                </c:pt>
                <c:pt idx="7">
                  <c:v>0.4751675977653631</c:v>
                </c:pt>
                <c:pt idx="8">
                  <c:v>0.30399441340782124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63-429C-9834-7FA7EC4C07EA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Details'!$R$188:$R$196</c:f>
              <c:numCache>
                <c:formatCode>0.000</c:formatCode>
                <c:ptCount val="9"/>
                <c:pt idx="0">
                  <c:v>0.66659855770278198</c:v>
                </c:pt>
                <c:pt idx="1">
                  <c:v>0.865313249844329</c:v>
                </c:pt>
                <c:pt idx="2">
                  <c:v>0.90152100700418847</c:v>
                </c:pt>
                <c:pt idx="3">
                  <c:v>0.92025802892654818</c:v>
                </c:pt>
                <c:pt idx="4">
                  <c:v>0.9209484124022731</c:v>
                </c:pt>
                <c:pt idx="5">
                  <c:v>0.91926153738231875</c:v>
                </c:pt>
                <c:pt idx="6">
                  <c:v>0.90316929152073377</c:v>
                </c:pt>
                <c:pt idx="7">
                  <c:v>0.86941251156049737</c:v>
                </c:pt>
                <c:pt idx="8">
                  <c:v>0.71663768320600629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63-429C-9834-7FA7EC4C07EA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Details'!$T$188:$T$196</c:f>
              <c:numCache>
                <c:formatCode>0.000</c:formatCode>
                <c:ptCount val="9"/>
                <c:pt idx="0">
                  <c:v>0.88404082739198053</c:v>
                </c:pt>
                <c:pt idx="1">
                  <c:v>0.9258136690674813</c:v>
                </c:pt>
                <c:pt idx="2">
                  <c:v>0.93598865455272251</c:v>
                </c:pt>
                <c:pt idx="3">
                  <c:v>0.94497803995931828</c:v>
                </c:pt>
                <c:pt idx="4">
                  <c:v>0.94604601643894504</c:v>
                </c:pt>
                <c:pt idx="5">
                  <c:v>0.94497803995931828</c:v>
                </c:pt>
                <c:pt idx="6">
                  <c:v>0.93598865455272251</c:v>
                </c:pt>
                <c:pt idx="7">
                  <c:v>0.9258136690674813</c:v>
                </c:pt>
                <c:pt idx="8">
                  <c:v>0.88404082739198053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63-429C-9834-7FA7EC4C07EA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Details'!$S$188:$S$196</c:f>
              <c:numCache>
                <c:formatCode>0.000</c:formatCode>
                <c:ptCount val="9"/>
                <c:pt idx="0">
                  <c:v>0.20264223752735688</c:v>
                </c:pt>
                <c:pt idx="1">
                  <c:v>0.41116881824306928</c:v>
                </c:pt>
                <c:pt idx="2">
                  <c:v>0.49646610762814464</c:v>
                </c:pt>
                <c:pt idx="3">
                  <c:v>0.5895820712698131</c:v>
                </c:pt>
                <c:pt idx="4">
                  <c:v>0.60170344598014436</c:v>
                </c:pt>
                <c:pt idx="5">
                  <c:v>0.58894364864248216</c:v>
                </c:pt>
                <c:pt idx="6">
                  <c:v>0.4973738151489181</c:v>
                </c:pt>
                <c:pt idx="7">
                  <c:v>0.41311665458535252</c:v>
                </c:pt>
                <c:pt idx="8">
                  <c:v>0.21785385213214992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63-429C-9834-7FA7EC4C07EA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Details'!$U$188:$U$196</c:f>
              <c:numCache>
                <c:formatCode>0.000</c:formatCode>
                <c:ptCount val="9"/>
                <c:pt idx="0">
                  <c:v>0.26874347275159005</c:v>
                </c:pt>
                <c:pt idx="1">
                  <c:v>0.43991665710913197</c:v>
                </c:pt>
                <c:pt idx="2">
                  <c:v>0.51544738336611529</c:v>
                </c:pt>
                <c:pt idx="3">
                  <c:v>0.60541945040522138</c:v>
                </c:pt>
                <c:pt idx="4">
                  <c:v>0.6181010146510314</c:v>
                </c:pt>
                <c:pt idx="5">
                  <c:v>0.60541945040522138</c:v>
                </c:pt>
                <c:pt idx="6">
                  <c:v>0.51544738336611529</c:v>
                </c:pt>
                <c:pt idx="7">
                  <c:v>0.43991665710913197</c:v>
                </c:pt>
                <c:pt idx="8">
                  <c:v>0.26874347275159005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63-429C-9834-7FA7EC4C0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2448"/>
        <c:axId val="197434752"/>
      </c:scatterChart>
      <c:valAx>
        <c:axId val="19743244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79692067189859"/>
              <c:y val="0.89925536973707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34752"/>
        <c:crosses val="autoZero"/>
        <c:crossBetween val="midCat"/>
        <c:majorUnit val="2"/>
      </c:valAx>
      <c:valAx>
        <c:axId val="1974347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440337420821572E-2"/>
              <c:y val="0.339552857452589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3244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943285744180572"/>
          <c:y val="0.46641876023707329"/>
          <c:w val="0.31506879421171247"/>
          <c:h val="0.32835880720690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 North Field</a:t>
            </a:r>
          </a:p>
        </c:rich>
      </c:tx>
      <c:layout>
        <c:manualLayout>
          <c:xMode val="edge"/>
          <c:yMode val="edge"/>
          <c:x val="0.39843750000000061"/>
          <c:y val="2.05762143784335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1875"/>
          <c:y val="0.10288107189216754"/>
          <c:w val="0.83789062500000133"/>
          <c:h val="0.71193701749380356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Details'!$P$35:$P$43</c:f>
              <c:numCache>
                <c:formatCode>0.000</c:formatCode>
                <c:ptCount val="9"/>
                <c:pt idx="0">
                  <c:v>0.3516201117318436</c:v>
                </c:pt>
                <c:pt idx="1">
                  <c:v>0.5231005586592179</c:v>
                </c:pt>
                <c:pt idx="2">
                  <c:v>0.59472067039106147</c:v>
                </c:pt>
                <c:pt idx="3">
                  <c:v>0.66159217877094967</c:v>
                </c:pt>
                <c:pt idx="4">
                  <c:v>0.67335195530726255</c:v>
                </c:pt>
                <c:pt idx="5">
                  <c:v>0.66159217877094967</c:v>
                </c:pt>
                <c:pt idx="6">
                  <c:v>0.59472067039106147</c:v>
                </c:pt>
                <c:pt idx="7">
                  <c:v>0.5231005586592179</c:v>
                </c:pt>
                <c:pt idx="8">
                  <c:v>0.3516201117318436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62-486D-A496-69D3C7BAF894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Details'!$R$35:$R$43</c:f>
              <c:numCache>
                <c:formatCode>0.000</c:formatCode>
                <c:ptCount val="9"/>
                <c:pt idx="0">
                  <c:v>0.62025411542345643</c:v>
                </c:pt>
                <c:pt idx="1">
                  <c:v>0.87001168344903812</c:v>
                </c:pt>
                <c:pt idx="2">
                  <c:v>0.90953789629077419</c:v>
                </c:pt>
                <c:pt idx="3">
                  <c:v>0.92303521025269297</c:v>
                </c:pt>
                <c:pt idx="4">
                  <c:v>0.92754611975396872</c:v>
                </c:pt>
                <c:pt idx="5">
                  <c:v>0.92641594187343712</c:v>
                </c:pt>
                <c:pt idx="6">
                  <c:v>0.91728341358864707</c:v>
                </c:pt>
                <c:pt idx="7">
                  <c:v>0.89674563882510339</c:v>
                </c:pt>
                <c:pt idx="8">
                  <c:v>0.80842998709397573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62-486D-A496-69D3C7BAF894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Details'!$T$35:$T$43</c:f>
              <c:numCache>
                <c:formatCode>0.000</c:formatCode>
                <c:ptCount val="9"/>
                <c:pt idx="0">
                  <c:v>0.89974708647179247</c:v>
                </c:pt>
                <c:pt idx="1">
                  <c:v>0.93261154079708031</c:v>
                </c:pt>
                <c:pt idx="2">
                  <c:v>0.94072689514381302</c:v>
                </c:pt>
                <c:pt idx="3">
                  <c:v>0.94671802087848533</c:v>
                </c:pt>
                <c:pt idx="4">
                  <c:v>0.94764856568932732</c:v>
                </c:pt>
                <c:pt idx="5">
                  <c:v>0.94671802087848533</c:v>
                </c:pt>
                <c:pt idx="6">
                  <c:v>0.94072689514381302</c:v>
                </c:pt>
                <c:pt idx="7">
                  <c:v>0.93261154079708031</c:v>
                </c:pt>
                <c:pt idx="8">
                  <c:v>0.89974708647179247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62-486D-A496-69D3C7BAF894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Details'!$S$35:$S$43</c:f>
              <c:numCache>
                <c:formatCode>0.000</c:formatCode>
                <c:ptCount val="9"/>
                <c:pt idx="0">
                  <c:v>0.21809382136733158</c:v>
                </c:pt>
                <c:pt idx="1">
                  <c:v>0.45510359765223846</c:v>
                </c:pt>
                <c:pt idx="2">
                  <c:v>0.540920987428125</c:v>
                </c:pt>
                <c:pt idx="3">
                  <c:v>0.61067287583338081</c:v>
                </c:pt>
                <c:pt idx="4">
                  <c:v>0.62456499337399918</c:v>
                </c:pt>
                <c:pt idx="5">
                  <c:v>0.61290954143218868</c:v>
                </c:pt>
                <c:pt idx="6">
                  <c:v>0.54552740666804145</c:v>
                </c:pt>
                <c:pt idx="7">
                  <c:v>0.46908814464462883</c:v>
                </c:pt>
                <c:pt idx="8">
                  <c:v>0.2842602423893566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62-486D-A496-69D3C7BAF894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Details'!$U$35:$U$43</c:f>
              <c:numCache>
                <c:formatCode>0.000</c:formatCode>
                <c:ptCount val="9"/>
                <c:pt idx="0">
                  <c:v>0.31636917107561241</c:v>
                </c:pt>
                <c:pt idx="1">
                  <c:v>0.48784961800298671</c:v>
                </c:pt>
                <c:pt idx="2">
                  <c:v>0.55946972973483022</c:v>
                </c:pt>
                <c:pt idx="3">
                  <c:v>0.62634123811471853</c:v>
                </c:pt>
                <c:pt idx="4">
                  <c:v>0.63810101465103142</c:v>
                </c:pt>
                <c:pt idx="5">
                  <c:v>0.62634123811471853</c:v>
                </c:pt>
                <c:pt idx="6">
                  <c:v>0.55946972973483022</c:v>
                </c:pt>
                <c:pt idx="7">
                  <c:v>0.48784961800298671</c:v>
                </c:pt>
                <c:pt idx="8">
                  <c:v>0.31636917107561241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62-486D-A496-69D3C7BAF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3968"/>
        <c:axId val="197391104"/>
      </c:scatterChart>
      <c:valAx>
        <c:axId val="19736396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75"/>
              <c:y val="0.893007704024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391104"/>
        <c:crosses val="autoZero"/>
        <c:crossBetween val="midCat"/>
        <c:majorUnit val="2"/>
      </c:valAx>
      <c:valAx>
        <c:axId val="1973911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390625E-2"/>
              <c:y val="0.3374499158063110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36396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476562500000061"/>
          <c:y val="0.4526767163255383"/>
          <c:w val="0.31445312500000061"/>
          <c:h val="0.362141373060430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326 North Field</a:t>
            </a:r>
          </a:p>
        </c:rich>
      </c:tx>
      <c:layout>
        <c:manualLayout>
          <c:xMode val="edge"/>
          <c:yMode val="edge"/>
          <c:x val="0.37647130911326143"/>
          <c:y val="1.8726660253760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45122443938503"/>
          <c:y val="9.7378633319556512E-2"/>
          <c:w val="0.82549177675355678"/>
          <c:h val="0.7228490857951698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Details'!$P$175:$P$183</c:f>
              <c:numCache>
                <c:formatCode>0.000</c:formatCode>
                <c:ptCount val="9"/>
                <c:pt idx="0">
                  <c:v>0.3516201117318436</c:v>
                </c:pt>
                <c:pt idx="1">
                  <c:v>0.5231005586592179</c:v>
                </c:pt>
                <c:pt idx="2">
                  <c:v>0.59472067039106147</c:v>
                </c:pt>
                <c:pt idx="3">
                  <c:v>0.66159217877094967</c:v>
                </c:pt>
                <c:pt idx="4">
                  <c:v>0.67335195530726255</c:v>
                </c:pt>
                <c:pt idx="5">
                  <c:v>0.66159217877094967</c:v>
                </c:pt>
                <c:pt idx="6">
                  <c:v>0.59472067039106147</c:v>
                </c:pt>
                <c:pt idx="7">
                  <c:v>0.5231005586592179</c:v>
                </c:pt>
                <c:pt idx="8">
                  <c:v>0.3516201117318436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7B-4603-8FD6-111360403F00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Details'!$R$175:$R$183</c:f>
              <c:numCache>
                <c:formatCode>0.000</c:formatCode>
                <c:ptCount val="9"/>
                <c:pt idx="0">
                  <c:v>0.79787719046732364</c:v>
                </c:pt>
                <c:pt idx="1">
                  <c:v>0.8997990792977999</c:v>
                </c:pt>
                <c:pt idx="2">
                  <c:v>0.91979643923658794</c:v>
                </c:pt>
                <c:pt idx="3">
                  <c:v>0.93162841123891349</c:v>
                </c:pt>
                <c:pt idx="4">
                  <c:v>0.93244976217977715</c:v>
                </c:pt>
                <c:pt idx="5">
                  <c:v>0.92716397641276582</c:v>
                </c:pt>
                <c:pt idx="6">
                  <c:v>0.91126780710151656</c:v>
                </c:pt>
                <c:pt idx="7">
                  <c:v>0.88121893207475976</c:v>
                </c:pt>
                <c:pt idx="8">
                  <c:v>0.78270447179783076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7B-4603-8FD6-111360403F00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Details'!$T$175:$T$183</c:f>
              <c:numCache>
                <c:formatCode>0.000</c:formatCode>
                <c:ptCount val="9"/>
                <c:pt idx="0">
                  <c:v>0.89974708647179247</c:v>
                </c:pt>
                <c:pt idx="1">
                  <c:v>0.93261154079708031</c:v>
                </c:pt>
                <c:pt idx="2">
                  <c:v>0.94072689514381302</c:v>
                </c:pt>
                <c:pt idx="3">
                  <c:v>0.94671802087848533</c:v>
                </c:pt>
                <c:pt idx="4">
                  <c:v>0.94764856568932732</c:v>
                </c:pt>
                <c:pt idx="5">
                  <c:v>0.94671802087848533</c:v>
                </c:pt>
                <c:pt idx="6">
                  <c:v>0.94072689514381302</c:v>
                </c:pt>
                <c:pt idx="7">
                  <c:v>0.93261154079708031</c:v>
                </c:pt>
                <c:pt idx="8">
                  <c:v>0.89974708647179247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7B-4603-8FD6-111360403F00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Details'!$S$175:$S$183</c:f>
              <c:numCache>
                <c:formatCode>0.000</c:formatCode>
                <c:ptCount val="9"/>
                <c:pt idx="0">
                  <c:v>0.28054966686040977</c:v>
                </c:pt>
                <c:pt idx="1">
                  <c:v>0.47068540106172901</c:v>
                </c:pt>
                <c:pt idx="2">
                  <c:v>0.54702195496609485</c:v>
                </c:pt>
                <c:pt idx="3">
                  <c:v>0.61635807039647106</c:v>
                </c:pt>
                <c:pt idx="4">
                  <c:v>0.62786687058954493</c:v>
                </c:pt>
                <c:pt idx="5">
                  <c:v>0.61340443523285915</c:v>
                </c:pt>
                <c:pt idx="6">
                  <c:v>0.54194980114520641</c:v>
                </c:pt>
                <c:pt idx="7">
                  <c:v>0.46096611566938622</c:v>
                </c:pt>
                <c:pt idx="8">
                  <c:v>0.27521463382656686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7B-4603-8FD6-111360403F00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Details'!$U$175:$U$183</c:f>
              <c:numCache>
                <c:formatCode>0.000</c:formatCode>
                <c:ptCount val="9"/>
                <c:pt idx="0">
                  <c:v>0.31636917107561241</c:v>
                </c:pt>
                <c:pt idx="1">
                  <c:v>0.48784961800298671</c:v>
                </c:pt>
                <c:pt idx="2">
                  <c:v>0.55946972973483022</c:v>
                </c:pt>
                <c:pt idx="3">
                  <c:v>0.62634123811471853</c:v>
                </c:pt>
                <c:pt idx="4">
                  <c:v>0.63810101465103142</c:v>
                </c:pt>
                <c:pt idx="5">
                  <c:v>0.62634123811471853</c:v>
                </c:pt>
                <c:pt idx="6">
                  <c:v>0.55946972973483022</c:v>
                </c:pt>
                <c:pt idx="7">
                  <c:v>0.48784961800298671</c:v>
                </c:pt>
                <c:pt idx="8">
                  <c:v>0.31636917107561241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7B-4603-8FD6-111360403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92096"/>
        <c:axId val="197498752"/>
      </c:scatterChart>
      <c:valAx>
        <c:axId val="19749209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274598411838253"/>
              <c:y val="0.8988796921805245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98752"/>
        <c:crosses val="autoZero"/>
        <c:crossBetween val="midCat"/>
        <c:majorUnit val="2"/>
      </c:valAx>
      <c:valAx>
        <c:axId val="1974987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490244887877069E-2"/>
              <c:y val="0.33707988456769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9209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82360375230498"/>
          <c:y val="0.46442117429327046"/>
          <c:w val="0.31568687899601638"/>
          <c:h val="0.329589220466191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 North Field</a:t>
            </a:r>
          </a:p>
        </c:rich>
      </c:tx>
      <c:layout>
        <c:manualLayout>
          <c:xMode val="edge"/>
          <c:yMode val="edge"/>
          <c:x val="0.38491332291288016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890145268662999E-2"/>
          <c:w val="0.82398530432606254"/>
          <c:h val="0.7179512861696090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Details'!$P$47:$P$55</c:f>
              <c:numCache>
                <c:formatCode>0.000</c:formatCode>
                <c:ptCount val="9"/>
                <c:pt idx="0">
                  <c:v>0.47198324022346366</c:v>
                </c:pt>
                <c:pt idx="1">
                  <c:v>0.60424581005586597</c:v>
                </c:pt>
                <c:pt idx="2">
                  <c:v>0.67963687150837993</c:v>
                </c:pt>
                <c:pt idx="3">
                  <c:v>0.70639664804469271</c:v>
                </c:pt>
                <c:pt idx="4">
                  <c:v>0.70622905027932958</c:v>
                </c:pt>
                <c:pt idx="5">
                  <c:v>0.70639664804469271</c:v>
                </c:pt>
                <c:pt idx="6">
                  <c:v>0.67963687150837993</c:v>
                </c:pt>
                <c:pt idx="7">
                  <c:v>0.60424581005586597</c:v>
                </c:pt>
                <c:pt idx="8">
                  <c:v>0.47198324022346366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67-43E8-A0E6-525E6AAC49F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Details'!$R$47:$R$55</c:f>
              <c:numCache>
                <c:formatCode>0.000</c:formatCode>
                <c:ptCount val="9"/>
                <c:pt idx="0">
                  <c:v>0.80718866383777299</c:v>
                </c:pt>
                <c:pt idx="1">
                  <c:v>0.8930265365379344</c:v>
                </c:pt>
                <c:pt idx="2">
                  <c:v>0.91751193573841261</c:v>
                </c:pt>
                <c:pt idx="3">
                  <c:v>0.92491432728070055</c:v>
                </c:pt>
                <c:pt idx="4">
                  <c:v>0.92699917081999517</c:v>
                </c:pt>
                <c:pt idx="5">
                  <c:v>0.92527971745275706</c:v>
                </c:pt>
                <c:pt idx="6">
                  <c:v>0.92339865713436842</c:v>
                </c:pt>
                <c:pt idx="7">
                  <c:v>0.90964239478561004</c:v>
                </c:pt>
                <c:pt idx="8">
                  <c:v>0.87146700971017133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67-43E8-A0E6-525E6AAC49F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Details'!$T$47:$T$55</c:f>
              <c:numCache>
                <c:formatCode>0.000</c:formatCode>
                <c:ptCount val="9"/>
                <c:pt idx="0">
                  <c:v>0.92531315171373163</c:v>
                </c:pt>
                <c:pt idx="1">
                  <c:v>0.94166125760479491</c:v>
                </c:pt>
                <c:pt idx="2">
                  <c:v>0.94813268359323188</c:v>
                </c:pt>
                <c:pt idx="3">
                  <c:v>0.95009752558451988</c:v>
                </c:pt>
                <c:pt idx="4">
                  <c:v>0.95008568304817165</c:v>
                </c:pt>
                <c:pt idx="5">
                  <c:v>0.95009752558451988</c:v>
                </c:pt>
                <c:pt idx="6">
                  <c:v>0.94813268359323188</c:v>
                </c:pt>
                <c:pt idx="7">
                  <c:v>0.94166125760479491</c:v>
                </c:pt>
                <c:pt idx="8">
                  <c:v>0.92531315171373163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67-43E8-A0E6-525E6AAC49F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Details'!$S$47:$S$55</c:f>
              <c:numCache>
                <c:formatCode>0.000</c:formatCode>
                <c:ptCount val="9"/>
                <c:pt idx="0">
                  <c:v>0.38097952102980026</c:v>
                </c:pt>
                <c:pt idx="1">
                  <c:v>0.53960754297174851</c:v>
                </c:pt>
                <c:pt idx="2">
                  <c:v>0.62357494157685245</c:v>
                </c:pt>
                <c:pt idx="3">
                  <c:v>0.65335638051959877</c:v>
                </c:pt>
                <c:pt idx="4">
                  <c:v>0.65467374401793121</c:v>
                </c:pt>
                <c:pt idx="5">
                  <c:v>0.6536144909123679</c:v>
                </c:pt>
                <c:pt idx="6">
                  <c:v>0.62757577448984136</c:v>
                </c:pt>
                <c:pt idx="7">
                  <c:v>0.54964760569838877</c:v>
                </c:pt>
                <c:pt idx="8">
                  <c:v>0.41131782299085934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67-43E8-A0E6-525E6AAC49FC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Details'!$U$47:$U$55</c:f>
              <c:numCache>
                <c:formatCode>0.000</c:formatCode>
                <c:ptCount val="9"/>
                <c:pt idx="0">
                  <c:v>0.43673229956723247</c:v>
                </c:pt>
                <c:pt idx="1">
                  <c:v>0.56899486939963473</c:v>
                </c:pt>
                <c:pt idx="2">
                  <c:v>0.64438593085214879</c:v>
                </c:pt>
                <c:pt idx="3">
                  <c:v>0.67114570738846147</c:v>
                </c:pt>
                <c:pt idx="4">
                  <c:v>0.67097810962309845</c:v>
                </c:pt>
                <c:pt idx="5">
                  <c:v>0.67114570738846147</c:v>
                </c:pt>
                <c:pt idx="6">
                  <c:v>0.64438593085214879</c:v>
                </c:pt>
                <c:pt idx="7">
                  <c:v>0.56899486939963473</c:v>
                </c:pt>
                <c:pt idx="8">
                  <c:v>0.43673229956723247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67-43E8-A0E6-525E6AAC4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24576"/>
        <c:axId val="197626880"/>
      </c:scatterChart>
      <c:valAx>
        <c:axId val="19762457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626880"/>
        <c:crosses val="autoZero"/>
        <c:crossBetween val="midCat"/>
        <c:majorUnit val="2"/>
      </c:valAx>
      <c:valAx>
        <c:axId val="1976268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52E-2"/>
              <c:y val="0.3406605592539471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62457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61"/>
          <c:y val="0.46154011253760496"/>
          <c:w val="0.31141228637675261"/>
          <c:h val="0.322345475423089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295 North Field</a:t>
            </a:r>
          </a:p>
        </c:rich>
      </c:tx>
      <c:layout>
        <c:manualLayout>
          <c:xMode val="edge"/>
          <c:yMode val="edge"/>
          <c:x val="0.39648437500000183"/>
          <c:y val="1.93050556999874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328125"/>
          <c:y val="9.6525278499937098E-2"/>
          <c:w val="0.84375000000000133"/>
          <c:h val="0.7374531277395174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Details'!$P$162:$P$170</c:f>
              <c:numCache>
                <c:formatCode>0.000</c:formatCode>
                <c:ptCount val="9"/>
                <c:pt idx="0">
                  <c:v>0.47198324022346366</c:v>
                </c:pt>
                <c:pt idx="1">
                  <c:v>0.60424581005586597</c:v>
                </c:pt>
                <c:pt idx="2">
                  <c:v>0.67963687150837993</c:v>
                </c:pt>
                <c:pt idx="3">
                  <c:v>0.70639664804469271</c:v>
                </c:pt>
                <c:pt idx="4">
                  <c:v>0.70622905027932958</c:v>
                </c:pt>
                <c:pt idx="5">
                  <c:v>0.70639664804469271</c:v>
                </c:pt>
                <c:pt idx="6">
                  <c:v>0.67963687150837993</c:v>
                </c:pt>
                <c:pt idx="7">
                  <c:v>0.60424581005586597</c:v>
                </c:pt>
                <c:pt idx="8">
                  <c:v>0.47198324022346366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0A-4AD0-BD3B-45D9BFF80C24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Details'!$R$162:$R$170</c:f>
              <c:numCache>
                <c:formatCode>0.000</c:formatCode>
                <c:ptCount val="9"/>
                <c:pt idx="0">
                  <c:v>0.87137265017364895</c:v>
                </c:pt>
                <c:pt idx="1">
                  <c:v>0.91709067921646004</c:v>
                </c:pt>
                <c:pt idx="2">
                  <c:v>0.93203335974088797</c:v>
                </c:pt>
                <c:pt idx="3">
                  <c:v>0.93814072669226323</c:v>
                </c:pt>
                <c:pt idx="4">
                  <c:v>0.93572018006369728</c:v>
                </c:pt>
                <c:pt idx="5">
                  <c:v>0.9337199354378799</c:v>
                </c:pt>
                <c:pt idx="6">
                  <c:v>0.93145678196735382</c:v>
                </c:pt>
                <c:pt idx="7">
                  <c:v>0.91654741293658082</c:v>
                </c:pt>
                <c:pt idx="8">
                  <c:v>0.8747813792928979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0A-4AD0-BD3B-45D9BFF80C24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Details'!$T$162:$T$170</c:f>
              <c:numCache>
                <c:formatCode>0.000</c:formatCode>
                <c:ptCount val="9"/>
                <c:pt idx="0">
                  <c:v>0.92531315171373163</c:v>
                </c:pt>
                <c:pt idx="1">
                  <c:v>0.94166125760479491</c:v>
                </c:pt>
                <c:pt idx="2">
                  <c:v>0.94813268359323188</c:v>
                </c:pt>
                <c:pt idx="3">
                  <c:v>0.95009752558451988</c:v>
                </c:pt>
                <c:pt idx="4">
                  <c:v>0.95008568304817165</c:v>
                </c:pt>
                <c:pt idx="5">
                  <c:v>0.95009752558451988</c:v>
                </c:pt>
                <c:pt idx="6">
                  <c:v>0.94813268359323188</c:v>
                </c:pt>
                <c:pt idx="7">
                  <c:v>0.94166125760479491</c:v>
                </c:pt>
                <c:pt idx="8">
                  <c:v>0.92531315171373163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0A-4AD0-BD3B-45D9BFF80C24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Details'!$S$162:$S$170</c:f>
              <c:numCache>
                <c:formatCode>0.000</c:formatCode>
                <c:ptCount val="9"/>
                <c:pt idx="0">
                  <c:v>0.41127328687106551</c:v>
                </c:pt>
                <c:pt idx="1">
                  <c:v>0.55414820035783419</c:v>
                </c:pt>
                <c:pt idx="2">
                  <c:v>0.63344423675574146</c:v>
                </c:pt>
                <c:pt idx="3">
                  <c:v>0.66269946472962693</c:v>
                </c:pt>
                <c:pt idx="4">
                  <c:v>0.6608327740935882</c:v>
                </c:pt>
                <c:pt idx="5">
                  <c:v>0.65957663260582522</c:v>
                </c:pt>
                <c:pt idx="6">
                  <c:v>0.6330523732415555</c:v>
                </c:pt>
                <c:pt idx="7">
                  <c:v>0.5538199339844726</c:v>
                </c:pt>
                <c:pt idx="8">
                  <c:v>0.41288214988581273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0A-4AD0-BD3B-45D9BFF80C24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Details'!$U$162:$U$170</c:f>
              <c:numCache>
                <c:formatCode>0.000</c:formatCode>
                <c:ptCount val="9"/>
                <c:pt idx="0">
                  <c:v>0.43673229956723247</c:v>
                </c:pt>
                <c:pt idx="1">
                  <c:v>0.56899486939963473</c:v>
                </c:pt>
                <c:pt idx="2">
                  <c:v>0.64438593085214879</c:v>
                </c:pt>
                <c:pt idx="3">
                  <c:v>0.67114570738846147</c:v>
                </c:pt>
                <c:pt idx="4">
                  <c:v>0.67097810962309845</c:v>
                </c:pt>
                <c:pt idx="5">
                  <c:v>0.67114570738846147</c:v>
                </c:pt>
                <c:pt idx="6">
                  <c:v>0.64438593085214879</c:v>
                </c:pt>
                <c:pt idx="7">
                  <c:v>0.56899486939963473</c:v>
                </c:pt>
                <c:pt idx="8">
                  <c:v>0.43673229956723247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A-4AD0-BD3B-45D9BFF80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87936"/>
        <c:axId val="197702784"/>
      </c:scatterChart>
      <c:valAx>
        <c:axId val="1976879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75"/>
              <c:y val="0.90347660675940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702784"/>
        <c:crosses val="autoZero"/>
        <c:crossBetween val="midCat"/>
        <c:majorUnit val="2"/>
      </c:valAx>
      <c:valAx>
        <c:axId val="1977027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484375000000073E-2"/>
              <c:y val="0.355213024879767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6879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085937500000122"/>
          <c:y val="0.4710433590796918"/>
          <c:w val="0.31445312500000061"/>
          <c:h val="0.3397689803197792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 North Field</a:t>
            </a:r>
          </a:p>
        </c:rich>
      </c:tx>
      <c:layout>
        <c:manualLayout>
          <c:xMode val="edge"/>
          <c:yMode val="edge"/>
          <c:x val="0.37911060950213232"/>
          <c:y val="1.83823529411764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9264705882353046E-2"/>
          <c:w val="0.82398530432606254"/>
          <c:h val="0.7205882352941176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Details'!$P$76:$P$86</c:f>
              <c:numCache>
                <c:formatCode>0.000</c:formatCode>
                <c:ptCount val="11"/>
                <c:pt idx="0">
                  <c:v>0.32368715083798882</c:v>
                </c:pt>
                <c:pt idx="1">
                  <c:v>0.5317597765363129</c:v>
                </c:pt>
                <c:pt idx="2">
                  <c:v>0.64508379888268153</c:v>
                </c:pt>
                <c:pt idx="3">
                  <c:v>0.69030726256983244</c:v>
                </c:pt>
                <c:pt idx="4">
                  <c:v>0.70416201117318433</c:v>
                </c:pt>
                <c:pt idx="5">
                  <c:v>0.70765363128491621</c:v>
                </c:pt>
                <c:pt idx="6">
                  <c:v>0.70416201117318433</c:v>
                </c:pt>
                <c:pt idx="7">
                  <c:v>0.69030726256983244</c:v>
                </c:pt>
                <c:pt idx="8">
                  <c:v>0.64508379888268153</c:v>
                </c:pt>
                <c:pt idx="9">
                  <c:v>0.5317597765363129</c:v>
                </c:pt>
                <c:pt idx="10">
                  <c:v>0.32368715083798882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51-45F6-A245-E12E8D27CE19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Details'!$R$76:$R$86</c:f>
              <c:numCache>
                <c:formatCode>0.000</c:formatCode>
                <c:ptCount val="11"/>
                <c:pt idx="0">
                  <c:v>0.78683821522479325</c:v>
                </c:pt>
                <c:pt idx="1">
                  <c:v>0.9027038646011103</c:v>
                </c:pt>
                <c:pt idx="2">
                  <c:v>0.93151045924290599</c:v>
                </c:pt>
                <c:pt idx="3">
                  <c:v>0.93968869744099726</c:v>
                </c:pt>
                <c:pt idx="4">
                  <c:v>0.94253586560863556</c:v>
                </c:pt>
                <c:pt idx="5">
                  <c:v>0.94404825991814056</c:v>
                </c:pt>
                <c:pt idx="6">
                  <c:v>0.94083575668459229</c:v>
                </c:pt>
                <c:pt idx="7">
                  <c:v>0.93875315250864633</c:v>
                </c:pt>
                <c:pt idx="8">
                  <c:v>0.93288165209572971</c:v>
                </c:pt>
                <c:pt idx="9">
                  <c:v>0.90815438934312542</c:v>
                </c:pt>
                <c:pt idx="10">
                  <c:v>0.83333516934910001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51-45F6-A245-E12E8D27CE19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Details'!$T$76:$T$86</c:f>
              <c:numCache>
                <c:formatCode>0.000</c:formatCode>
                <c:ptCount val="11"/>
                <c:pt idx="0">
                  <c:v>0.89109564415834686</c:v>
                </c:pt>
                <c:pt idx="1">
                  <c:v>0.93370889974822313</c:v>
                </c:pt>
                <c:pt idx="2">
                  <c:v>0.94535447841460651</c:v>
                </c:pt>
                <c:pt idx="3">
                  <c:v>0.94893442012329232</c:v>
                </c:pt>
                <c:pt idx="4">
                  <c:v>0.94993916158938962</c:v>
                </c:pt>
                <c:pt idx="5">
                  <c:v>0.9501861658051205</c:v>
                </c:pt>
                <c:pt idx="6">
                  <c:v>0.94993916158938962</c:v>
                </c:pt>
                <c:pt idx="7">
                  <c:v>0.94893442012329232</c:v>
                </c:pt>
                <c:pt idx="8">
                  <c:v>0.94535447841460651</c:v>
                </c:pt>
                <c:pt idx="9">
                  <c:v>0.93370889974822313</c:v>
                </c:pt>
                <c:pt idx="10">
                  <c:v>0.89109564415834686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51-45F6-A245-E12E8D27CE19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Details'!$S$76:$S$86</c:f>
              <c:numCache>
                <c:formatCode>0.000</c:formatCode>
                <c:ptCount val="11"/>
                <c:pt idx="0">
                  <c:v>0.25468942005656159</c:v>
                </c:pt>
                <c:pt idx="1">
                  <c:v>0.48002160531875249</c:v>
                </c:pt>
                <c:pt idx="2">
                  <c:v>0.60090230574736503</c:v>
                </c:pt>
                <c:pt idx="3">
                  <c:v>0.64867393239830629</c:v>
                </c:pt>
                <c:pt idx="4">
                  <c:v>0.66369795072983495</c:v>
                </c:pt>
                <c:pt idx="5">
                  <c:v>0.6680591792392786</c:v>
                </c:pt>
                <c:pt idx="6">
                  <c:v>0.66250079861066724</c:v>
                </c:pt>
                <c:pt idx="7">
                  <c:v>0.64802811893704404</c:v>
                </c:pt>
                <c:pt idx="8">
                  <c:v>0.60178684004186533</c:v>
                </c:pt>
                <c:pt idx="9">
                  <c:v>0.48291997513757207</c:v>
                </c:pt>
                <c:pt idx="10">
                  <c:v>0.26973988665970311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51-45F6-A245-E12E8D27CE19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Details'!$U$76:$U$86</c:f>
              <c:numCache>
                <c:formatCode>0.000</c:formatCode>
                <c:ptCount val="11"/>
                <c:pt idx="0">
                  <c:v>0.28843621018175764</c:v>
                </c:pt>
                <c:pt idx="1">
                  <c:v>0.49650883588008171</c:v>
                </c:pt>
                <c:pt idx="2">
                  <c:v>0.60983285822645028</c:v>
                </c:pt>
                <c:pt idx="3">
                  <c:v>0.65505632191360119</c:v>
                </c:pt>
                <c:pt idx="4">
                  <c:v>0.66891107051695309</c:v>
                </c:pt>
                <c:pt idx="5">
                  <c:v>0.67240269062868496</c:v>
                </c:pt>
                <c:pt idx="6">
                  <c:v>0.66891107051695309</c:v>
                </c:pt>
                <c:pt idx="7">
                  <c:v>0.65505632191360119</c:v>
                </c:pt>
                <c:pt idx="8">
                  <c:v>0.60983285822645028</c:v>
                </c:pt>
                <c:pt idx="9">
                  <c:v>0.49650883588008171</c:v>
                </c:pt>
                <c:pt idx="10">
                  <c:v>0.28843621018175764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351-45F6-A245-E12E8D27C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45344"/>
        <c:axId val="197564288"/>
      </c:scatterChart>
      <c:valAx>
        <c:axId val="19754534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0735294117647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64288"/>
        <c:crosses val="autoZero"/>
        <c:crossBetween val="midCat"/>
        <c:majorUnit val="2"/>
      </c:valAx>
      <c:valAx>
        <c:axId val="1975642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52E-2"/>
              <c:y val="0.341911764705883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4534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61"/>
          <c:y val="0.45955882352941252"/>
          <c:w val="0.31141228637675261"/>
          <c:h val="0.323529411764707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234 North Field</a:t>
            </a:r>
          </a:p>
        </c:rich>
      </c:tx>
      <c:layout>
        <c:manualLayout>
          <c:xMode val="edge"/>
          <c:yMode val="edge"/>
          <c:x val="0.37911060950213232"/>
          <c:y val="1.85185854983561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295"/>
          <c:w val="0.82978801773681077"/>
          <c:h val="0.7222248344358912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Details'!$P$134:$P$144</c:f>
              <c:numCache>
                <c:formatCode>0.000</c:formatCode>
                <c:ptCount val="11"/>
                <c:pt idx="0">
                  <c:v>0.32368715083798882</c:v>
                </c:pt>
                <c:pt idx="1">
                  <c:v>0.5317597765363129</c:v>
                </c:pt>
                <c:pt idx="2">
                  <c:v>0.64508379888268153</c:v>
                </c:pt>
                <c:pt idx="3">
                  <c:v>0.69030726256983244</c:v>
                </c:pt>
                <c:pt idx="4">
                  <c:v>0.70416201117318433</c:v>
                </c:pt>
                <c:pt idx="5">
                  <c:v>0.70765363128491621</c:v>
                </c:pt>
                <c:pt idx="6">
                  <c:v>0.70416201117318433</c:v>
                </c:pt>
                <c:pt idx="7">
                  <c:v>0.69030726256983244</c:v>
                </c:pt>
                <c:pt idx="8">
                  <c:v>0.64508379888268153</c:v>
                </c:pt>
                <c:pt idx="9">
                  <c:v>0.5317597765363129</c:v>
                </c:pt>
                <c:pt idx="10">
                  <c:v>0.32368715083798882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30-424C-93BE-5EE1150337E6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Details'!$R$134:$R$144</c:f>
              <c:numCache>
                <c:formatCode>0.000</c:formatCode>
                <c:ptCount val="11"/>
                <c:pt idx="0">
                  <c:v>0.78419617546079989</c:v>
                </c:pt>
                <c:pt idx="1">
                  <c:v>0.90095792048748935</c:v>
                </c:pt>
                <c:pt idx="2">
                  <c:v>0.92674229505504258</c:v>
                </c:pt>
                <c:pt idx="3">
                  <c:v>0.9369058200008793</c:v>
                </c:pt>
                <c:pt idx="4">
                  <c:v>0.93795682282297521</c:v>
                </c:pt>
                <c:pt idx="5">
                  <c:v>0.93990392045293958</c:v>
                </c:pt>
                <c:pt idx="6">
                  <c:v>0.93736333586015008</c:v>
                </c:pt>
                <c:pt idx="7">
                  <c:v>0.93493761143487997</c:v>
                </c:pt>
                <c:pt idx="8">
                  <c:v>0.92648478196644546</c:v>
                </c:pt>
                <c:pt idx="9">
                  <c:v>0.90007662609136041</c:v>
                </c:pt>
                <c:pt idx="10">
                  <c:v>0.80877739840887874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30-424C-93BE-5EE1150337E6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Details'!$T$134:$T$144</c:f>
              <c:numCache>
                <c:formatCode>0.000</c:formatCode>
                <c:ptCount val="11"/>
                <c:pt idx="0">
                  <c:v>0.89109564415834686</c:v>
                </c:pt>
                <c:pt idx="1">
                  <c:v>0.93370889974822313</c:v>
                </c:pt>
                <c:pt idx="2">
                  <c:v>0.94535447841460651</c:v>
                </c:pt>
                <c:pt idx="3">
                  <c:v>0.94893442012329232</c:v>
                </c:pt>
                <c:pt idx="4">
                  <c:v>0.94993916158938962</c:v>
                </c:pt>
                <c:pt idx="5">
                  <c:v>0.9501861658051205</c:v>
                </c:pt>
                <c:pt idx="6">
                  <c:v>0.94993916158938962</c:v>
                </c:pt>
                <c:pt idx="7">
                  <c:v>0.94893442012329232</c:v>
                </c:pt>
                <c:pt idx="8">
                  <c:v>0.94535447841460651</c:v>
                </c:pt>
                <c:pt idx="9">
                  <c:v>0.93370889974822313</c:v>
                </c:pt>
                <c:pt idx="10">
                  <c:v>0.89109564415834686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30-424C-93BE-5EE1150337E6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Details'!$S$134:$S$144</c:f>
              <c:numCache>
                <c:formatCode>0.000</c:formatCode>
                <c:ptCount val="11"/>
                <c:pt idx="0">
                  <c:v>0.25383422573295389</c:v>
                </c:pt>
                <c:pt idx="1">
                  <c:v>0.47909318246704852</c:v>
                </c:pt>
                <c:pt idx="2">
                  <c:v>0.59782644027936183</c:v>
                </c:pt>
                <c:pt idx="3">
                  <c:v>0.64675289189055118</c:v>
                </c:pt>
                <c:pt idx="4">
                  <c:v>0.66047356275263636</c:v>
                </c:pt>
                <c:pt idx="5">
                  <c:v>0.66512642236745168</c:v>
                </c:pt>
                <c:pt idx="6">
                  <c:v>0.66005565177928838</c:v>
                </c:pt>
                <c:pt idx="7">
                  <c:v>0.64539422322318962</c:v>
                </c:pt>
                <c:pt idx="8">
                  <c:v>0.59766032275790759</c:v>
                </c:pt>
                <c:pt idx="9">
                  <c:v>0.47862454555590028</c:v>
                </c:pt>
                <c:pt idx="10">
                  <c:v>0.26179085175313094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30-424C-93BE-5EE1150337E6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Details'!$U$134:$U$144</c:f>
              <c:numCache>
                <c:formatCode>0.000</c:formatCode>
                <c:ptCount val="11"/>
                <c:pt idx="0">
                  <c:v>0.28843621018175764</c:v>
                </c:pt>
                <c:pt idx="1">
                  <c:v>0.49650883588008171</c:v>
                </c:pt>
                <c:pt idx="2">
                  <c:v>0.60983285822645028</c:v>
                </c:pt>
                <c:pt idx="3">
                  <c:v>0.65505632191360119</c:v>
                </c:pt>
                <c:pt idx="4">
                  <c:v>0.66891107051695309</c:v>
                </c:pt>
                <c:pt idx="5">
                  <c:v>0.67240269062868496</c:v>
                </c:pt>
                <c:pt idx="6">
                  <c:v>0.66891107051695309</c:v>
                </c:pt>
                <c:pt idx="7">
                  <c:v>0.65505632191360119</c:v>
                </c:pt>
                <c:pt idx="8">
                  <c:v>0.60983285822645028</c:v>
                </c:pt>
                <c:pt idx="9">
                  <c:v>0.49650883588008171</c:v>
                </c:pt>
                <c:pt idx="10">
                  <c:v>0.28843621018175764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30-424C-93BE-5EE11503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99008"/>
        <c:axId val="197901312"/>
      </c:scatterChart>
      <c:valAx>
        <c:axId val="19789900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422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901312"/>
        <c:crosses val="autoZero"/>
        <c:crossBetween val="midCat"/>
        <c:majorUnit val="2"/>
      </c:valAx>
      <c:valAx>
        <c:axId val="1979013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70011E-2"/>
              <c:y val="0.3407419731697533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89900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61"/>
          <c:y val="0.46666835455857403"/>
          <c:w val="0.31141228637675261"/>
          <c:h val="0.325927104771068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142 North Field</a:t>
            </a:r>
          </a:p>
        </c:rich>
      </c:tx>
      <c:layout>
        <c:manualLayout>
          <c:xMode val="edge"/>
          <c:yMode val="edge"/>
          <c:x val="0.37911060950213232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68"/>
          <c:y val="9.8540321589020125E-2"/>
          <c:w val="0.82398530432606254"/>
          <c:h val="0.7226290249861460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Details'!$P$89:$P$101</c:f>
              <c:numCache>
                <c:formatCode>0.000</c:formatCode>
                <c:ptCount val="13"/>
                <c:pt idx="0">
                  <c:v>0.2187709497206704</c:v>
                </c:pt>
                <c:pt idx="1">
                  <c:v>0.36237430167597767</c:v>
                </c:pt>
                <c:pt idx="2">
                  <c:v>0.54488826815642455</c:v>
                </c:pt>
                <c:pt idx="3">
                  <c:v>0.63988826815642463</c:v>
                </c:pt>
                <c:pt idx="4">
                  <c:v>0.67916201117318431</c:v>
                </c:pt>
                <c:pt idx="5">
                  <c:v>0.69837988826815645</c:v>
                </c:pt>
                <c:pt idx="6">
                  <c:v>0.69583798882681569</c:v>
                </c:pt>
                <c:pt idx="7">
                  <c:v>0.69837988826815645</c:v>
                </c:pt>
                <c:pt idx="8">
                  <c:v>0.67916201117318431</c:v>
                </c:pt>
                <c:pt idx="9">
                  <c:v>0.63988826815642463</c:v>
                </c:pt>
                <c:pt idx="10">
                  <c:v>0.54488826815642455</c:v>
                </c:pt>
                <c:pt idx="11">
                  <c:v>0.36237430167597767</c:v>
                </c:pt>
                <c:pt idx="12">
                  <c:v>0.2187709497206704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0E-4E3B-A09A-51CE35DC16E9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Details'!$R$89:$R$101</c:f>
              <c:numCache>
                <c:formatCode>0.000</c:formatCode>
                <c:ptCount val="13"/>
                <c:pt idx="0">
                  <c:v>0.45699711969228907</c:v>
                </c:pt>
                <c:pt idx="1">
                  <c:v>0.82311069478070698</c:v>
                </c:pt>
                <c:pt idx="2">
                  <c:v>0.90429898207584136</c:v>
                </c:pt>
                <c:pt idx="3">
                  <c:v>0.92512427299768873</c:v>
                </c:pt>
                <c:pt idx="4">
                  <c:v>0.93258992752104319</c:v>
                </c:pt>
                <c:pt idx="5">
                  <c:v>0.93737304067059812</c:v>
                </c:pt>
                <c:pt idx="6">
                  <c:v>0.93892386879746637</c:v>
                </c:pt>
                <c:pt idx="7">
                  <c:v>0.93864026591721472</c:v>
                </c:pt>
                <c:pt idx="8">
                  <c:v>0.93525627635601882</c:v>
                </c:pt>
                <c:pt idx="9">
                  <c:v>0.92716175119556787</c:v>
                </c:pt>
                <c:pt idx="10">
                  <c:v>0.90971455761857167</c:v>
                </c:pt>
                <c:pt idx="11">
                  <c:v>0.84868237867537233</c:v>
                </c:pt>
                <c:pt idx="12">
                  <c:v>0.64746393563761506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0E-4E3B-A09A-51CE35DC16E9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Details'!$T$89:$T$101</c:f>
              <c:numCache>
                <c:formatCode>0.000</c:formatCode>
                <c:ptCount val="13"/>
                <c:pt idx="0">
                  <c:v>0.8388682743241731</c:v>
                </c:pt>
                <c:pt idx="1">
                  <c:v>0.90272229434262885</c:v>
                </c:pt>
                <c:pt idx="2">
                  <c:v>0.93530611188326873</c:v>
                </c:pt>
                <c:pt idx="3">
                  <c:v>0.9449107876945575</c:v>
                </c:pt>
                <c:pt idx="4">
                  <c:v>0.94809641870967032</c:v>
                </c:pt>
                <c:pt idx="5">
                  <c:v>0.94952469100499659</c:v>
                </c:pt>
                <c:pt idx="6">
                  <c:v>0.94934030446416939</c:v>
                </c:pt>
                <c:pt idx="7">
                  <c:v>0.94952469100499659</c:v>
                </c:pt>
                <c:pt idx="8">
                  <c:v>0.94809641870967032</c:v>
                </c:pt>
                <c:pt idx="9">
                  <c:v>0.9449107876945575</c:v>
                </c:pt>
                <c:pt idx="10">
                  <c:v>0.93530611188326873</c:v>
                </c:pt>
                <c:pt idx="11">
                  <c:v>0.90272229434262885</c:v>
                </c:pt>
                <c:pt idx="12">
                  <c:v>0.8388682743241731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0E-4E3B-A09A-51CE35DC16E9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Details'!$S$89:$S$101</c:f>
              <c:numCache>
                <c:formatCode>0.000</c:formatCode>
                <c:ptCount val="13"/>
                <c:pt idx="0">
                  <c:v>9.9977693894692965E-2</c:v>
                </c:pt>
                <c:pt idx="1">
                  <c:v>0.29827416322318751</c:v>
                </c:pt>
                <c:pt idx="2">
                  <c:v>0.49274190623892278</c:v>
                </c:pt>
                <c:pt idx="3">
                  <c:v>0.59197616887796245</c:v>
                </c:pt>
                <c:pt idx="4">
                  <c:v>0.63337965077504588</c:v>
                </c:pt>
                <c:pt idx="5">
                  <c:v>0.65464247940911435</c:v>
                </c:pt>
                <c:pt idx="6">
                  <c:v>0.65333889652552202</c:v>
                </c:pt>
                <c:pt idx="7">
                  <c:v>0.65552748403525707</c:v>
                </c:pt>
                <c:pt idx="8">
                  <c:v>0.63519053361229716</c:v>
                </c:pt>
                <c:pt idx="9">
                  <c:v>0.59327992727340984</c:v>
                </c:pt>
                <c:pt idx="10">
                  <c:v>0.49569278981747139</c:v>
                </c:pt>
                <c:pt idx="11">
                  <c:v>0.30754068431719567</c:v>
                </c:pt>
                <c:pt idx="12">
                  <c:v>0.14164630010932405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0E-4E3B-A09A-51CE35DC16E9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Details'!$U$89:$U$101</c:f>
              <c:numCache>
                <c:formatCode>0.000</c:formatCode>
                <c:ptCount val="13"/>
                <c:pt idx="0">
                  <c:v>0.18352000906443922</c:v>
                </c:pt>
                <c:pt idx="1">
                  <c:v>0.32712336101974648</c:v>
                </c:pt>
                <c:pt idx="2">
                  <c:v>0.5096373275001933</c:v>
                </c:pt>
                <c:pt idx="3">
                  <c:v>0.60463732750019339</c:v>
                </c:pt>
                <c:pt idx="4">
                  <c:v>0.64391107051695318</c:v>
                </c:pt>
                <c:pt idx="5">
                  <c:v>0.66312894761192531</c:v>
                </c:pt>
                <c:pt idx="6">
                  <c:v>0.66058704817058456</c:v>
                </c:pt>
                <c:pt idx="7">
                  <c:v>0.66312894761192531</c:v>
                </c:pt>
                <c:pt idx="8">
                  <c:v>0.64391107051695318</c:v>
                </c:pt>
                <c:pt idx="9">
                  <c:v>0.60463732750019339</c:v>
                </c:pt>
                <c:pt idx="10">
                  <c:v>0.5096373275001933</c:v>
                </c:pt>
                <c:pt idx="11">
                  <c:v>0.32712336101974648</c:v>
                </c:pt>
                <c:pt idx="12">
                  <c:v>0.18352000906443922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0E-4E3B-A09A-51CE35DC1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60896"/>
        <c:axId val="197775744"/>
      </c:scatterChart>
      <c:valAx>
        <c:axId val="19776089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775744"/>
        <c:crosses val="autoZero"/>
        <c:crossBetween val="midCat"/>
        <c:majorUnit val="2"/>
      </c:valAx>
      <c:valAx>
        <c:axId val="19777574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52E-2"/>
              <c:y val="0.343066304791402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76089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61"/>
          <c:y val="0.45985483408209232"/>
          <c:w val="0.31141228637675261"/>
          <c:h val="0.3211684555493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203 North Field</a:t>
            </a:r>
          </a:p>
        </c:rich>
      </c:tx>
      <c:layout>
        <c:manualLayout>
          <c:xMode val="edge"/>
          <c:yMode val="edge"/>
          <c:x val="0.37911060950213232"/>
          <c:y val="1.85185854983561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295"/>
          <c:w val="0.82978801773681077"/>
          <c:h val="0.7222248344358912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Details'!$P$119:$P$131</c:f>
              <c:numCache>
                <c:formatCode>0.000</c:formatCode>
                <c:ptCount val="13"/>
                <c:pt idx="0">
                  <c:v>0.2187709497206704</c:v>
                </c:pt>
                <c:pt idx="1">
                  <c:v>0.36237430167597767</c:v>
                </c:pt>
                <c:pt idx="2">
                  <c:v>0.54488826815642455</c:v>
                </c:pt>
                <c:pt idx="3">
                  <c:v>0.63988826815642463</c:v>
                </c:pt>
                <c:pt idx="4">
                  <c:v>0.67916201117318431</c:v>
                </c:pt>
                <c:pt idx="5">
                  <c:v>0.69837988826815645</c:v>
                </c:pt>
                <c:pt idx="6">
                  <c:v>0.69583798882681569</c:v>
                </c:pt>
                <c:pt idx="7">
                  <c:v>0.69837988826815645</c:v>
                </c:pt>
                <c:pt idx="8">
                  <c:v>0.67916201117318431</c:v>
                </c:pt>
                <c:pt idx="9">
                  <c:v>0.63988826815642463</c:v>
                </c:pt>
                <c:pt idx="10">
                  <c:v>0.54488826815642455</c:v>
                </c:pt>
                <c:pt idx="11">
                  <c:v>0.36237430167597767</c:v>
                </c:pt>
                <c:pt idx="12">
                  <c:v>0.2187709497206704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AA-4476-8E33-D9DED0B58BB1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Details'!$R$119:$R$131</c:f>
              <c:numCache>
                <c:formatCode>0.000</c:formatCode>
                <c:ptCount val="13"/>
                <c:pt idx="0">
                  <c:v>0.45788110527993997</c:v>
                </c:pt>
                <c:pt idx="1">
                  <c:v>0.82089393149738643</c:v>
                </c:pt>
                <c:pt idx="2">
                  <c:v>0.90302642369234232</c:v>
                </c:pt>
                <c:pt idx="3">
                  <c:v>0.92471829043558662</c:v>
                </c:pt>
                <c:pt idx="4">
                  <c:v>0.9336681774333091</c:v>
                </c:pt>
                <c:pt idx="5">
                  <c:v>0.93677584634348432</c:v>
                </c:pt>
                <c:pt idx="6">
                  <c:v>0.93719202681128022</c:v>
                </c:pt>
                <c:pt idx="7">
                  <c:v>0.93854386792171929</c:v>
                </c:pt>
                <c:pt idx="8">
                  <c:v>0.93526669536529528</c:v>
                </c:pt>
                <c:pt idx="9">
                  <c:v>0.93087368623887001</c:v>
                </c:pt>
                <c:pt idx="10">
                  <c:v>0.91365978424235106</c:v>
                </c:pt>
                <c:pt idx="11">
                  <c:v>0.85234974170688871</c:v>
                </c:pt>
                <c:pt idx="12">
                  <c:v>0.68957283599834485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AA-4476-8E33-D9DED0B58BB1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Details'!$T$119:$T$131</c:f>
              <c:numCache>
                <c:formatCode>0.000</c:formatCode>
                <c:ptCount val="13"/>
                <c:pt idx="0">
                  <c:v>0.8388682743241731</c:v>
                </c:pt>
                <c:pt idx="1">
                  <c:v>0.90272229434262885</c:v>
                </c:pt>
                <c:pt idx="2">
                  <c:v>0.93530611188326873</c:v>
                </c:pt>
                <c:pt idx="3">
                  <c:v>0.9449107876945575</c:v>
                </c:pt>
                <c:pt idx="4">
                  <c:v>0.94809641870967032</c:v>
                </c:pt>
                <c:pt idx="5">
                  <c:v>0.94952469100499659</c:v>
                </c:pt>
                <c:pt idx="6">
                  <c:v>0.94934030446416939</c:v>
                </c:pt>
                <c:pt idx="7">
                  <c:v>0.94952469100499659</c:v>
                </c:pt>
                <c:pt idx="8">
                  <c:v>0.94809641870967032</c:v>
                </c:pt>
                <c:pt idx="9">
                  <c:v>0.9449107876945575</c:v>
                </c:pt>
                <c:pt idx="10">
                  <c:v>0.93530611188326873</c:v>
                </c:pt>
                <c:pt idx="11">
                  <c:v>0.90272229434262885</c:v>
                </c:pt>
                <c:pt idx="12">
                  <c:v>0.8388682743241731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AA-4476-8E33-D9DED0B58BB1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Details'!$S$119:$S$131</c:f>
              <c:numCache>
                <c:formatCode>0.000</c:formatCode>
                <c:ptCount val="13"/>
                <c:pt idx="0">
                  <c:v>0.10017108426124274</c:v>
                </c:pt>
                <c:pt idx="1">
                  <c:v>0.29747086517641325</c:v>
                </c:pt>
                <c:pt idx="2">
                  <c:v>0.49204850410521006</c:v>
                </c:pt>
                <c:pt idx="3">
                  <c:v>0.59171638539939719</c:v>
                </c:pt>
                <c:pt idx="4">
                  <c:v>0.6341119571540077</c:v>
                </c:pt>
                <c:pt idx="5">
                  <c:v>0.6542254109016703</c:v>
                </c:pt>
                <c:pt idx="6">
                  <c:v>0.6521338150808883</c:v>
                </c:pt>
                <c:pt idx="7">
                  <c:v>0.65546016161393372</c:v>
                </c:pt>
                <c:pt idx="8">
                  <c:v>0.63519760980759188</c:v>
                </c:pt>
                <c:pt idx="9">
                  <c:v>0.5956551509597775</c:v>
                </c:pt>
                <c:pt idx="10">
                  <c:v>0.49784249751998716</c:v>
                </c:pt>
                <c:pt idx="11">
                  <c:v>0.30886964243473375</c:v>
                </c:pt>
                <c:pt idx="12">
                  <c:v>0.15085850423293401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AA-4476-8E33-D9DED0B58BB1}"/>
            </c:ext>
          </c:extLst>
        </c:ser>
        <c:ser>
          <c:idx val="4"/>
          <c:order val="4"/>
          <c:tx>
            <c:v>To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Details'!$U$119:$U$131</c:f>
              <c:numCache>
                <c:formatCode>0.000</c:formatCode>
                <c:ptCount val="13"/>
                <c:pt idx="0">
                  <c:v>0.18352000906443922</c:v>
                </c:pt>
                <c:pt idx="1">
                  <c:v>0.32712336101974648</c:v>
                </c:pt>
                <c:pt idx="2">
                  <c:v>0.5096373275001933</c:v>
                </c:pt>
                <c:pt idx="3">
                  <c:v>0.60463732750019339</c:v>
                </c:pt>
                <c:pt idx="4">
                  <c:v>0.64391107051695318</c:v>
                </c:pt>
                <c:pt idx="5">
                  <c:v>0.66312894761192531</c:v>
                </c:pt>
                <c:pt idx="6">
                  <c:v>0.66058704817058456</c:v>
                </c:pt>
                <c:pt idx="7">
                  <c:v>0.66312894761192531</c:v>
                </c:pt>
                <c:pt idx="8">
                  <c:v>0.64391107051695318</c:v>
                </c:pt>
                <c:pt idx="9">
                  <c:v>0.60463732750019339</c:v>
                </c:pt>
                <c:pt idx="10">
                  <c:v>0.5096373275001933</c:v>
                </c:pt>
                <c:pt idx="11">
                  <c:v>0.32712336101974648</c:v>
                </c:pt>
                <c:pt idx="12">
                  <c:v>0.18352000906443922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AA-4476-8E33-D9DED0B5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0464"/>
        <c:axId val="197957120"/>
      </c:scatterChart>
      <c:valAx>
        <c:axId val="19795046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422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957120"/>
        <c:crosses val="autoZero"/>
        <c:crossBetween val="midCat"/>
        <c:majorUnit val="2"/>
      </c:valAx>
      <c:valAx>
        <c:axId val="1979571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70011E-2"/>
              <c:y val="0.3407419731697533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95046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071603632362661"/>
          <c:y val="0.46666835455857403"/>
          <c:w val="0.31141228637675261"/>
          <c:h val="0.325927104771068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53, East Field</a:t>
            </a:r>
          </a:p>
        </c:rich>
      </c:tx>
      <c:layout>
        <c:manualLayout>
          <c:xMode val="edge"/>
          <c:yMode val="edge"/>
          <c:x val="0.37400000000000061"/>
          <c:y val="1.85185854983561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0.10370407879079424"/>
          <c:w val="0.83600000000000063"/>
          <c:h val="0.7259285515355610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Details'!$AQ$47:$AQ$55</c:f>
              <c:numCache>
                <c:formatCode>0.000</c:formatCode>
                <c:ptCount val="9"/>
                <c:pt idx="0">
                  <c:v>0.34374301675977653</c:v>
                </c:pt>
                <c:pt idx="1">
                  <c:v>0.45751396648044695</c:v>
                </c:pt>
                <c:pt idx="2">
                  <c:v>0.56030726256983243</c:v>
                </c:pt>
                <c:pt idx="3">
                  <c:v>0.62793296089385475</c:v>
                </c:pt>
                <c:pt idx="4">
                  <c:v>0.68589385474860332</c:v>
                </c:pt>
                <c:pt idx="5">
                  <c:v>0.70276536312849158</c:v>
                </c:pt>
                <c:pt idx="6">
                  <c:v>0.66692737430167592</c:v>
                </c:pt>
                <c:pt idx="7">
                  <c:v>0.60695530726256985</c:v>
                </c:pt>
                <c:pt idx="8">
                  <c:v>0.48178770949720673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D-407D-A25F-A031E9401189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Details'!$AS$47:$AS$55</c:f>
              <c:numCache>
                <c:formatCode>0.000</c:formatCode>
                <c:ptCount val="9"/>
                <c:pt idx="0">
                  <c:v>0.73525652956824739</c:v>
                </c:pt>
                <c:pt idx="1">
                  <c:v>0.85871848332551415</c:v>
                </c:pt>
                <c:pt idx="2">
                  <c:v>0.89994430970892447</c:v>
                </c:pt>
                <c:pt idx="3">
                  <c:v>0.9155319583007846</c:v>
                </c:pt>
                <c:pt idx="4">
                  <c:v>0.9248348619768656</c:v>
                </c:pt>
                <c:pt idx="5">
                  <c:v>0.9248936275155123</c:v>
                </c:pt>
                <c:pt idx="6">
                  <c:v>0.92193888116670797</c:v>
                </c:pt>
                <c:pt idx="7">
                  <c:v>0.91004575838751511</c:v>
                </c:pt>
                <c:pt idx="8">
                  <c:v>0.87408267990913524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5D-407D-A25F-A031E9401189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Details'!$AT$47:$AT$55</c:f>
              <c:numCache>
                <c:formatCode>0.000</c:formatCode>
                <c:ptCount val="9"/>
                <c:pt idx="0">
                  <c:v>0.25273929756611319</c:v>
                </c:pt>
                <c:pt idx="1">
                  <c:v>0.39287569939632955</c:v>
                </c:pt>
                <c:pt idx="2">
                  <c:v>0.50424533263830495</c:v>
                </c:pt>
                <c:pt idx="3">
                  <c:v>0.57489269336876081</c:v>
                </c:pt>
                <c:pt idx="4">
                  <c:v>0.63433854848720483</c:v>
                </c:pt>
                <c:pt idx="5">
                  <c:v>0.64998320599616688</c:v>
                </c:pt>
                <c:pt idx="6">
                  <c:v>0.61486627728313736</c:v>
                </c:pt>
                <c:pt idx="7">
                  <c:v>0.55235710290509266</c:v>
                </c:pt>
                <c:pt idx="8">
                  <c:v>0.4211222922646024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25D-407D-A25F-A031E940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02944"/>
        <c:axId val="198025984"/>
      </c:scatterChart>
      <c:valAx>
        <c:axId val="198002944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000325522010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025984"/>
        <c:crosses val="autoZero"/>
        <c:crossBetween val="midCat"/>
      </c:valAx>
      <c:valAx>
        <c:axId val="1980259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81494073690955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00294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00000000000001"/>
          <c:y val="0.52222411105364241"/>
          <c:w val="0.20600000000000004"/>
          <c:h val="0.27407506537567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82, East Field</a:t>
            </a:r>
          </a:p>
        </c:rich>
      </c:tx>
      <c:layout>
        <c:manualLayout>
          <c:xMode val="edge"/>
          <c:yMode val="edge"/>
          <c:x val="0.3847699155830368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2856868871403"/>
          <c:y val="9.8181818181818245E-2"/>
          <c:w val="0.837676170383903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Details'!$AQ$61:$AQ$71</c:f>
              <c:numCache>
                <c:formatCode>0.000</c:formatCode>
                <c:ptCount val="11"/>
                <c:pt idx="0">
                  <c:v>0.20625698324022346</c:v>
                </c:pt>
                <c:pt idx="1">
                  <c:v>0.37726256983240225</c:v>
                </c:pt>
                <c:pt idx="2">
                  <c:v>0.49449720670391062</c:v>
                </c:pt>
                <c:pt idx="3">
                  <c:v>0.58555865921787709</c:v>
                </c:pt>
                <c:pt idx="4">
                  <c:v>0.64620111731843577</c:v>
                </c:pt>
                <c:pt idx="5">
                  <c:v>0.68782122905027931</c:v>
                </c:pt>
                <c:pt idx="6">
                  <c:v>0.70854748603351958</c:v>
                </c:pt>
                <c:pt idx="7">
                  <c:v>0.70416201117318433</c:v>
                </c:pt>
                <c:pt idx="8">
                  <c:v>0.66642458100558655</c:v>
                </c:pt>
                <c:pt idx="9">
                  <c:v>0.56851955307262569</c:v>
                </c:pt>
                <c:pt idx="10">
                  <c:v>0.33223463687150839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84-4E74-9960-0AC18187046F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Details'!$AS$61:$AS$71</c:f>
              <c:numCache>
                <c:formatCode>0.000</c:formatCode>
                <c:ptCount val="11"/>
                <c:pt idx="0">
                  <c:v>0.37285229446042345</c:v>
                </c:pt>
                <c:pt idx="1">
                  <c:v>0.83229498252828504</c:v>
                </c:pt>
                <c:pt idx="2">
                  <c:v>0.89694169010347491</c:v>
                </c:pt>
                <c:pt idx="3">
                  <c:v>0.91831678651925552</c:v>
                </c:pt>
                <c:pt idx="4">
                  <c:v>0.93009457535377926</c:v>
                </c:pt>
                <c:pt idx="5">
                  <c:v>0.93328484810596413</c:v>
                </c:pt>
                <c:pt idx="6">
                  <c:v>0.93531786750629509</c:v>
                </c:pt>
                <c:pt idx="7">
                  <c:v>0.93272559429820878</c:v>
                </c:pt>
                <c:pt idx="8">
                  <c:v>0.92457733381122842</c:v>
                </c:pt>
                <c:pt idx="9">
                  <c:v>0.90066414619108304</c:v>
                </c:pt>
                <c:pt idx="10">
                  <c:v>0.79216612481249526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84-4E74-9960-0AC18187046F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Details'!$AT$61:$AT$71</c:f>
              <c:numCache>
                <c:formatCode>0.000</c:formatCode>
                <c:ptCount val="11"/>
                <c:pt idx="0">
                  <c:v>7.6903389449602427E-2</c:v>
                </c:pt>
                <c:pt idx="1">
                  <c:v>0.31399374396723517</c:v>
                </c:pt>
                <c:pt idx="2">
                  <c:v>0.44353516033245299</c:v>
                </c:pt>
                <c:pt idx="3">
                  <c:v>0.53772834625148469</c:v>
                </c:pt>
                <c:pt idx="4">
                  <c:v>0.60102815380542818</c:v>
                </c:pt>
                <c:pt idx="5">
                  <c:v>0.64193313127824747</c:v>
                </c:pt>
                <c:pt idx="6">
                  <c:v>0.66271712366381796</c:v>
                </c:pt>
                <c:pt idx="7">
                  <c:v>0.65678993035373034</c:v>
                </c:pt>
                <c:pt idx="8">
                  <c:v>0.61616106229241019</c:v>
                </c:pt>
                <c:pt idx="9">
                  <c:v>0.51204517786109249</c:v>
                </c:pt>
                <c:pt idx="10">
                  <c:v>0.26318502481898937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84-4E74-9960-0AC181870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72192"/>
        <c:axId val="198082944"/>
      </c:scatterChart>
      <c:valAx>
        <c:axId val="1980721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5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082944"/>
        <c:crosses val="autoZero"/>
        <c:crossBetween val="midCat"/>
        <c:majorUnit val="2"/>
      </c:valAx>
      <c:valAx>
        <c:axId val="19808294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0721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090224482387131"/>
          <c:y val="0.53090909090909211"/>
          <c:w val="0.20641302763048341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112, East Field</a:t>
            </a:r>
          </a:p>
        </c:rich>
      </c:tx>
      <c:layout>
        <c:manualLayout>
          <c:xMode val="edge"/>
          <c:yMode val="edge"/>
          <c:x val="0.37875788565205287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2856868871403"/>
          <c:y val="9.8540321589020125E-2"/>
          <c:w val="0.83767617038390363"/>
          <c:h val="0.7372275911474808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Details'!$AQ$76:$AQ$86</c:f>
              <c:numCache>
                <c:formatCode>0.000</c:formatCode>
                <c:ptCount val="11"/>
                <c:pt idx="0">
                  <c:v>0.23927374301675977</c:v>
                </c:pt>
                <c:pt idx="1">
                  <c:v>0.39717877094972065</c:v>
                </c:pt>
                <c:pt idx="2">
                  <c:v>0.5045251396648045</c:v>
                </c:pt>
                <c:pt idx="3">
                  <c:v>0.5951675977653631</c:v>
                </c:pt>
                <c:pt idx="4">
                  <c:v>0.64656424581005589</c:v>
                </c:pt>
                <c:pt idx="5">
                  <c:v>0.68854748603351956</c:v>
                </c:pt>
                <c:pt idx="6">
                  <c:v>0.70723463687150834</c:v>
                </c:pt>
                <c:pt idx="7">
                  <c:v>0.72346368715083798</c:v>
                </c:pt>
                <c:pt idx="8">
                  <c:v>0.70684357541899445</c:v>
                </c:pt>
                <c:pt idx="9">
                  <c:v>0.60013966480446923</c:v>
                </c:pt>
                <c:pt idx="10">
                  <c:v>0.37745810055865919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EE-4326-95C3-BE064ECE759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Details'!$AS$76:$AS$86</c:f>
              <c:numCache>
                <c:formatCode>0.000</c:formatCode>
                <c:ptCount val="11"/>
                <c:pt idx="0">
                  <c:v>0.71163684777316183</c:v>
                </c:pt>
                <c:pt idx="1">
                  <c:v>0.86973580915755933</c:v>
                </c:pt>
                <c:pt idx="2">
                  <c:v>0.91242955075604415</c:v>
                </c:pt>
                <c:pt idx="3">
                  <c:v>0.9300477204608516</c:v>
                </c:pt>
                <c:pt idx="4">
                  <c:v>0.93741679855394189</c:v>
                </c:pt>
                <c:pt idx="5">
                  <c:v>0.94249568425014907</c:v>
                </c:pt>
                <c:pt idx="6">
                  <c:v>0.94109279948899582</c:v>
                </c:pt>
                <c:pt idx="7">
                  <c:v>0.9415601026234045</c:v>
                </c:pt>
                <c:pt idx="8">
                  <c:v>0.93874605309222603</c:v>
                </c:pt>
                <c:pt idx="9">
                  <c:v>0.91861927437398549</c:v>
                </c:pt>
                <c:pt idx="10">
                  <c:v>0.85707747668299938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EE-4326-95C3-BE064ECE759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Details'!$AT$76:$AT$86</c:f>
              <c:numCache>
                <c:formatCode>0.000</c:formatCode>
                <c:ptCount val="11"/>
                <c:pt idx="0">
                  <c:v>0.17027601223533251</c:v>
                </c:pt>
                <c:pt idx="1">
                  <c:v>0.34544059973216018</c:v>
                </c:pt>
                <c:pt idx="2">
                  <c:v>0.460343646529488</c:v>
                </c:pt>
                <c:pt idx="3">
                  <c:v>0.55353426759383695</c:v>
                </c:pt>
                <c:pt idx="4">
                  <c:v>0.60610018536670651</c:v>
                </c:pt>
                <c:pt idx="5">
                  <c:v>0.64895303398788196</c:v>
                </c:pt>
                <c:pt idx="6">
                  <c:v>0.66557342430899114</c:v>
                </c:pt>
                <c:pt idx="7">
                  <c:v>0.68118454351804958</c:v>
                </c:pt>
                <c:pt idx="8">
                  <c:v>0.66354661657817826</c:v>
                </c:pt>
                <c:pt idx="9">
                  <c:v>0.55129986340572845</c:v>
                </c:pt>
                <c:pt idx="10">
                  <c:v>0.32351083638037348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EE-4326-95C3-BE064ECE7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56128"/>
        <c:axId val="198275072"/>
      </c:scatterChart>
      <c:valAx>
        <c:axId val="1982561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51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275072"/>
        <c:crosses val="autoZero"/>
        <c:crossBetween val="midCat"/>
        <c:majorUnit val="2"/>
      </c:valAx>
      <c:valAx>
        <c:axId val="1982750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20049884974916E-2"/>
              <c:y val="0.3503655878720713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2561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090224482387131"/>
          <c:y val="0.52919802334844068"/>
          <c:w val="0.20641302763048341"/>
          <c:h val="0.270073473984721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142, East Field</a:t>
            </a:r>
          </a:p>
        </c:rich>
      </c:tx>
      <c:layout>
        <c:manualLayout>
          <c:xMode val="edge"/>
          <c:yMode val="edge"/>
          <c:x val="0.37800000000000061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"/>
          <c:y val="9.8181818181818245E-2"/>
          <c:w val="0.838000000000000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Details'!$AQ$89:$AQ$101</c:f>
              <c:numCache>
                <c:formatCode>0.000</c:formatCode>
                <c:ptCount val="13"/>
                <c:pt idx="0">
                  <c:v>0.1414804469273743</c:v>
                </c:pt>
                <c:pt idx="1">
                  <c:v>0.28142458100558659</c:v>
                </c:pt>
                <c:pt idx="2">
                  <c:v>0.40815642458100559</c:v>
                </c:pt>
                <c:pt idx="3">
                  <c:v>0.51324022346368714</c:v>
                </c:pt>
                <c:pt idx="4">
                  <c:v>0.59851955307262572</c:v>
                </c:pt>
                <c:pt idx="5">
                  <c:v>0.65536312849162015</c:v>
                </c:pt>
                <c:pt idx="6">
                  <c:v>0.68846368715083794</c:v>
                </c:pt>
                <c:pt idx="7">
                  <c:v>0.7045810055865922</c:v>
                </c:pt>
                <c:pt idx="8">
                  <c:v>0.71472067039106146</c:v>
                </c:pt>
                <c:pt idx="9">
                  <c:v>0.71611731843575421</c:v>
                </c:pt>
                <c:pt idx="10">
                  <c:v>0.63399441340782126</c:v>
                </c:pt>
                <c:pt idx="11">
                  <c:v>0.48472067039106143</c:v>
                </c:pt>
                <c:pt idx="12">
                  <c:v>0.27047486033519552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4C-4636-9F2D-00DCF61D578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Details'!$AS$89:$AS$101</c:f>
              <c:numCache>
                <c:formatCode>0.000</c:formatCode>
                <c:ptCount val="13"/>
                <c:pt idx="0">
                  <c:v>0.16035566464560869</c:v>
                </c:pt>
                <c:pt idx="1">
                  <c:v>0.77222978098164885</c:v>
                </c:pt>
                <c:pt idx="2">
                  <c:v>0.87223927206087037</c:v>
                </c:pt>
                <c:pt idx="3">
                  <c:v>0.9066478091776996</c:v>
                </c:pt>
                <c:pt idx="4">
                  <c:v>0.92350732709883065</c:v>
                </c:pt>
                <c:pt idx="5">
                  <c:v>0.9332623289935339</c:v>
                </c:pt>
                <c:pt idx="6">
                  <c:v>0.93826966753007202</c:v>
                </c:pt>
                <c:pt idx="7">
                  <c:v>0.93918030163583111</c:v>
                </c:pt>
                <c:pt idx="8">
                  <c:v>0.93847739490054483</c:v>
                </c:pt>
                <c:pt idx="9">
                  <c:v>0.93491521614806994</c:v>
                </c:pt>
                <c:pt idx="10">
                  <c:v>0.92240392454797893</c:v>
                </c:pt>
                <c:pt idx="11">
                  <c:v>0.88687584271051711</c:v>
                </c:pt>
                <c:pt idx="12">
                  <c:v>0.71485464669150067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4C-4636-9F2D-00DCF61D578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Details'!$AT$89:$AT$101</c:f>
              <c:numCache>
                <c:formatCode>0.000</c:formatCode>
                <c:ptCount val="13"/>
                <c:pt idx="0">
                  <c:v>2.2687191101396872E-2</c:v>
                </c:pt>
                <c:pt idx="1">
                  <c:v>0.21732444255279643</c:v>
                </c:pt>
                <c:pt idx="2">
                  <c:v>0.35601006266350388</c:v>
                </c:pt>
                <c:pt idx="3">
                  <c:v>0.4653281241852249</c:v>
                </c:pt>
                <c:pt idx="4">
                  <c:v>0.55273719267448729</c:v>
                </c:pt>
                <c:pt idx="5">
                  <c:v>0.61162571963257806</c:v>
                </c:pt>
                <c:pt idx="6">
                  <c:v>0.64596459484954427</c:v>
                </c:pt>
                <c:pt idx="7">
                  <c:v>0.66172860135369282</c:v>
                </c:pt>
                <c:pt idx="8">
                  <c:v>0.67074919283017431</c:v>
                </c:pt>
                <c:pt idx="9">
                  <c:v>0.66950897755273941</c:v>
                </c:pt>
                <c:pt idx="10">
                  <c:v>0.58479893506886815</c:v>
                </c:pt>
                <c:pt idx="11">
                  <c:v>0.42988705303227942</c:v>
                </c:pt>
                <c:pt idx="12">
                  <c:v>0.1933502107238492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4C-4636-9F2D-00DCF61D5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16480"/>
        <c:axId val="198118784"/>
      </c:scatterChart>
      <c:valAx>
        <c:axId val="19811648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0000000000000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118784"/>
        <c:crosses val="autoZero"/>
        <c:crossBetween val="midCat"/>
        <c:majorUnit val="2"/>
      </c:valAx>
      <c:valAx>
        <c:axId val="1981187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11648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00000000000001"/>
          <c:y val="0.53090909090909211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173, East Field</a:t>
            </a:r>
          </a:p>
        </c:rich>
      </c:tx>
      <c:layout>
        <c:manualLayout>
          <c:xMode val="edge"/>
          <c:yMode val="edge"/>
          <c:x val="0.37800000000000061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9.8540321589020125E-2"/>
          <c:w val="0.83600000000000063"/>
          <c:h val="0.7372275911474808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Details'!$AQ$104:$AQ$116</c:f>
              <c:numCache>
                <c:formatCode>0.000</c:formatCode>
                <c:ptCount val="13"/>
                <c:pt idx="0">
                  <c:v>0.1664245810055866</c:v>
                </c:pt>
                <c:pt idx="1">
                  <c:v>0.30027932960893855</c:v>
                </c:pt>
                <c:pt idx="2">
                  <c:v>0.41413407821229048</c:v>
                </c:pt>
                <c:pt idx="3">
                  <c:v>0.5190502793296089</c:v>
                </c:pt>
                <c:pt idx="4">
                  <c:v>0.59</c:v>
                </c:pt>
                <c:pt idx="5">
                  <c:v>0.64815642458100564</c:v>
                </c:pt>
                <c:pt idx="6">
                  <c:v>0.68687150837988831</c:v>
                </c:pt>
                <c:pt idx="7">
                  <c:v>0.70502793296089383</c:v>
                </c:pt>
                <c:pt idx="8">
                  <c:v>0.71960893854748609</c:v>
                </c:pt>
                <c:pt idx="9">
                  <c:v>0.70798882681564246</c:v>
                </c:pt>
                <c:pt idx="10">
                  <c:v>0.64955307262569828</c:v>
                </c:pt>
                <c:pt idx="11">
                  <c:v>0.51723463687150839</c:v>
                </c:pt>
                <c:pt idx="12">
                  <c:v>0.30469273743016762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76-41FE-94CD-8E7D7A47AF8C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Details'!$AS$104:$AS$116</c:f>
              <c:numCache>
                <c:formatCode>0.000</c:formatCode>
                <c:ptCount val="13"/>
                <c:pt idx="0">
                  <c:v>0.48173891430820892</c:v>
                </c:pt>
                <c:pt idx="1">
                  <c:v>0.81722897356620627</c:v>
                </c:pt>
                <c:pt idx="2">
                  <c:v>0.88648697620949635</c:v>
                </c:pt>
                <c:pt idx="3">
                  <c:v>0.91637885299238198</c:v>
                </c:pt>
                <c:pt idx="4">
                  <c:v>0.9286541929174944</c:v>
                </c:pt>
                <c:pt idx="5">
                  <c:v>0.93630317653270945</c:v>
                </c:pt>
                <c:pt idx="6">
                  <c:v>0.94028505804972751</c:v>
                </c:pt>
                <c:pt idx="7">
                  <c:v>0.9395022748704599</c:v>
                </c:pt>
                <c:pt idx="8">
                  <c:v>0.9418353761167233</c:v>
                </c:pt>
                <c:pt idx="9">
                  <c:v>0.93588963050739582</c:v>
                </c:pt>
                <c:pt idx="10">
                  <c:v>0.92740185801798036</c:v>
                </c:pt>
                <c:pt idx="11">
                  <c:v>0.89832506788214239</c:v>
                </c:pt>
                <c:pt idx="12">
                  <c:v>0.78091136297028518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76-41FE-94CD-8E7D7A47AF8C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Details'!$AT$104:$AT$116</c:f>
              <c:numCache>
                <c:formatCode>0.000</c:formatCode>
                <c:ptCount val="13"/>
                <c:pt idx="0">
                  <c:v>8.017319696782986E-2</c:v>
                </c:pt>
                <c:pt idx="1">
                  <c:v>0.24539696831946139</c:v>
                </c:pt>
                <c:pt idx="2">
                  <c:v>0.36712446673972043</c:v>
                </c:pt>
                <c:pt idx="3">
                  <c:v>0.47564669961744249</c:v>
                </c:pt>
                <c:pt idx="4">
                  <c:v>0.54790597382132167</c:v>
                </c:pt>
                <c:pt idx="5">
                  <c:v>0.60687091922527914</c:v>
                </c:pt>
                <c:pt idx="6">
                  <c:v>0.64585501612968721</c:v>
                </c:pt>
                <c:pt idx="7">
                  <c:v>0.66237534686397781</c:v>
                </c:pt>
                <c:pt idx="8">
                  <c:v>0.67775315529382762</c:v>
                </c:pt>
                <c:pt idx="9">
                  <c:v>0.66259940153185626</c:v>
                </c:pt>
                <c:pt idx="10">
                  <c:v>0.60239672643436071</c:v>
                </c:pt>
                <c:pt idx="11">
                  <c:v>0.46464484027859304</c:v>
                </c:pt>
                <c:pt idx="12">
                  <c:v>0.23793802087373941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76-41FE-94CD-8E7D7A47A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69728"/>
        <c:axId val="198172032"/>
      </c:scatterChart>
      <c:valAx>
        <c:axId val="1981697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172032"/>
        <c:crosses val="autoZero"/>
        <c:crossBetween val="midCat"/>
        <c:majorUnit val="2"/>
      </c:valAx>
      <c:valAx>
        <c:axId val="1981720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2E-2"/>
              <c:y val="0.3503655878720713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1697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00000000000001"/>
          <c:y val="0.52919802334844068"/>
          <c:w val="0.20600000000000004"/>
          <c:h val="0.270073473984721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203, East Field</a:t>
            </a:r>
          </a:p>
        </c:rich>
      </c:tx>
      <c:layout>
        <c:manualLayout>
          <c:xMode val="edge"/>
          <c:yMode val="edge"/>
          <c:x val="0.39200000000000085"/>
          <c:y val="2.03252839386589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"/>
          <c:y val="0.10569147648102674"/>
          <c:w val="0.85400000000000065"/>
          <c:h val="0.731710221791721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Details'!$AQ$119:$AQ$131</c:f>
              <c:numCache>
                <c:formatCode>0.000</c:formatCode>
                <c:ptCount val="13"/>
                <c:pt idx="0">
                  <c:v>0.1414804469273743</c:v>
                </c:pt>
                <c:pt idx="1">
                  <c:v>0.28142458100558659</c:v>
                </c:pt>
                <c:pt idx="2">
                  <c:v>0.40815642458100559</c:v>
                </c:pt>
                <c:pt idx="3">
                  <c:v>0.51324022346368714</c:v>
                </c:pt>
                <c:pt idx="4">
                  <c:v>0.59851955307262572</c:v>
                </c:pt>
                <c:pt idx="5">
                  <c:v>0.65536312849162015</c:v>
                </c:pt>
                <c:pt idx="6">
                  <c:v>0.68846368715083794</c:v>
                </c:pt>
                <c:pt idx="7">
                  <c:v>0.7045810055865922</c:v>
                </c:pt>
                <c:pt idx="8">
                  <c:v>0.71472067039106146</c:v>
                </c:pt>
                <c:pt idx="9">
                  <c:v>0.71611731843575421</c:v>
                </c:pt>
                <c:pt idx="10">
                  <c:v>0.63399441340782126</c:v>
                </c:pt>
                <c:pt idx="11">
                  <c:v>0.48472067039106143</c:v>
                </c:pt>
                <c:pt idx="12">
                  <c:v>0.27047486033519552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94-4122-A0C4-D8312C81B01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Details'!$AS$119:$AS$131</c:f>
              <c:numCache>
                <c:formatCode>0.000</c:formatCode>
                <c:ptCount val="13"/>
                <c:pt idx="0">
                  <c:v>0.16172256990177492</c:v>
                </c:pt>
                <c:pt idx="1">
                  <c:v>0.76937538196680821</c:v>
                </c:pt>
                <c:pt idx="2">
                  <c:v>0.87054040836069824</c:v>
                </c:pt>
                <c:pt idx="3">
                  <c:v>0.90614164565682043</c:v>
                </c:pt>
                <c:pt idx="4">
                  <c:v>0.92473085668145227</c:v>
                </c:pt>
                <c:pt idx="5">
                  <c:v>0.93262593599351273</c:v>
                </c:pt>
                <c:pt idx="6">
                  <c:v>0.93651927536397139</c:v>
                </c:pt>
                <c:pt idx="7">
                  <c:v>0.93908475205276021</c:v>
                </c:pt>
                <c:pt idx="8">
                  <c:v>0.93848729554507326</c:v>
                </c:pt>
                <c:pt idx="9">
                  <c:v>0.93823202419784035</c:v>
                </c:pt>
                <c:pt idx="10">
                  <c:v>0.92579466058137827</c:v>
                </c:pt>
                <c:pt idx="11">
                  <c:v>0.88961754158724526</c:v>
                </c:pt>
                <c:pt idx="12">
                  <c:v>0.74891401957441261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94-4122-A0C4-D8312C81B01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Details'!$AT$119:$AT$131</c:f>
              <c:numCache>
                <c:formatCode>0.000</c:formatCode>
                <c:ptCount val="13"/>
                <c:pt idx="0">
                  <c:v>2.2880581467946647E-2</c:v>
                </c:pt>
                <c:pt idx="1">
                  <c:v>0.21652114450602214</c:v>
                </c:pt>
                <c:pt idx="2">
                  <c:v>0.35531666052979116</c:v>
                </c:pt>
                <c:pt idx="3">
                  <c:v>0.4650683407066597</c:v>
                </c:pt>
                <c:pt idx="4">
                  <c:v>0.55346949905344911</c:v>
                </c:pt>
                <c:pt idx="5">
                  <c:v>0.61120865112513401</c:v>
                </c:pt>
                <c:pt idx="6">
                  <c:v>0.64475951340491067</c:v>
                </c:pt>
                <c:pt idx="7">
                  <c:v>0.66166127893236937</c:v>
                </c:pt>
                <c:pt idx="8">
                  <c:v>0.67075626902546903</c:v>
                </c:pt>
                <c:pt idx="9">
                  <c:v>0.67188420123910708</c:v>
                </c:pt>
                <c:pt idx="10">
                  <c:v>0.58694864277138392</c:v>
                </c:pt>
                <c:pt idx="11">
                  <c:v>0.4312160111498175</c:v>
                </c:pt>
                <c:pt idx="12">
                  <c:v>0.20256241484745913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94-4122-A0C4-D8312C81B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57760"/>
        <c:axId val="198360064"/>
      </c:scatterChart>
      <c:valAx>
        <c:axId val="19835776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6"/>
              <c:y val="0.898377550088724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360064"/>
        <c:crosses val="autoZero"/>
        <c:crossBetween val="midCat"/>
        <c:majorUnit val="2"/>
      </c:valAx>
      <c:valAx>
        <c:axId val="1983600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577249973203980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35776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1626221204193656"/>
          <c:w val="0.20600000000000004"/>
          <c:h val="0.300814202292153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234, East Field</a:t>
            </a:r>
          </a:p>
        </c:rich>
      </c:tx>
      <c:layout>
        <c:manualLayout>
          <c:xMode val="edge"/>
          <c:yMode val="edge"/>
          <c:x val="0.37800000000000061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"/>
          <c:y val="9.8181818181818245E-2"/>
          <c:w val="0.838000000000000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Details'!$AQ$134:$AQ$144</c:f>
              <c:numCache>
                <c:formatCode>0.000</c:formatCode>
                <c:ptCount val="11"/>
                <c:pt idx="0">
                  <c:v>0.23927374301675977</c:v>
                </c:pt>
                <c:pt idx="1">
                  <c:v>0.39717877094972065</c:v>
                </c:pt>
                <c:pt idx="2">
                  <c:v>0.5045251396648045</c:v>
                </c:pt>
                <c:pt idx="3">
                  <c:v>0.5951675977653631</c:v>
                </c:pt>
                <c:pt idx="4">
                  <c:v>0.64656424581005589</c:v>
                </c:pt>
                <c:pt idx="5">
                  <c:v>0.68854748603351956</c:v>
                </c:pt>
                <c:pt idx="6">
                  <c:v>0.70723463687150834</c:v>
                </c:pt>
                <c:pt idx="7">
                  <c:v>0.72346368715083798</c:v>
                </c:pt>
                <c:pt idx="8">
                  <c:v>0.70684357541899445</c:v>
                </c:pt>
                <c:pt idx="9">
                  <c:v>0.60013966480446923</c:v>
                </c:pt>
                <c:pt idx="10">
                  <c:v>0.37745810055865919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1C-45DA-AAC8-5E731A72116A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Details'!$AS$134:$AS$144</c:f>
              <c:numCache>
                <c:formatCode>0.000</c:formatCode>
                <c:ptCount val="11"/>
                <c:pt idx="0">
                  <c:v>0.70806272253557667</c:v>
                </c:pt>
                <c:pt idx="1">
                  <c:v>0.86739826516072416</c:v>
                </c:pt>
                <c:pt idx="2">
                  <c:v>0.90633299534941603</c:v>
                </c:pt>
                <c:pt idx="3">
                  <c:v>0.92681999012914684</c:v>
                </c:pt>
                <c:pt idx="4">
                  <c:v>0.93242984173086718</c:v>
                </c:pt>
                <c:pt idx="5">
                  <c:v>0.93823634566956482</c:v>
                </c:pt>
                <c:pt idx="6">
                  <c:v>0.93763546481687765</c:v>
                </c:pt>
                <c:pt idx="7">
                  <c:v>0.93791942823900332</c:v>
                </c:pt>
                <c:pt idx="8">
                  <c:v>0.93290810332871343</c:v>
                </c:pt>
                <c:pt idx="9">
                  <c:v>0.91146189112875153</c:v>
                </c:pt>
                <c:pt idx="10">
                  <c:v>0.83601809315193421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1C-45DA-AAC8-5E731A72116A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Details'!$AT$134:$AT$144</c:f>
              <c:numCache>
                <c:formatCode>0.000</c:formatCode>
                <c:ptCount val="11"/>
                <c:pt idx="0">
                  <c:v>0.16942081791172486</c:v>
                </c:pt>
                <c:pt idx="1">
                  <c:v>0.34451217688045632</c:v>
                </c:pt>
                <c:pt idx="2">
                  <c:v>0.45726778106148475</c:v>
                </c:pt>
                <c:pt idx="3">
                  <c:v>0.55161322708608185</c:v>
                </c:pt>
                <c:pt idx="4">
                  <c:v>0.60287579738950792</c:v>
                </c:pt>
                <c:pt idx="5">
                  <c:v>0.64602027711605514</c:v>
                </c:pt>
                <c:pt idx="6">
                  <c:v>0.66312827747761238</c:v>
                </c:pt>
                <c:pt idx="7">
                  <c:v>0.67855064780419516</c:v>
                </c:pt>
                <c:pt idx="8">
                  <c:v>0.65942009929422052</c:v>
                </c:pt>
                <c:pt idx="9">
                  <c:v>0.54700443382405661</c:v>
                </c:pt>
                <c:pt idx="10">
                  <c:v>0.31556180147380131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1C-45DA-AAC8-5E731A721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02432"/>
        <c:axId val="198404736"/>
      </c:scatterChart>
      <c:valAx>
        <c:axId val="1984024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0000000000000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04736"/>
        <c:crosses val="autoZero"/>
        <c:crossBetween val="midCat"/>
        <c:majorUnit val="2"/>
      </c:valAx>
      <c:valAx>
        <c:axId val="19840473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024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00000000000001"/>
          <c:y val="0.53090909090909211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264, East Field</a:t>
            </a:r>
          </a:p>
        </c:rich>
      </c:tx>
      <c:layout>
        <c:manualLayout>
          <c:xMode val="edge"/>
          <c:yMode val="edge"/>
          <c:x val="0.37800000000000061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"/>
          <c:y val="9.8181818181818245E-2"/>
          <c:w val="0.838000000000000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Details'!$AQ$148:$AQ$158</c:f>
              <c:numCache>
                <c:formatCode>0.000</c:formatCode>
                <c:ptCount val="11"/>
                <c:pt idx="0">
                  <c:v>0.20625698324022346</c:v>
                </c:pt>
                <c:pt idx="1">
                  <c:v>0.37726256983240225</c:v>
                </c:pt>
                <c:pt idx="2">
                  <c:v>0.49449720670391062</c:v>
                </c:pt>
                <c:pt idx="3">
                  <c:v>0.58555865921787709</c:v>
                </c:pt>
                <c:pt idx="4">
                  <c:v>0.64620111731843577</c:v>
                </c:pt>
                <c:pt idx="5">
                  <c:v>0.68782122905027931</c:v>
                </c:pt>
                <c:pt idx="6">
                  <c:v>0.70854748603351958</c:v>
                </c:pt>
                <c:pt idx="7">
                  <c:v>0.70416201117318433</c:v>
                </c:pt>
                <c:pt idx="8">
                  <c:v>0.66642458100558655</c:v>
                </c:pt>
                <c:pt idx="9">
                  <c:v>0.56851955307262569</c:v>
                </c:pt>
                <c:pt idx="10">
                  <c:v>0.33223463687150839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4-4DEE-BDBF-15C0C77051D8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Details'!$AS$148:$AS$158</c:f>
              <c:numCache>
                <c:formatCode>0.000</c:formatCode>
                <c:ptCount val="11"/>
                <c:pt idx="0">
                  <c:v>0.64082815969098084</c:v>
                </c:pt>
                <c:pt idx="1">
                  <c:v>0.86124066769957075</c:v>
                </c:pt>
                <c:pt idx="2">
                  <c:v>0.9075905603783897</c:v>
                </c:pt>
                <c:pt idx="3">
                  <c:v>0.92837121446247917</c:v>
                </c:pt>
                <c:pt idx="4">
                  <c:v>0.934895779495025</c:v>
                </c:pt>
                <c:pt idx="5">
                  <c:v>0.93937902063474621</c:v>
                </c:pt>
                <c:pt idx="6">
                  <c:v>0.93860102841753645</c:v>
                </c:pt>
                <c:pt idx="7">
                  <c:v>0.93509740325670521</c:v>
                </c:pt>
                <c:pt idx="8">
                  <c:v>0.92674718849184357</c:v>
                </c:pt>
                <c:pt idx="9">
                  <c:v>0.89432355977774791</c:v>
                </c:pt>
                <c:pt idx="10">
                  <c:v>0.79007027644131667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4-4DEE-BDBF-15C0C77051D8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Details'!$AT$148:$AT$158</c:f>
              <c:numCache>
                <c:formatCode>0.000</c:formatCode>
                <c:ptCount val="11"/>
                <c:pt idx="0">
                  <c:v>0.13217528299324588</c:v>
                </c:pt>
                <c:pt idx="1">
                  <c:v>0.32491386754051405</c:v>
                </c:pt>
                <c:pt idx="2">
                  <c:v>0.44880099693795067</c:v>
                </c:pt>
                <c:pt idx="3">
                  <c:v>0.54361580359712147</c:v>
                </c:pt>
                <c:pt idx="4">
                  <c:v>0.60413069728597513</c:v>
                </c:pt>
                <c:pt idx="5">
                  <c:v>0.64612483251703878</c:v>
                </c:pt>
                <c:pt idx="6">
                  <c:v>0.66504339907372156</c:v>
                </c:pt>
                <c:pt idx="7">
                  <c:v>0.65846006812006375</c:v>
                </c:pt>
                <c:pt idx="8">
                  <c:v>0.61760710678878217</c:v>
                </c:pt>
                <c:pt idx="9">
                  <c:v>0.50844043050716492</c:v>
                </c:pt>
                <c:pt idx="10">
                  <c:v>0.26248871139645308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E4-4DEE-BDBF-15C0C7705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41312"/>
        <c:axId val="198543616"/>
      </c:scatterChart>
      <c:valAx>
        <c:axId val="19854131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0000000000000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543616"/>
        <c:crosses val="autoZero"/>
        <c:crossBetween val="midCat"/>
        <c:majorUnit val="2"/>
      </c:valAx>
      <c:valAx>
        <c:axId val="19854361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54131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00000000000001"/>
          <c:y val="0.53090909090909211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264, East Field</a:t>
            </a:r>
          </a:p>
        </c:rich>
      </c:tx>
      <c:layout>
        <c:manualLayout>
          <c:xMode val="edge"/>
          <c:yMode val="edge"/>
          <c:x val="0.37800000000000061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"/>
          <c:y val="9.8181818181818245E-2"/>
          <c:w val="0.838000000000000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Details'!$AQ$162:$AQ$170</c:f>
              <c:numCache>
                <c:formatCode>0.000</c:formatCode>
                <c:ptCount val="9"/>
                <c:pt idx="0">
                  <c:v>0.34374301675977653</c:v>
                </c:pt>
                <c:pt idx="1">
                  <c:v>0.45751396648044695</c:v>
                </c:pt>
                <c:pt idx="2">
                  <c:v>0.56030726256983243</c:v>
                </c:pt>
                <c:pt idx="3">
                  <c:v>0.62793296089385475</c:v>
                </c:pt>
                <c:pt idx="4">
                  <c:v>0.68589385474860332</c:v>
                </c:pt>
                <c:pt idx="5">
                  <c:v>0.70276536312849158</c:v>
                </c:pt>
                <c:pt idx="6">
                  <c:v>0.66692737430167592</c:v>
                </c:pt>
                <c:pt idx="7">
                  <c:v>0.60695530726256985</c:v>
                </c:pt>
                <c:pt idx="8">
                  <c:v>0.48178770949720673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0B-41DD-8231-78E802E55CAB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Details'!$AS$162:$AS$170</c:f>
              <c:numCache>
                <c:formatCode>0.000</c:formatCode>
                <c:ptCount val="9"/>
                <c:pt idx="0">
                  <c:v>0.82338563871153481</c:v>
                </c:pt>
                <c:pt idx="1">
                  <c:v>0.89050037076808497</c:v>
                </c:pt>
                <c:pt idx="2">
                  <c:v>0.91755838655244759</c:v>
                </c:pt>
                <c:pt idx="3">
                  <c:v>0.93041106927582928</c:v>
                </c:pt>
                <c:pt idx="4">
                  <c:v>0.93381442934434777</c:v>
                </c:pt>
                <c:pt idx="5">
                  <c:v>0.93337745726334687</c:v>
                </c:pt>
                <c:pt idx="6">
                  <c:v>0.93015056802009077</c:v>
                </c:pt>
                <c:pt idx="7">
                  <c:v>0.9169199519832536</c:v>
                </c:pt>
                <c:pt idx="8">
                  <c:v>0.87732960145594241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0B-41DD-8231-78E802E55CAB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Details'!$AT$162:$AT$170</c:f>
              <c:numCache>
                <c:formatCode>0.000</c:formatCode>
                <c:ptCount val="9"/>
                <c:pt idx="0">
                  <c:v>0.28303306340737844</c:v>
                </c:pt>
                <c:pt idx="1">
                  <c:v>0.40741635678241522</c:v>
                </c:pt>
                <c:pt idx="2">
                  <c:v>0.51411462781719408</c:v>
                </c:pt>
                <c:pt idx="3">
                  <c:v>0.58423577757878886</c:v>
                </c:pt>
                <c:pt idx="4">
                  <c:v>0.64049757856286194</c:v>
                </c:pt>
                <c:pt idx="5">
                  <c:v>0.65594534768962409</c:v>
                </c:pt>
                <c:pt idx="6">
                  <c:v>0.6203428760348515</c:v>
                </c:pt>
                <c:pt idx="7">
                  <c:v>0.55652943119117648</c:v>
                </c:pt>
                <c:pt idx="8">
                  <c:v>0.42268661915955574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0B-41DD-8231-78E802E55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01728"/>
        <c:axId val="198616576"/>
      </c:scatterChart>
      <c:valAx>
        <c:axId val="1986017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0000000000000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16576"/>
        <c:crosses val="autoZero"/>
        <c:crossBetween val="midCat"/>
        <c:majorUnit val="2"/>
      </c:valAx>
      <c:valAx>
        <c:axId val="1986165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5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017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00000000000001"/>
          <c:y val="0.53090909090909211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326, East Field</a:t>
            </a:r>
          </a:p>
        </c:rich>
      </c:tx>
      <c:layout>
        <c:manualLayout>
          <c:xMode val="edge"/>
          <c:yMode val="edge"/>
          <c:x val="0.37800000000000061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9.8181818181818245E-2"/>
          <c:w val="0.83600000000000063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Details'!$AQ$175:$AQ$183</c:f>
              <c:numCache>
                <c:formatCode>0.000</c:formatCode>
                <c:ptCount val="9"/>
                <c:pt idx="0">
                  <c:v>0.26918994413407821</c:v>
                </c:pt>
                <c:pt idx="1">
                  <c:v>0.3727932960893855</c:v>
                </c:pt>
                <c:pt idx="2">
                  <c:v>0.49650837988826818</c:v>
                </c:pt>
                <c:pt idx="3">
                  <c:v>0.59790502793296085</c:v>
                </c:pt>
                <c:pt idx="4">
                  <c:v>0.66642458100558655</c:v>
                </c:pt>
                <c:pt idx="5">
                  <c:v>0.65673184357541903</c:v>
                </c:pt>
                <c:pt idx="6">
                  <c:v>0.59145251396648046</c:v>
                </c:pt>
                <c:pt idx="7">
                  <c:v>0.54240223463687154</c:v>
                </c:pt>
                <c:pt idx="8">
                  <c:v>0.35941340782122905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F5-4576-A17A-A020533FC08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Details'!$AS$175:$AS$183</c:f>
              <c:numCache>
                <c:formatCode>0.000</c:formatCode>
                <c:ptCount val="9"/>
                <c:pt idx="0">
                  <c:v>0.80553247462388733</c:v>
                </c:pt>
                <c:pt idx="1">
                  <c:v>0.87742212575892653</c:v>
                </c:pt>
                <c:pt idx="2">
                  <c:v>0.91552437517732488</c:v>
                </c:pt>
                <c:pt idx="3">
                  <c:v>0.92963695224657361</c:v>
                </c:pt>
                <c:pt idx="4">
                  <c:v>0.93743268522550049</c:v>
                </c:pt>
                <c:pt idx="5">
                  <c:v>0.93375669630552638</c:v>
                </c:pt>
                <c:pt idx="6">
                  <c:v>0.92272931135818848</c:v>
                </c:pt>
                <c:pt idx="7">
                  <c:v>0.90999765284985079</c:v>
                </c:pt>
                <c:pt idx="8">
                  <c:v>0.8328411760438722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F5-4576-A17A-A020533FC08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Details'!$AT$175:$AT$183</c:f>
              <c:numCache>
                <c:formatCode>0.000</c:formatCode>
                <c:ptCount val="9"/>
                <c:pt idx="0">
                  <c:v>0.21684124184219</c:v>
                </c:pt>
                <c:pt idx="1">
                  <c:v>0.32709708632342555</c:v>
                </c:pt>
                <c:pt idx="2">
                  <c:v>0.45456552426751257</c:v>
                </c:pt>
                <c:pt idx="3">
                  <c:v>0.55583460790050021</c:v>
                </c:pt>
                <c:pt idx="4">
                  <c:v>0.62472818447234602</c:v>
                </c:pt>
                <c:pt idx="5">
                  <c:v>0.61322775661562101</c:v>
                </c:pt>
                <c:pt idx="6">
                  <c:v>0.54575057091335988</c:v>
                </c:pt>
                <c:pt idx="7">
                  <c:v>0.49358476042006716</c:v>
                </c:pt>
                <c:pt idx="8">
                  <c:v>0.29933428525576827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F5-4576-A17A-A020533FC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25920"/>
        <c:axId val="198464640"/>
      </c:scatterChart>
      <c:valAx>
        <c:axId val="19862592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64640"/>
        <c:crosses val="autoZero"/>
        <c:crossBetween val="midCat"/>
        <c:majorUnit val="2"/>
      </c:valAx>
      <c:valAx>
        <c:axId val="1984646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2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2592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400000000000001"/>
          <c:y val="0.53090909090909211"/>
          <c:w val="0.20600000000000004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356, East Field</a:t>
            </a:r>
          </a:p>
        </c:rich>
      </c:tx>
      <c:layout>
        <c:manualLayout>
          <c:xMode val="edge"/>
          <c:yMode val="edge"/>
          <c:x val="0.37875788565205287"/>
          <c:y val="1.81818181818182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23257866570919"/>
          <c:y val="9.8181818181818245E-2"/>
          <c:w val="0.8356721604069075"/>
          <c:h val="0.7381818181818198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Details'!$AQ$188:$AQ$196</c:f>
              <c:numCache>
                <c:formatCode>0.000</c:formatCode>
                <c:ptCount val="9"/>
                <c:pt idx="0">
                  <c:v>0.2380167597765363</c:v>
                </c:pt>
                <c:pt idx="1">
                  <c:v>0.33541899441340783</c:v>
                </c:pt>
                <c:pt idx="2">
                  <c:v>0.47279329608938547</c:v>
                </c:pt>
                <c:pt idx="3">
                  <c:v>0.5767877094972067</c:v>
                </c:pt>
                <c:pt idx="4">
                  <c:v>0.64589385474860339</c:v>
                </c:pt>
                <c:pt idx="5">
                  <c:v>0.61812849162011174</c:v>
                </c:pt>
                <c:pt idx="6">
                  <c:v>0.55175977653631281</c:v>
                </c:pt>
                <c:pt idx="7">
                  <c:v>0.49812849162011175</c:v>
                </c:pt>
                <c:pt idx="8">
                  <c:v>0.30773743016759775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FA-4AEE-90F1-DC280971F4B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Details'!$AS$188:$AS$196</c:f>
              <c:numCache>
                <c:formatCode>0.000</c:formatCode>
                <c:ptCount val="9"/>
                <c:pt idx="0">
                  <c:v>0.57418050739107818</c:v>
                </c:pt>
                <c:pt idx="1">
                  <c:v>0.80919750941887758</c:v>
                </c:pt>
                <c:pt idx="2">
                  <c:v>0.88529402416918201</c:v>
                </c:pt>
                <c:pt idx="3">
                  <c:v>0.91142612966532566</c:v>
                </c:pt>
                <c:pt idx="4">
                  <c:v>0.92003560809969165</c:v>
                </c:pt>
                <c:pt idx="5">
                  <c:v>0.91631716848483269</c:v>
                </c:pt>
                <c:pt idx="6">
                  <c:v>0.9033555704111409</c:v>
                </c:pt>
                <c:pt idx="7">
                  <c:v>0.87543185297794102</c:v>
                </c:pt>
                <c:pt idx="8">
                  <c:v>0.72008422495515712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FA-4AEE-90F1-DC280971F4B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Details'!$AT$188:$AT$196</c:f>
              <c:numCache>
                <c:formatCode>0.000</c:formatCode>
                <c:ptCount val="9"/>
                <c:pt idx="0">
                  <c:v>0</c:v>
                </c:pt>
                <c:pt idx="1">
                  <c:v>0.27142021489111401</c:v>
                </c:pt>
                <c:pt idx="2">
                  <c:v>0.41856107969518364</c:v>
                </c:pt>
                <c:pt idx="3">
                  <c:v>0.52569938970556729</c:v>
                </c:pt>
                <c:pt idx="4">
                  <c:v>0.59424534542148522</c:v>
                </c:pt>
                <c:pt idx="5">
                  <c:v>0.56640174920114139</c:v>
                </c:pt>
                <c:pt idx="6">
                  <c:v>0.49843526766288448</c:v>
                </c:pt>
                <c:pt idx="7">
                  <c:v>0.43607754844010121</c:v>
                </c:pt>
                <c:pt idx="8">
                  <c:v>0.2215968688919264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FA-4AEE-90F1-DC280971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4464"/>
        <c:axId val="198497024"/>
      </c:scatterChart>
      <c:valAx>
        <c:axId val="19849446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251"/>
              <c:y val="0.90181818181818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97024"/>
        <c:crosses val="autoZero"/>
        <c:crossBetween val="midCat"/>
        <c:majorUnit val="2"/>
      </c:valAx>
      <c:valAx>
        <c:axId val="19849702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1.2024059861969905E-2"/>
              <c:y val="0.349090909090909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9446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90625480086638"/>
          <c:y val="0.53090909090909211"/>
          <c:w val="0.20641302763048341"/>
          <c:h val="0.269090909090909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 West Field</a:t>
            </a:r>
          </a:p>
        </c:rich>
      </c:tx>
      <c:layout>
        <c:manualLayout>
          <c:xMode val="edge"/>
          <c:yMode val="edge"/>
          <c:x val="0.39842285815546968"/>
          <c:y val="1.90840050319154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31"/>
          <c:y val="9.5420025159577246E-2"/>
          <c:w val="0.83826591443600995"/>
          <c:h val="0.7328257932255530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Details'!$BR$47:$BR$55</c:f>
              <c:numCache>
                <c:formatCode>0.000</c:formatCode>
                <c:ptCount val="9"/>
                <c:pt idx="0">
                  <c:v>0.48178770949720673</c:v>
                </c:pt>
                <c:pt idx="1">
                  <c:v>0.60695530726256985</c:v>
                </c:pt>
                <c:pt idx="2">
                  <c:v>0.66692737430167592</c:v>
                </c:pt>
                <c:pt idx="3">
                  <c:v>0.70276536312849158</c:v>
                </c:pt>
                <c:pt idx="4">
                  <c:v>0.68589385474860332</c:v>
                </c:pt>
                <c:pt idx="5">
                  <c:v>0.62793296089385475</c:v>
                </c:pt>
                <c:pt idx="6">
                  <c:v>0.56030726256983243</c:v>
                </c:pt>
                <c:pt idx="7">
                  <c:v>0.45751396648044695</c:v>
                </c:pt>
                <c:pt idx="8">
                  <c:v>0.34374301675977653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B-407E-B14D-0B67B1FD892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Details'!$BT$47:$BT$55</c:f>
              <c:numCache>
                <c:formatCode>0.000</c:formatCode>
                <c:ptCount val="9"/>
                <c:pt idx="0">
                  <c:v>0.8111124103007219</c:v>
                </c:pt>
                <c:pt idx="1">
                  <c:v>0.89350407466466919</c:v>
                </c:pt>
                <c:pt idx="2">
                  <c:v>0.91593997773711322</c:v>
                </c:pt>
                <c:pt idx="3">
                  <c:v>0.92452634932237521</c:v>
                </c:pt>
                <c:pt idx="4">
                  <c:v>0.9248348619768656</c:v>
                </c:pt>
                <c:pt idx="5">
                  <c:v>0.91594300599033696</c:v>
                </c:pt>
                <c:pt idx="6">
                  <c:v>0.90708473636454057</c:v>
                </c:pt>
                <c:pt idx="7">
                  <c:v>0.8806633056964599</c:v>
                </c:pt>
                <c:pt idx="8">
                  <c:v>0.82351520096479469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EB-407E-B14D-0B67B1FD892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Details'!$BU$47:$BU$55</c:f>
              <c:numCache>
                <c:formatCode>0.000</c:formatCode>
                <c:ptCount val="9"/>
                <c:pt idx="0">
                  <c:v>0.39078399030354333</c:v>
                </c:pt>
                <c:pt idx="1">
                  <c:v>0.54231704017845239</c:v>
                </c:pt>
                <c:pt idx="2">
                  <c:v>0.61086544437014845</c:v>
                </c:pt>
                <c:pt idx="3">
                  <c:v>0.64972509560339764</c:v>
                </c:pt>
                <c:pt idx="4">
                  <c:v>0.63433854848720483</c:v>
                </c:pt>
                <c:pt idx="5">
                  <c:v>0.57515080376153005</c:v>
                </c:pt>
                <c:pt idx="6">
                  <c:v>0.50824616555129387</c:v>
                </c:pt>
                <c:pt idx="7">
                  <c:v>0.40291576212296976</c:v>
                </c:pt>
                <c:pt idx="8">
                  <c:v>0.28307759952717215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EB-407E-B14D-0B67B1FD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94784"/>
        <c:axId val="198697344"/>
      </c:scatterChart>
      <c:valAx>
        <c:axId val="19869478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5016"/>
              <c:y val="0.90076503750640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97344"/>
        <c:crosses val="autoZero"/>
        <c:crossBetween val="midCat"/>
        <c:majorUnit val="2"/>
      </c:valAx>
      <c:valAx>
        <c:axId val="19869734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380673270835784E-2"/>
              <c:y val="0.351145692587243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69478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562217937580918"/>
          <c:y val="0.50381773284256626"/>
          <c:w val="0.2031562098515507"/>
          <c:h val="0.282443274472347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 West Field</a:t>
            </a:r>
          </a:p>
        </c:rich>
      </c:tx>
      <c:layout>
        <c:manualLayout>
          <c:xMode val="edge"/>
          <c:yMode val="edge"/>
          <c:x val="0.3984228581554696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Details'!$BR$61:$BR$71</c:f>
              <c:numCache>
                <c:formatCode>0.000</c:formatCode>
                <c:ptCount val="11"/>
                <c:pt idx="0">
                  <c:v>0.33223463687150839</c:v>
                </c:pt>
                <c:pt idx="1">
                  <c:v>0.56851955307262569</c:v>
                </c:pt>
                <c:pt idx="2">
                  <c:v>0.66642458100558655</c:v>
                </c:pt>
                <c:pt idx="3">
                  <c:v>0.70416201117318433</c:v>
                </c:pt>
                <c:pt idx="4">
                  <c:v>0.70854748603351958</c:v>
                </c:pt>
                <c:pt idx="5">
                  <c:v>0.68782122905027931</c:v>
                </c:pt>
                <c:pt idx="6">
                  <c:v>0.64620111731843577</c:v>
                </c:pt>
                <c:pt idx="7">
                  <c:v>0.58555865921787709</c:v>
                </c:pt>
                <c:pt idx="8">
                  <c:v>0.49449720670391062</c:v>
                </c:pt>
                <c:pt idx="9">
                  <c:v>0.37726256983240225</c:v>
                </c:pt>
                <c:pt idx="10">
                  <c:v>0.20625698324022346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BE-4325-B909-F6C87704ECB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Details'!$BT$61:$BT$71</c:f>
              <c:numCache>
                <c:formatCode>0.000</c:formatCode>
                <c:ptCount val="11"/>
                <c:pt idx="0">
                  <c:v>0.61065590569158967</c:v>
                </c:pt>
                <c:pt idx="1">
                  <c:v>0.88871301695214555</c:v>
                </c:pt>
                <c:pt idx="2">
                  <c:v>0.92352916170264965</c:v>
                </c:pt>
                <c:pt idx="3">
                  <c:v>0.93207484611857483</c:v>
                </c:pt>
                <c:pt idx="4">
                  <c:v>0.93624567950147164</c:v>
                </c:pt>
                <c:pt idx="5">
                  <c:v>0.93328484810596413</c:v>
                </c:pt>
                <c:pt idx="6">
                  <c:v>0.9290772467867503</c:v>
                </c:pt>
                <c:pt idx="7">
                  <c:v>0.91909934201514787</c:v>
                </c:pt>
                <c:pt idx="8">
                  <c:v>0.89835429193177929</c:v>
                </c:pt>
                <c:pt idx="9">
                  <c:v>0.85030485468881334</c:v>
                </c:pt>
                <c:pt idx="10">
                  <c:v>0.6652253370151433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BE-4325-B909-F6C87704ECB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Details'!$BU$61:$BU$71</c:f>
              <c:numCache>
                <c:formatCode>0.000</c:formatCode>
                <c:ptCount val="11"/>
                <c:pt idx="0">
                  <c:v>0.20288104308088736</c:v>
                </c:pt>
                <c:pt idx="1">
                  <c:v>0.50525072720745856</c:v>
                </c:pt>
                <c:pt idx="2">
                  <c:v>0.61546253463412892</c:v>
                </c:pt>
                <c:pt idx="3">
                  <c:v>0.65633169820679194</c:v>
                </c:pt>
                <c:pt idx="4">
                  <c:v>0.66337452252051199</c:v>
                </c:pt>
                <c:pt idx="5">
                  <c:v>0.64193313127824747</c:v>
                </c:pt>
                <c:pt idx="6">
                  <c:v>0.60037075494873415</c:v>
                </c:pt>
                <c:pt idx="7">
                  <c:v>0.53818657839842299</c:v>
                </c:pt>
                <c:pt idx="8">
                  <c:v>0.44423368799073432</c:v>
                </c:pt>
                <c:pt idx="9">
                  <c:v>0.3207881946208691</c:v>
                </c:pt>
                <c:pt idx="10">
                  <c:v>0.1372073711877044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BE-4325-B909-F6C87704E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39456"/>
        <c:axId val="198746112"/>
      </c:scatterChart>
      <c:valAx>
        <c:axId val="19873945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746112"/>
        <c:crosses val="autoZero"/>
        <c:crossBetween val="midCat"/>
        <c:majorUnit val="2"/>
      </c:valAx>
      <c:valAx>
        <c:axId val="1987461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73945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248120300751952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 West Field</a:t>
            </a:r>
          </a:p>
        </c:rich>
      </c:tx>
      <c:layout>
        <c:manualLayout>
          <c:xMode val="edge"/>
          <c:yMode val="edge"/>
          <c:x val="0.39250568699474508"/>
          <c:y val="1.88679592938519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4339796469259524E-2"/>
          <c:w val="0.82840396250146853"/>
          <c:h val="0.7245296368839139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Details'!$BR$76:$BR$86</c:f>
              <c:numCache>
                <c:formatCode>0.000</c:formatCode>
                <c:ptCount val="11"/>
                <c:pt idx="0">
                  <c:v>0.37745810055865919</c:v>
                </c:pt>
                <c:pt idx="1">
                  <c:v>0.60013966480446923</c:v>
                </c:pt>
                <c:pt idx="2">
                  <c:v>0.70684357541899445</c:v>
                </c:pt>
                <c:pt idx="3">
                  <c:v>0.72346368715083798</c:v>
                </c:pt>
                <c:pt idx="4">
                  <c:v>0.70723463687150834</c:v>
                </c:pt>
                <c:pt idx="5">
                  <c:v>0.68854748603351956</c:v>
                </c:pt>
                <c:pt idx="6">
                  <c:v>0.64656424581005589</c:v>
                </c:pt>
                <c:pt idx="7">
                  <c:v>0.5951675977653631</c:v>
                </c:pt>
                <c:pt idx="8">
                  <c:v>0.5045251396648045</c:v>
                </c:pt>
                <c:pt idx="9">
                  <c:v>0.39717877094972065</c:v>
                </c:pt>
                <c:pt idx="10">
                  <c:v>0.23927374301675977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C7-49C2-9024-7E8DAC68C66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Details'!$BT$76:$BT$86</c:f>
              <c:numCache>
                <c:formatCode>0.000</c:formatCode>
                <c:ptCount val="11"/>
                <c:pt idx="0">
                  <c:v>0.81720426537592727</c:v>
                </c:pt>
                <c:pt idx="1">
                  <c:v>0.91378978219275475</c:v>
                </c:pt>
                <c:pt idx="2">
                  <c:v>0.93749466689411853</c:v>
                </c:pt>
                <c:pt idx="3">
                  <c:v>0.94245277142314143</c:v>
                </c:pt>
                <c:pt idx="4">
                  <c:v>0.94278552218208034</c:v>
                </c:pt>
                <c:pt idx="5">
                  <c:v>0.94249568425014907</c:v>
                </c:pt>
                <c:pt idx="6">
                  <c:v>0.93556523913517453</c:v>
                </c:pt>
                <c:pt idx="7">
                  <c:v>0.92896262533187102</c:v>
                </c:pt>
                <c:pt idx="8">
                  <c:v>0.91418275238062119</c:v>
                </c:pt>
                <c:pt idx="9">
                  <c:v>0.87703320275160546</c:v>
                </c:pt>
                <c:pt idx="10">
                  <c:v>0.77453746701113357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C7-49C2-9024-7E8DAC68C66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Details'!$BU$76:$BU$86</c:f>
              <c:numCache>
                <c:formatCode>0.000</c:formatCode>
                <c:ptCount val="11"/>
                <c:pt idx="0">
                  <c:v>0.30846036977723196</c:v>
                </c:pt>
                <c:pt idx="1">
                  <c:v>0.54840149358690882</c:v>
                </c:pt>
                <c:pt idx="2">
                  <c:v>0.66266208228367796</c:v>
                </c:pt>
                <c:pt idx="3">
                  <c:v>0.68183035697931182</c:v>
                </c:pt>
                <c:pt idx="4">
                  <c:v>0.66677057642815896</c:v>
                </c:pt>
                <c:pt idx="5">
                  <c:v>0.64895303398788196</c:v>
                </c:pt>
                <c:pt idx="6">
                  <c:v>0.60490303324753869</c:v>
                </c:pt>
                <c:pt idx="7">
                  <c:v>0.5528884541325747</c:v>
                </c:pt>
                <c:pt idx="8">
                  <c:v>0.46122818082398831</c:v>
                </c:pt>
                <c:pt idx="9">
                  <c:v>0.34833896955097982</c:v>
                </c:pt>
                <c:pt idx="10">
                  <c:v>0.18532647883847403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C7-49C2-9024-7E8DAC68C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96416"/>
        <c:axId val="198798720"/>
      </c:scatterChart>
      <c:valAx>
        <c:axId val="19879641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1888454246120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798720"/>
        <c:crosses val="autoZero"/>
        <c:crossBetween val="midCat"/>
        <c:majorUnit val="2"/>
      </c:valAx>
      <c:valAx>
        <c:axId val="1987987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71704510068748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79641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811412535769112"/>
          <c:w val="0.2031562098515507"/>
          <c:h val="0.279245797549007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142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Details'!$BR$89:$BR$101</c:f>
              <c:numCache>
                <c:formatCode>0.000</c:formatCode>
                <c:ptCount val="13"/>
                <c:pt idx="0">
                  <c:v>0.27047486033519552</c:v>
                </c:pt>
                <c:pt idx="1">
                  <c:v>0.48472067039106143</c:v>
                </c:pt>
                <c:pt idx="2">
                  <c:v>0.63399441340782126</c:v>
                </c:pt>
                <c:pt idx="3">
                  <c:v>0.71611731843575421</c:v>
                </c:pt>
                <c:pt idx="4">
                  <c:v>0.71472067039106146</c:v>
                </c:pt>
                <c:pt idx="5">
                  <c:v>0.7045810055865922</c:v>
                </c:pt>
                <c:pt idx="6">
                  <c:v>0.68846368715083794</c:v>
                </c:pt>
                <c:pt idx="7">
                  <c:v>0.65536312849162015</c:v>
                </c:pt>
                <c:pt idx="8">
                  <c:v>0.59851955307262572</c:v>
                </c:pt>
                <c:pt idx="9">
                  <c:v>0.51324022346368714</c:v>
                </c:pt>
                <c:pt idx="10">
                  <c:v>0.40815642458100559</c:v>
                </c:pt>
                <c:pt idx="11">
                  <c:v>0.28142458100558659</c:v>
                </c:pt>
                <c:pt idx="12">
                  <c:v>0.1414804469273743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84-4495-94B6-564A9277782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Details'!$BT$89:$BT$101</c:f>
              <c:numCache>
                <c:formatCode>0.000</c:formatCode>
                <c:ptCount val="13"/>
                <c:pt idx="0">
                  <c:v>0.56079742243416375</c:v>
                </c:pt>
                <c:pt idx="1">
                  <c:v>0.867758603318741</c:v>
                </c:pt>
                <c:pt idx="2">
                  <c:v>0.91774949303227027</c:v>
                </c:pt>
                <c:pt idx="3">
                  <c:v>0.93309462284319744</c:v>
                </c:pt>
                <c:pt idx="4">
                  <c:v>0.93594370179179442</c:v>
                </c:pt>
                <c:pt idx="5">
                  <c:v>0.93792422941826414</c:v>
                </c:pt>
                <c:pt idx="6">
                  <c:v>0.93826966753007202</c:v>
                </c:pt>
                <c:pt idx="7">
                  <c:v>0.93461273243807874</c:v>
                </c:pt>
                <c:pt idx="8">
                  <c:v>0.92653293056985309</c:v>
                </c:pt>
                <c:pt idx="9">
                  <c:v>0.90918805901752853</c:v>
                </c:pt>
                <c:pt idx="10">
                  <c:v>0.87946905799791109</c:v>
                </c:pt>
                <c:pt idx="11">
                  <c:v>0.80515697256135033</c:v>
                </c:pt>
                <c:pt idx="12">
                  <c:v>0.4548741448990723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84-4495-94B6-564A9277782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Details'!$BU$89:$BU$101</c:f>
              <c:numCache>
                <c:formatCode>0.000</c:formatCode>
                <c:ptCount val="13"/>
                <c:pt idx="0">
                  <c:v>0.15168160450921808</c:v>
                </c:pt>
                <c:pt idx="1">
                  <c:v>0.42062053193827126</c:v>
                </c:pt>
                <c:pt idx="2">
                  <c:v>0.58184805149031948</c:v>
                </c:pt>
                <c:pt idx="3">
                  <c:v>0.66820521915729203</c:v>
                </c:pt>
                <c:pt idx="4">
                  <c:v>0.66893830999292303</c:v>
                </c:pt>
                <c:pt idx="5">
                  <c:v>0.66084359672755011</c:v>
                </c:pt>
                <c:pt idx="6">
                  <c:v>0.64596459484954427</c:v>
                </c:pt>
                <c:pt idx="7">
                  <c:v>0.61251072425872077</c:v>
                </c:pt>
                <c:pt idx="8">
                  <c:v>0.55454807551173868</c:v>
                </c:pt>
                <c:pt idx="9">
                  <c:v>0.46663188258067229</c:v>
                </c:pt>
                <c:pt idx="10">
                  <c:v>0.35896094624205244</c:v>
                </c:pt>
                <c:pt idx="11">
                  <c:v>0.22659096364680459</c:v>
                </c:pt>
                <c:pt idx="12">
                  <c:v>6.435579731602796E-2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84-4495-94B6-564A92777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57472"/>
        <c:axId val="198859776"/>
      </c:scatterChart>
      <c:valAx>
        <c:axId val="19885747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859776"/>
        <c:crosses val="autoZero"/>
        <c:crossBetween val="midCat"/>
        <c:majorUnit val="2"/>
      </c:valAx>
      <c:valAx>
        <c:axId val="1988597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85747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173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Details'!$BR$104:$BR$116</c:f>
              <c:numCache>
                <c:formatCode>0.000</c:formatCode>
                <c:ptCount val="13"/>
                <c:pt idx="0">
                  <c:v>0.30469273743016762</c:v>
                </c:pt>
                <c:pt idx="1">
                  <c:v>0.51723463687150839</c:v>
                </c:pt>
                <c:pt idx="2">
                  <c:v>0.64955307262569828</c:v>
                </c:pt>
                <c:pt idx="3">
                  <c:v>0.70798882681564246</c:v>
                </c:pt>
                <c:pt idx="4">
                  <c:v>0.71960893854748609</c:v>
                </c:pt>
                <c:pt idx="5">
                  <c:v>0.70502793296089383</c:v>
                </c:pt>
                <c:pt idx="6">
                  <c:v>0.68687150837988831</c:v>
                </c:pt>
                <c:pt idx="7">
                  <c:v>0.64815642458100564</c:v>
                </c:pt>
                <c:pt idx="8">
                  <c:v>0.59</c:v>
                </c:pt>
                <c:pt idx="9">
                  <c:v>0.5190502793296089</c:v>
                </c:pt>
                <c:pt idx="10">
                  <c:v>0.41413407821229048</c:v>
                </c:pt>
                <c:pt idx="11">
                  <c:v>0.30027932960893855</c:v>
                </c:pt>
                <c:pt idx="12">
                  <c:v>0.1664245810055866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39-4F34-8C5E-FC1DA5DE304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Details'!$BT$104:$BT$116</c:f>
              <c:numCache>
                <c:formatCode>0.000</c:formatCode>
                <c:ptCount val="13"/>
                <c:pt idx="0">
                  <c:v>0.71692340038946734</c:v>
                </c:pt>
                <c:pt idx="1">
                  <c:v>0.89389271835808815</c:v>
                </c:pt>
                <c:pt idx="2">
                  <c:v>0.9276277590643327</c:v>
                </c:pt>
                <c:pt idx="3">
                  <c:v>0.9386945413992126</c:v>
                </c:pt>
                <c:pt idx="4">
                  <c:v>0.94150430334614221</c:v>
                </c:pt>
                <c:pt idx="5">
                  <c:v>0.94144131966184585</c:v>
                </c:pt>
                <c:pt idx="6">
                  <c:v>0.94028505804972751</c:v>
                </c:pt>
                <c:pt idx="7">
                  <c:v>0.93419399317921081</c:v>
                </c:pt>
                <c:pt idx="8">
                  <c:v>0.92905799448532456</c:v>
                </c:pt>
                <c:pt idx="9">
                  <c:v>0.91255293159188744</c:v>
                </c:pt>
                <c:pt idx="10">
                  <c:v>0.88613265927088336</c:v>
                </c:pt>
                <c:pt idx="11">
                  <c:v>0.82486374716033761</c:v>
                </c:pt>
                <c:pt idx="12">
                  <c:v>0.59888908145012942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39-4F34-8C5E-FC1DA5DE304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Details'!$BU$104:$BU$116</c:f>
              <c:numCache>
                <c:formatCode>0.000</c:formatCode>
                <c:ptCount val="13"/>
                <c:pt idx="0">
                  <c:v>0.21844135339241089</c:v>
                </c:pt>
                <c:pt idx="1">
                  <c:v>0.46235227558203124</c:v>
                </c:pt>
                <c:pt idx="2">
                  <c:v>0.60254346115312829</c:v>
                </c:pt>
                <c:pt idx="3">
                  <c:v>0.664585247103476</c:v>
                </c:pt>
                <c:pt idx="4">
                  <c:v>0.67751491236880779</c:v>
                </c:pt>
                <c:pt idx="5">
                  <c:v>0.66374242760516733</c:v>
                </c:pt>
                <c:pt idx="6">
                  <c:v>0.64585501612968721</c:v>
                </c:pt>
                <c:pt idx="7">
                  <c:v>0.60550383848408962</c:v>
                </c:pt>
                <c:pt idx="8">
                  <c:v>0.54814421674634151</c:v>
                </c:pt>
                <c:pt idx="9">
                  <c:v>0.47366085404582264</c:v>
                </c:pt>
                <c:pt idx="10">
                  <c:v>0.36697773202095296</c:v>
                </c:pt>
                <c:pt idx="11">
                  <c:v>0.24768953301602317</c:v>
                </c:pt>
                <c:pt idx="12">
                  <c:v>9.9669864449158416E-2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39-4F34-8C5E-FC1DA5DE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30816"/>
        <c:axId val="198933120"/>
      </c:scatterChart>
      <c:valAx>
        <c:axId val="19893081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933120"/>
        <c:crosses val="autoZero"/>
        <c:crossBetween val="midCat"/>
        <c:majorUnit val="2"/>
      </c:valAx>
      <c:valAx>
        <c:axId val="1989331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93081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203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Details'!$BR$119:$BR$131</c:f>
              <c:numCache>
                <c:formatCode>0.000</c:formatCode>
                <c:ptCount val="13"/>
                <c:pt idx="0">
                  <c:v>0.27047486033519552</c:v>
                </c:pt>
                <c:pt idx="1">
                  <c:v>0.48472067039106143</c:v>
                </c:pt>
                <c:pt idx="2">
                  <c:v>0.63399441340782126</c:v>
                </c:pt>
                <c:pt idx="3">
                  <c:v>0.71611731843575421</c:v>
                </c:pt>
                <c:pt idx="4">
                  <c:v>0.71472067039106146</c:v>
                </c:pt>
                <c:pt idx="5">
                  <c:v>0.7045810055865922</c:v>
                </c:pt>
                <c:pt idx="6">
                  <c:v>0.68846368715083794</c:v>
                </c:pt>
                <c:pt idx="7">
                  <c:v>0.65536312849162015</c:v>
                </c:pt>
                <c:pt idx="8">
                  <c:v>0.59851955307262572</c:v>
                </c:pt>
                <c:pt idx="9">
                  <c:v>0.51324022346368714</c:v>
                </c:pt>
                <c:pt idx="10">
                  <c:v>0.40815642458100559</c:v>
                </c:pt>
                <c:pt idx="11">
                  <c:v>0.28142458100558659</c:v>
                </c:pt>
                <c:pt idx="12">
                  <c:v>0.1414804469273743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3-47E7-AF37-09F68A7BEE7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Details'!$BT$119:$BT$131</c:f>
              <c:numCache>
                <c:formatCode>0.000</c:formatCode>
                <c:ptCount val="13"/>
                <c:pt idx="0">
                  <c:v>0.56151242554502634</c:v>
                </c:pt>
                <c:pt idx="1">
                  <c:v>0.8661013642203419</c:v>
                </c:pt>
                <c:pt idx="2">
                  <c:v>0.91665578917771162</c:v>
                </c:pt>
                <c:pt idx="3">
                  <c:v>0.93273185619606114</c:v>
                </c:pt>
                <c:pt idx="4">
                  <c:v>0.93696830680085508</c:v>
                </c:pt>
                <c:pt idx="5">
                  <c:v>0.93733229108308735</c:v>
                </c:pt>
                <c:pt idx="6">
                  <c:v>0.93651927536397139</c:v>
                </c:pt>
                <c:pt idx="7">
                  <c:v>0.93451000706584364</c:v>
                </c:pt>
                <c:pt idx="8">
                  <c:v>0.92654475340046616</c:v>
                </c:pt>
                <c:pt idx="9">
                  <c:v>0.91381595756830492</c:v>
                </c:pt>
                <c:pt idx="10">
                  <c:v>0.88473593014067498</c:v>
                </c:pt>
                <c:pt idx="11">
                  <c:v>0.80987922572342097</c:v>
                </c:pt>
                <c:pt idx="12">
                  <c:v>0.51998705854670035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3-47E7-AF37-09F68A7BEE7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Details'!$BU$119:$BU$131</c:f>
              <c:numCache>
                <c:formatCode>0.000</c:formatCode>
                <c:ptCount val="13"/>
                <c:pt idx="0">
                  <c:v>0.15187499487576786</c:v>
                </c:pt>
                <c:pt idx="1">
                  <c:v>0.419817233891497</c:v>
                </c:pt>
                <c:pt idx="2">
                  <c:v>0.58115464935660677</c:v>
                </c:pt>
                <c:pt idx="3">
                  <c:v>0.66794543567872677</c:v>
                </c:pt>
                <c:pt idx="4">
                  <c:v>0.66967061637188485</c:v>
                </c:pt>
                <c:pt idx="5">
                  <c:v>0.66042652822010606</c:v>
                </c:pt>
                <c:pt idx="6">
                  <c:v>0.64475951340491067</c:v>
                </c:pt>
                <c:pt idx="7">
                  <c:v>0.61244340183739732</c:v>
                </c:pt>
                <c:pt idx="8">
                  <c:v>0.55455515170703318</c:v>
                </c:pt>
                <c:pt idx="9">
                  <c:v>0.46900710626704006</c:v>
                </c:pt>
                <c:pt idx="10">
                  <c:v>0.36111065394456826</c:v>
                </c:pt>
                <c:pt idx="11">
                  <c:v>0.22791992176434264</c:v>
                </c:pt>
                <c:pt idx="12">
                  <c:v>7.3568001439637917E-2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83-47E7-AF37-09F68A7BE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7104"/>
        <c:axId val="198945792"/>
      </c:scatterChart>
      <c:valAx>
        <c:axId val="1948471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945792"/>
        <c:crosses val="autoZero"/>
        <c:crossBetween val="midCat"/>
        <c:majorUnit val="2"/>
      </c:valAx>
      <c:valAx>
        <c:axId val="19894579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471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234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Details'!$BR$134:$BR$144</c:f>
              <c:numCache>
                <c:formatCode>0.000</c:formatCode>
                <c:ptCount val="11"/>
                <c:pt idx="0">
                  <c:v>0.37745810055865919</c:v>
                </c:pt>
                <c:pt idx="1">
                  <c:v>0.60013966480446923</c:v>
                </c:pt>
                <c:pt idx="2">
                  <c:v>0.70684357541899445</c:v>
                </c:pt>
                <c:pt idx="3">
                  <c:v>0.72346368715083798</c:v>
                </c:pt>
                <c:pt idx="4">
                  <c:v>0.70723463687150834</c:v>
                </c:pt>
                <c:pt idx="5">
                  <c:v>0.68854748603351956</c:v>
                </c:pt>
                <c:pt idx="6">
                  <c:v>0.64656424581005589</c:v>
                </c:pt>
                <c:pt idx="7">
                  <c:v>0.5951675977653631</c:v>
                </c:pt>
                <c:pt idx="8">
                  <c:v>0.5045251396648045</c:v>
                </c:pt>
                <c:pt idx="9">
                  <c:v>0.39717877094972065</c:v>
                </c:pt>
                <c:pt idx="10">
                  <c:v>0.23927374301675977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C-496B-B26A-774BB2FCE2F1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Details'!$BT$134:$BT$144</c:f>
              <c:numCache>
                <c:formatCode>0.000</c:formatCode>
                <c:ptCount val="11"/>
                <c:pt idx="0">
                  <c:v>0.8149385984784836</c:v>
                </c:pt>
                <c:pt idx="1">
                  <c:v>0.91224277087830274</c:v>
                </c:pt>
                <c:pt idx="2">
                  <c:v>0.9331431164592433</c:v>
                </c:pt>
                <c:pt idx="3">
                  <c:v>0.93979743357844525</c:v>
                </c:pt>
                <c:pt idx="4">
                  <c:v>0.93822637333798264</c:v>
                </c:pt>
                <c:pt idx="5">
                  <c:v>0.93823634566956482</c:v>
                </c:pt>
                <c:pt idx="6">
                  <c:v>0.93178348527664601</c:v>
                </c:pt>
                <c:pt idx="7">
                  <c:v>0.92453715639884482</c:v>
                </c:pt>
                <c:pt idx="8">
                  <c:v>0.90600374015796103</c:v>
                </c:pt>
                <c:pt idx="9">
                  <c:v>0.86621835086160959</c:v>
                </c:pt>
                <c:pt idx="10">
                  <c:v>0.74131595759538715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6C-496B-B26A-774BB2FCE2F1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Details'!$BU$134:$BU$144</c:f>
              <c:numCache>
                <c:formatCode>0.000</c:formatCode>
                <c:ptCount val="11"/>
                <c:pt idx="0">
                  <c:v>0.30760517545362426</c:v>
                </c:pt>
                <c:pt idx="1">
                  <c:v>0.54747307073520479</c:v>
                </c:pt>
                <c:pt idx="2">
                  <c:v>0.65958621681567464</c:v>
                </c:pt>
                <c:pt idx="3">
                  <c:v>0.67990931647155672</c:v>
                </c:pt>
                <c:pt idx="4">
                  <c:v>0.66354618845096036</c:v>
                </c:pt>
                <c:pt idx="5">
                  <c:v>0.64602027711605514</c:v>
                </c:pt>
                <c:pt idx="6">
                  <c:v>0.60245788641615994</c:v>
                </c:pt>
                <c:pt idx="7">
                  <c:v>0.55025455841872029</c:v>
                </c:pt>
                <c:pt idx="8">
                  <c:v>0.45710166354003051</c:v>
                </c:pt>
                <c:pt idx="9">
                  <c:v>0.34404353996930798</c:v>
                </c:pt>
                <c:pt idx="10">
                  <c:v>0.17737744393190186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6C-496B-B26A-774BB2FCE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82944"/>
        <c:axId val="194897792"/>
      </c:scatterChart>
      <c:valAx>
        <c:axId val="19488294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97792"/>
        <c:crosses val="autoZero"/>
        <c:crossBetween val="midCat"/>
        <c:majorUnit val="2"/>
      </c:valAx>
      <c:valAx>
        <c:axId val="19489779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88294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264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Details'!$BR$148:$BR$158</c:f>
              <c:numCache>
                <c:formatCode>0.000</c:formatCode>
                <c:ptCount val="11"/>
                <c:pt idx="0">
                  <c:v>0.33223463687150839</c:v>
                </c:pt>
                <c:pt idx="1">
                  <c:v>0.56851955307262569</c:v>
                </c:pt>
                <c:pt idx="2">
                  <c:v>0.66642458100558655</c:v>
                </c:pt>
                <c:pt idx="3">
                  <c:v>0.70416201117318433</c:v>
                </c:pt>
                <c:pt idx="4">
                  <c:v>0.70854748603351958</c:v>
                </c:pt>
                <c:pt idx="5">
                  <c:v>0.68782122905027931</c:v>
                </c:pt>
                <c:pt idx="6">
                  <c:v>0.64620111731843577</c:v>
                </c:pt>
                <c:pt idx="7">
                  <c:v>0.58555865921787709</c:v>
                </c:pt>
                <c:pt idx="8">
                  <c:v>0.49449720670391062</c:v>
                </c:pt>
                <c:pt idx="9">
                  <c:v>0.37726256983240225</c:v>
                </c:pt>
                <c:pt idx="10">
                  <c:v>0.20625698324022346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7-4B74-94CE-41D4F84D081F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Details'!$BT$148:$BT$158</c:f>
              <c:numCache>
                <c:formatCode>0.000</c:formatCode>
                <c:ptCount val="11"/>
                <c:pt idx="0">
                  <c:v>0.77701993704037342</c:v>
                </c:pt>
                <c:pt idx="1">
                  <c:v>0.90792101694838112</c:v>
                </c:pt>
                <c:pt idx="2">
                  <c:v>0.9314307859157781</c:v>
                </c:pt>
                <c:pt idx="3">
                  <c:v>0.94043578756701773</c:v>
                </c:pt>
                <c:pt idx="4">
                  <c:v>0.94062441704793454</c:v>
                </c:pt>
                <c:pt idx="5">
                  <c:v>0.93937902063474621</c:v>
                </c:pt>
                <c:pt idx="6">
                  <c:v>0.93267717155871144</c:v>
                </c:pt>
                <c:pt idx="7">
                  <c:v>0.92195155458180045</c:v>
                </c:pt>
                <c:pt idx="8">
                  <c:v>0.90127856425681541</c:v>
                </c:pt>
                <c:pt idx="9">
                  <c:v>0.84074984541363129</c:v>
                </c:pt>
                <c:pt idx="10">
                  <c:v>0.66184938623957479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E7-4B74-94CE-41D4F84D081F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Details'!$BU$148:$BU$158</c:f>
              <c:numCache>
                <c:formatCode>0.000</c:formatCode>
                <c:ptCount val="11"/>
                <c:pt idx="0">
                  <c:v>0.25815293662453076</c:v>
                </c:pt>
                <c:pt idx="1">
                  <c:v>0.51617085078073743</c:v>
                </c:pt>
                <c:pt idx="2">
                  <c:v>0.62072837123962665</c:v>
                </c:pt>
                <c:pt idx="3">
                  <c:v>0.66221915555242872</c:v>
                </c:pt>
                <c:pt idx="4">
                  <c:v>0.66647706600105894</c:v>
                </c:pt>
                <c:pt idx="5">
                  <c:v>0.64612483251703878</c:v>
                </c:pt>
                <c:pt idx="6">
                  <c:v>0.60269703035863775</c:v>
                </c:pt>
                <c:pt idx="7">
                  <c:v>0.5398567161647565</c:v>
                </c:pt>
                <c:pt idx="8">
                  <c:v>0.44567973248710624</c:v>
                </c:pt>
                <c:pt idx="9">
                  <c:v>0.31718344726694148</c:v>
                </c:pt>
                <c:pt idx="10">
                  <c:v>0.13651105776516817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E7-4B74-94CE-41D4F84D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19520"/>
        <c:axId val="199022080"/>
      </c:scatterChart>
      <c:valAx>
        <c:axId val="19901952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022080"/>
        <c:crosses val="autoZero"/>
        <c:crossBetween val="midCat"/>
        <c:majorUnit val="2"/>
      </c:valAx>
      <c:valAx>
        <c:axId val="1990220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01952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5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295 West Field</a:t>
            </a:r>
          </a:p>
        </c:rich>
      </c:tx>
      <c:layout>
        <c:manualLayout>
          <c:xMode val="edge"/>
          <c:yMode val="edge"/>
          <c:x val="0.39250568699474508"/>
          <c:y val="1.8726660253760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633301268804564E-2"/>
          <c:w val="0.82840396250146853"/>
          <c:h val="0.7265944178459220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Details'!$BR$162:$BR$170</c:f>
              <c:numCache>
                <c:formatCode>0.000</c:formatCode>
                <c:ptCount val="9"/>
                <c:pt idx="0">
                  <c:v>0.48178770949720673</c:v>
                </c:pt>
                <c:pt idx="1">
                  <c:v>0.60695530726256985</c:v>
                </c:pt>
                <c:pt idx="2">
                  <c:v>0.66692737430167592</c:v>
                </c:pt>
                <c:pt idx="3">
                  <c:v>0.70276536312849158</c:v>
                </c:pt>
                <c:pt idx="4">
                  <c:v>0.68589385474860332</c:v>
                </c:pt>
                <c:pt idx="5">
                  <c:v>0.62793296089385475</c:v>
                </c:pt>
                <c:pt idx="6">
                  <c:v>0.56030726256983243</c:v>
                </c:pt>
                <c:pt idx="7">
                  <c:v>0.45751396648044695</c:v>
                </c:pt>
                <c:pt idx="8">
                  <c:v>0.34374301675977653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D-4D52-A443-428E6ECB2BBB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Details'!$BT$162:$BT$170</c:f>
              <c:numCache>
                <c:formatCode>0.000</c:formatCode>
                <c:ptCount val="9"/>
                <c:pt idx="0">
                  <c:v>0.87399024060668751</c:v>
                </c:pt>
                <c:pt idx="1">
                  <c:v>0.91746079307885609</c:v>
                </c:pt>
                <c:pt idx="2">
                  <c:v>0.93073813351715295</c:v>
                </c:pt>
                <c:pt idx="3">
                  <c:v>0.93782109135182812</c:v>
                </c:pt>
                <c:pt idx="4">
                  <c:v>0.93381442934434777</c:v>
                </c:pt>
                <c:pt idx="5">
                  <c:v>0.92543787576906333</c:v>
                </c:pt>
                <c:pt idx="6">
                  <c:v>0.91685901401105174</c:v>
                </c:pt>
                <c:pt idx="7">
                  <c:v>0.88978287054424055</c:v>
                </c:pt>
                <c:pt idx="8">
                  <c:v>0.82806606256396031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2D-4D52-A443-428E6ECB2BBB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Details'!$BU$162:$BU$170</c:f>
              <c:numCache>
                <c:formatCode>0.000</c:formatCode>
                <c:ptCount val="9"/>
                <c:pt idx="0">
                  <c:v>0.42107775614480858</c:v>
                </c:pt>
                <c:pt idx="1">
                  <c:v>0.55685769756453807</c:v>
                </c:pt>
                <c:pt idx="2">
                  <c:v>0.62073473954903746</c:v>
                </c:pt>
                <c:pt idx="3">
                  <c:v>0.6590681798134258</c:v>
                </c:pt>
                <c:pt idx="4">
                  <c:v>0.64049757856286194</c:v>
                </c:pt>
                <c:pt idx="5">
                  <c:v>0.58111294545498726</c:v>
                </c:pt>
                <c:pt idx="6">
                  <c:v>0.51372276430300801</c:v>
                </c:pt>
                <c:pt idx="7">
                  <c:v>0.40708809040905353</c:v>
                </c:pt>
                <c:pt idx="8">
                  <c:v>0.28464192642212555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2D-4D52-A443-428E6ECB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21536"/>
        <c:axId val="199132288"/>
      </c:scatterChart>
      <c:valAx>
        <c:axId val="1991215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625024231275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132288"/>
        <c:crosses val="autoZero"/>
        <c:crossBetween val="midCat"/>
        <c:majorUnit val="2"/>
      </c:valAx>
      <c:valAx>
        <c:axId val="1991322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83158807199536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1215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812916275003932"/>
          <c:w val="0.2031562098515507"/>
          <c:h val="0.277154571755662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326 West Field</a:t>
            </a:r>
          </a:p>
        </c:rich>
      </c:tx>
      <c:layout>
        <c:manualLayout>
          <c:xMode val="edge"/>
          <c:yMode val="edge"/>
          <c:x val="0.39250568699474508"/>
          <c:y val="1.87266602537609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633301268804564E-2"/>
          <c:w val="0.82840396250146853"/>
          <c:h val="0.7265944178459220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Details'!$BR$175:$BR$183</c:f>
              <c:numCache>
                <c:formatCode>0.000</c:formatCode>
                <c:ptCount val="9"/>
                <c:pt idx="0">
                  <c:v>0.35941340782122905</c:v>
                </c:pt>
                <c:pt idx="1">
                  <c:v>0.54240223463687154</c:v>
                </c:pt>
                <c:pt idx="2">
                  <c:v>0.59145251396648046</c:v>
                </c:pt>
                <c:pt idx="3">
                  <c:v>0.65673184357541903</c:v>
                </c:pt>
                <c:pt idx="4">
                  <c:v>0.66642458100558655</c:v>
                </c:pt>
                <c:pt idx="5">
                  <c:v>0.59790502793296085</c:v>
                </c:pt>
                <c:pt idx="6">
                  <c:v>0.49650837988826818</c:v>
                </c:pt>
                <c:pt idx="7">
                  <c:v>0.3727932960893855</c:v>
                </c:pt>
                <c:pt idx="8">
                  <c:v>0.26918994413407821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AC-4D05-893A-B088D55F0A28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Details'!$BT$175:$BT$183</c:f>
              <c:numCache>
                <c:formatCode>0.000</c:formatCode>
                <c:ptCount val="9"/>
                <c:pt idx="0">
                  <c:v>0.85434961202692172</c:v>
                </c:pt>
                <c:pt idx="1">
                  <c:v>0.91575217274583554</c:v>
                </c:pt>
                <c:pt idx="2">
                  <c:v>0.92908499899768349</c:v>
                </c:pt>
                <c:pt idx="3">
                  <c:v>0.93593972875836451</c:v>
                </c:pt>
                <c:pt idx="4">
                  <c:v>0.93743268522550049</c:v>
                </c:pt>
                <c:pt idx="5">
                  <c:v>0.92723913510110867</c:v>
                </c:pt>
                <c:pt idx="6">
                  <c:v>0.90795332988457289</c:v>
                </c:pt>
                <c:pt idx="7">
                  <c:v>0.86904948471739862</c:v>
                </c:pt>
                <c:pt idx="8">
                  <c:v>0.77681513045102246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AC-4D05-893A-B088D55F0A28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Details'!$BU$175:$BU$183</c:f>
              <c:numCache>
                <c:formatCode>0.000</c:formatCode>
                <c:ptCount val="9"/>
                <c:pt idx="0">
                  <c:v>0.30706470552934084</c:v>
                </c:pt>
                <c:pt idx="1">
                  <c:v>0.49670602487091159</c:v>
                </c:pt>
                <c:pt idx="2">
                  <c:v>0.54950965834572485</c:v>
                </c:pt>
                <c:pt idx="3">
                  <c:v>0.61466142354295839</c:v>
                </c:pt>
                <c:pt idx="4">
                  <c:v>0.62472818447234602</c:v>
                </c:pt>
                <c:pt idx="5">
                  <c:v>0.55440094097316284</c:v>
                </c:pt>
                <c:pt idx="6">
                  <c:v>0.45080643683514759</c:v>
                </c:pt>
                <c:pt idx="7">
                  <c:v>0.32397582187258106</c:v>
                </c:pt>
                <c:pt idx="8">
                  <c:v>0.20911082156861741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AC-4D05-893A-B088D55F0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82592"/>
        <c:axId val="199205632"/>
      </c:scatterChart>
      <c:valAx>
        <c:axId val="1991825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6250242312754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205632"/>
        <c:crosses val="autoZero"/>
        <c:crossBetween val="midCat"/>
        <c:majorUnit val="2"/>
      </c:valAx>
      <c:valAx>
        <c:axId val="1992056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83158807199536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1825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812916275003932"/>
          <c:w val="0.2031562098515507"/>
          <c:h val="0.277154571755662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Day 356 West Field</a:t>
            </a:r>
          </a:p>
        </c:rich>
      </c:tx>
      <c:layout>
        <c:manualLayout>
          <c:xMode val="edge"/>
          <c:yMode val="edge"/>
          <c:x val="0.39250568699474508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58"/>
          <c:y val="9.3984962406015268E-2"/>
          <c:w val="0.82840396250146853"/>
          <c:h val="0.7255639097744347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Details'!$BR$188:$BR$196</c:f>
              <c:numCache>
                <c:formatCode>0.000</c:formatCode>
                <c:ptCount val="9"/>
                <c:pt idx="0">
                  <c:v>0.30773743016759775</c:v>
                </c:pt>
                <c:pt idx="1">
                  <c:v>0.49812849162011175</c:v>
                </c:pt>
                <c:pt idx="2">
                  <c:v>0.55175977653631281</c:v>
                </c:pt>
                <c:pt idx="3">
                  <c:v>0.61812849162011174</c:v>
                </c:pt>
                <c:pt idx="4">
                  <c:v>0.64589385474860339</c:v>
                </c:pt>
                <c:pt idx="5">
                  <c:v>0.5767877094972067</c:v>
                </c:pt>
                <c:pt idx="6">
                  <c:v>0.47279329608938547</c:v>
                </c:pt>
                <c:pt idx="7">
                  <c:v>0.33541899441340783</c:v>
                </c:pt>
                <c:pt idx="8">
                  <c:v>0.2380167597765363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C9-4347-A88C-85E1BF9410F7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Details'!$BT$188:$BT$196</c:f>
              <c:numCache>
                <c:formatCode>0.000</c:formatCode>
                <c:ptCount val="9"/>
                <c:pt idx="0">
                  <c:v>0.67065372637554477</c:v>
                </c:pt>
                <c:pt idx="1">
                  <c:v>0.87152154394111381</c:v>
                </c:pt>
                <c:pt idx="2">
                  <c:v>0.90171045679580697</c:v>
                </c:pt>
                <c:pt idx="3">
                  <c:v>0.91735000006594558</c:v>
                </c:pt>
                <c:pt idx="4">
                  <c:v>0.92003560809969165</c:v>
                </c:pt>
                <c:pt idx="5">
                  <c:v>0.91031927073470209</c:v>
                </c:pt>
                <c:pt idx="6">
                  <c:v>0.88721390655389731</c:v>
                </c:pt>
                <c:pt idx="7">
                  <c:v>0.81500468305759666</c:v>
                </c:pt>
                <c:pt idx="8">
                  <c:v>0.63809035398790837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C9-4347-A88C-85E1BF9410F7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Details'!$BU$188:$BU$196</c:f>
              <c:numCache>
                <c:formatCode>0.000</c:formatCode>
                <c:ptCount val="9"/>
                <c:pt idx="0">
                  <c:v>0.20638525428713342</c:v>
                </c:pt>
                <c:pt idx="1">
                  <c:v>0.43412971209781798</c:v>
                </c:pt>
                <c:pt idx="2">
                  <c:v>0.49752756014211102</c:v>
                </c:pt>
                <c:pt idx="3">
                  <c:v>0.56704017182847233</c:v>
                </c:pt>
                <c:pt idx="4">
                  <c:v>0.59424534542148522</c:v>
                </c:pt>
                <c:pt idx="5">
                  <c:v>0.52506096707823646</c:v>
                </c:pt>
                <c:pt idx="6">
                  <c:v>0.41946878721595715</c:v>
                </c:pt>
                <c:pt idx="7">
                  <c:v>0.27336805123339725</c:v>
                </c:pt>
                <c:pt idx="8">
                  <c:v>0.15187619850086501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C9-4347-A88C-85E1BF941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44032"/>
        <c:axId val="199246592"/>
      </c:scatterChart>
      <c:valAx>
        <c:axId val="1992440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76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246592"/>
        <c:crosses val="autoZero"/>
        <c:crossBetween val="midCat"/>
        <c:majorUnit val="2"/>
      </c:valAx>
      <c:valAx>
        <c:axId val="19924659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5864661654136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2440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956696014962561"/>
          <c:y val="0.49624060150375937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0182292013684"/>
          <c:y val="0.12624584717608006"/>
          <c:w val="0.79922179432755069"/>
          <c:h val="0.78239202657807472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Calcs'!$B$43:$B$48</c:f>
              <c:numCache>
                <c:formatCode>0.0</c:formatCode>
                <c:ptCount val="6"/>
                <c:pt idx="0">
                  <c:v>37</c:v>
                </c:pt>
                <c:pt idx="1">
                  <c:v>40</c:v>
                </c:pt>
                <c:pt idx="2">
                  <c:v>47.08</c:v>
                </c:pt>
                <c:pt idx="3">
                  <c:v>58.849999999999994</c:v>
                </c:pt>
              </c:numCache>
            </c:numRef>
          </c:xVal>
          <c:yVal>
            <c:numRef>
              <c:f>'Design Point Calcs'!$P$43:$P$48</c:f>
              <c:numCache>
                <c:formatCode>0</c:formatCode>
                <c:ptCount val="6"/>
                <c:pt idx="0">
                  <c:v>5267.3984999999993</c:v>
                </c:pt>
                <c:pt idx="1">
                  <c:v>6087.8090000000002</c:v>
                </c:pt>
                <c:pt idx="2">
                  <c:v>9193.0929999999989</c:v>
                </c:pt>
                <c:pt idx="3">
                  <c:v>26566.084999999999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5-45A9-BCBF-B7A662385734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'Design Point Calcs'!$B$61:$B$66</c:f>
              <c:numCache>
                <c:formatCode>0.0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58</c:v>
                </c:pt>
              </c:numCache>
            </c:numRef>
          </c:xVal>
          <c:yVal>
            <c:numRef>
              <c:f>'Design Point Calcs'!$P$61:$P$66</c:f>
              <c:numCache>
                <c:formatCode>General</c:formatCode>
                <c:ptCount val="6"/>
                <c:pt idx="0">
                  <c:v>9040</c:v>
                </c:pt>
                <c:pt idx="1">
                  <c:v>13883</c:v>
                </c:pt>
                <c:pt idx="2">
                  <c:v>25681</c:v>
                </c:pt>
                <c:pt idx="3">
                  <c:v>52930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C5-45A9-BCBF-B7A662385734}"/>
            </c:ext>
          </c:extLst>
        </c:ser>
        <c:ser>
          <c:idx val="4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'Design Point Calcs'!$B$76:$B$80</c:f>
              <c:numCache>
                <c:formatCode>0.0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</c:numCache>
            </c:numRef>
          </c:xVal>
          <c:yVal>
            <c:numRef>
              <c:f>'Design Point Calcs'!$R$76:$R$80</c:f>
              <c:numCache>
                <c:formatCode>General</c:formatCode>
                <c:ptCount val="5"/>
                <c:pt idx="0">
                  <c:v>16509</c:v>
                </c:pt>
                <c:pt idx="1">
                  <c:v>25267</c:v>
                </c:pt>
                <c:pt idx="2">
                  <c:v>46868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5-45A9-BCBF-B7A662385734}"/>
            </c:ext>
          </c:extLst>
        </c:ser>
        <c:ser>
          <c:idx val="2"/>
          <c:order val="3"/>
          <c:tx>
            <c:v>P(100m)*(150/100)^2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Calcs'!$B$43:$B$48</c:f>
              <c:numCache>
                <c:formatCode>0.0</c:formatCode>
                <c:ptCount val="6"/>
                <c:pt idx="0">
                  <c:v>37</c:v>
                </c:pt>
                <c:pt idx="1">
                  <c:v>40</c:v>
                </c:pt>
                <c:pt idx="2">
                  <c:v>47.08</c:v>
                </c:pt>
                <c:pt idx="3">
                  <c:v>58.849999999999994</c:v>
                </c:pt>
              </c:numCache>
            </c:numRef>
          </c:xVal>
          <c:yVal>
            <c:numRef>
              <c:f>'Design Point Calcs'!$X$43:$X$48</c:f>
              <c:numCache>
                <c:formatCode>0</c:formatCode>
                <c:ptCount val="6"/>
                <c:pt idx="0">
                  <c:v>11851.646624999998</c:v>
                </c:pt>
                <c:pt idx="1">
                  <c:v>13697.570250000001</c:v>
                </c:pt>
                <c:pt idx="2">
                  <c:v>20684.459249999996</c:v>
                </c:pt>
                <c:pt idx="3">
                  <c:v>59773.691249999996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C5-45A9-BCBF-B7A662385734}"/>
            </c:ext>
          </c:extLst>
        </c:ser>
        <c:ser>
          <c:idx val="3"/>
          <c:order val="4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'Design Point Calcs'!$B$61:$B$66</c:f>
              <c:numCache>
                <c:formatCode>0.0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58</c:v>
                </c:pt>
              </c:numCache>
            </c:numRef>
          </c:xVal>
          <c:yVal>
            <c:numRef>
              <c:f>'Design Point Calcs'!$P$61:$P$66</c:f>
              <c:numCache>
                <c:formatCode>General</c:formatCode>
                <c:ptCount val="6"/>
                <c:pt idx="0">
                  <c:v>9040</c:v>
                </c:pt>
                <c:pt idx="1">
                  <c:v>13883</c:v>
                </c:pt>
                <c:pt idx="2">
                  <c:v>25681</c:v>
                </c:pt>
                <c:pt idx="3">
                  <c:v>52930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0C5-45A9-BCBF-B7A662385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32928"/>
        <c:axId val="199535232"/>
      </c:scatterChart>
      <c:valAx>
        <c:axId val="199532928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875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4054664760494322"/>
              <c:y val="0.940199335548175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535232"/>
        <c:crosses val="autoZero"/>
        <c:crossBetween val="midCat"/>
        <c:majorUnit val="10"/>
      </c:valAx>
      <c:valAx>
        <c:axId val="199535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CPC Exit Power, kW </a:t>
                </a:r>
              </a:p>
            </c:rich>
          </c:tx>
          <c:layout>
            <c:manualLayout>
              <c:xMode val="edge"/>
              <c:yMode val="edge"/>
              <c:x val="1.7543893046214547E-2"/>
              <c:y val="0.4036544850498347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5329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7348960901256591"/>
          <c:y val="0.23588039867109664"/>
          <c:w val="0.46783714789905473"/>
          <c:h val="0.179401993355482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200m Tower, D82H10</a:t>
            </a:r>
          </a:p>
        </c:rich>
      </c:tx>
      <c:layout>
        <c:manualLayout>
          <c:xMode val="edge"/>
          <c:yMode val="edge"/>
          <c:x val="0.31740640782183993"/>
          <c:y val="1.1261286030066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39942689398706"/>
          <c:y val="9.4594802652561163E-2"/>
          <c:w val="0.8191133105079712"/>
          <c:h val="0.75901067842650083"/>
        </c:manualLayout>
      </c:layout>
      <c:scatterChart>
        <c:scatterStyle val="smoothMarker"/>
        <c:varyColors val="0"/>
        <c:ser>
          <c:idx val="3"/>
          <c:order val="0"/>
          <c:tx>
            <c:v>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C51C-4C87-B10B-BE9A077EC3CC}"/>
              </c:ext>
            </c:extLst>
          </c:dPt>
          <c:xVal>
            <c:numRef>
              <c:f>'Design Point Calcs'!$AJ$8:$AJ$11</c:f>
              <c:numCache>
                <c:formatCode>General</c:formatCode>
                <c:ptCount val="4"/>
              </c:numCache>
            </c:numRef>
          </c:xVal>
          <c:yVal>
            <c:numRef>
              <c:f>'Design Point Calcs'!$AK$8:$AK$11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1C-4C87-B10B-BE9A077EC3CC}"/>
            </c:ext>
          </c:extLst>
        </c:ser>
        <c:ser>
          <c:idx val="2"/>
          <c:order val="1"/>
          <c:tx>
            <c:v>Acceptance 30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'Design Point Calcs'!$AE$8:$AE$11</c:f>
              <c:numCache>
                <c:formatCode>General</c:formatCode>
                <c:ptCount val="4"/>
              </c:numCache>
            </c:numRef>
          </c:xVal>
          <c:yVal>
            <c:numRef>
              <c:f>'Design Point Calcs'!$AF$8:$AF$11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1C-4C87-B10B-BE9A077EC3CC}"/>
            </c:ext>
          </c:extLst>
        </c:ser>
        <c:ser>
          <c:idx val="0"/>
          <c:order val="2"/>
          <c:tx>
            <c:v>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3-C51C-4C87-B10B-BE9A077EC3CC}"/>
              </c:ext>
            </c:extLst>
          </c:dPt>
          <c:xVal>
            <c:numRef>
              <c:f>'Design Point Calcs'!$AE$15:$AE$17</c:f>
              <c:numCache>
                <c:formatCode>General</c:formatCode>
                <c:ptCount val="3"/>
              </c:numCache>
            </c:numRef>
          </c:xVal>
          <c:yVal>
            <c:numRef>
              <c:f>'Design Point Calcs'!$AF$15:$AF$17</c:f>
              <c:numCache>
                <c:formatCode>General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51C-4C87-B10B-BE9A077EC3CC}"/>
            </c:ext>
          </c:extLst>
        </c:ser>
        <c:ser>
          <c:idx val="1"/>
          <c:order val="3"/>
          <c:tx>
            <c:v>Acceptance 40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Calcs'!$AE$23</c:f>
              <c:numCache>
                <c:formatCode>General</c:formatCode>
                <c:ptCount val="1"/>
              </c:numCache>
            </c:numRef>
          </c:xVal>
          <c:yVal>
            <c:numRef>
              <c:f>'Design Point Calcs'!$AF$23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1C-4C87-B10B-BE9A077EC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9376"/>
        <c:axId val="199351296"/>
      </c:scatterChart>
      <c:valAx>
        <c:axId val="199349376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0443719706331083"/>
              <c:y val="0.91892094005344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351296"/>
        <c:crosses val="autoZero"/>
        <c:crossBetween val="midCat"/>
        <c:majorUnit val="5"/>
      </c:valAx>
      <c:valAx>
        <c:axId val="199351296"/>
        <c:scaling>
          <c:orientation val="minMax"/>
          <c:max val="16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CPC Exit Power, MW</a:t>
                </a:r>
              </a:p>
            </c:rich>
          </c:tx>
          <c:layout>
            <c:manualLayout>
              <c:xMode val="edge"/>
              <c:yMode val="edge"/>
              <c:x val="8.5324303177914066E-3"/>
              <c:y val="0.254505064279508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349376"/>
        <c:crosses val="autoZero"/>
        <c:crossBetween val="midCat"/>
        <c:majorUnit val="2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112643911852661"/>
          <c:y val="0.18468509089309518"/>
          <c:w val="0.32593883813963126"/>
          <c:h val="0.18468509089309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200m Tower, D82H10</a:t>
            </a:r>
          </a:p>
        </c:rich>
      </c:tx>
      <c:layout>
        <c:manualLayout>
          <c:xMode val="edge"/>
          <c:yMode val="edge"/>
          <c:x val="0.31856899488926926"/>
          <c:y val="1.1261286030066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65758091993192"/>
          <c:y val="9.4594802652561163E-2"/>
          <c:w val="0.82793867120954134"/>
          <c:h val="0.75000164960244664"/>
        </c:manualLayout>
      </c:layout>
      <c:scatterChart>
        <c:scatterStyle val="smoothMarker"/>
        <c:varyColors val="0"/>
        <c:ser>
          <c:idx val="3"/>
          <c:order val="0"/>
          <c:tx>
            <c:v>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2D81-4D2E-9EF8-CFDBF1E3C46E}"/>
              </c:ext>
            </c:extLst>
          </c:dPt>
          <c:xVal>
            <c:numRef>
              <c:f>'Design Point Calcs'!$AJ$8:$AJ$11</c:f>
              <c:numCache>
                <c:formatCode>General</c:formatCode>
                <c:ptCount val="4"/>
              </c:numCache>
            </c:numRef>
          </c:xVal>
          <c:yVal>
            <c:numRef>
              <c:f>'Design Point Calcs'!$AL$8:$AL$11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81-4D2E-9EF8-CFDBF1E3C46E}"/>
            </c:ext>
          </c:extLst>
        </c:ser>
        <c:ser>
          <c:idx val="2"/>
          <c:order val="1"/>
          <c:tx>
            <c:v>Acceptance 30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'Design Point Calcs'!$AE$8:$AE$11</c:f>
              <c:numCache>
                <c:formatCode>General</c:formatCode>
                <c:ptCount val="4"/>
              </c:numCache>
            </c:numRef>
          </c:xVal>
          <c:yVal>
            <c:numRef>
              <c:f>'Design Point Calcs'!$AG$8:$AG$11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81-4D2E-9EF8-CFDBF1E3C46E}"/>
            </c:ext>
          </c:extLst>
        </c:ser>
        <c:ser>
          <c:idx val="0"/>
          <c:order val="2"/>
          <c:tx>
            <c:v>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3-2D81-4D2E-9EF8-CFDBF1E3C46E}"/>
              </c:ext>
            </c:extLst>
          </c:dPt>
          <c:xVal>
            <c:numRef>
              <c:f>'Design Point Calcs'!$AE$15:$AE$17</c:f>
              <c:numCache>
                <c:formatCode>General</c:formatCode>
                <c:ptCount val="3"/>
              </c:numCache>
            </c:numRef>
          </c:xVal>
          <c:yVal>
            <c:numRef>
              <c:f>'Design Point Calcs'!$AG$15:$AG$17</c:f>
              <c:numCache>
                <c:formatCode>General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81-4D2E-9EF8-CFDBF1E3C46E}"/>
            </c:ext>
          </c:extLst>
        </c:ser>
        <c:ser>
          <c:idx val="1"/>
          <c:order val="3"/>
          <c:tx>
            <c:v>Acceptance 40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Calcs'!$AE$23</c:f>
              <c:numCache>
                <c:formatCode>General</c:formatCode>
                <c:ptCount val="1"/>
              </c:numCache>
            </c:numRef>
          </c:xVal>
          <c:yVal>
            <c:numRef>
              <c:f>'Design Point Calcs'!$AG$23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81-4D2E-9EF8-CFDBF1E3C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95840"/>
        <c:axId val="199798144"/>
      </c:scatterChart>
      <c:valAx>
        <c:axId val="199795840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0034071550255601"/>
              <c:y val="0.91892094005344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798144"/>
        <c:crosses val="autoZero"/>
        <c:crossBetween val="midCat"/>
        <c:majorUnit val="5"/>
      </c:valAx>
      <c:valAx>
        <c:axId val="199798144"/>
        <c:scaling>
          <c:orientation val="minMax"/>
          <c:max val="0.8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Solar Field Efficiency</a:t>
                </a:r>
              </a:p>
            </c:rich>
          </c:tx>
          <c:layout>
            <c:manualLayout>
              <c:xMode val="edge"/>
              <c:yMode val="edge"/>
              <c:x val="8.5178875638841564E-3"/>
              <c:y val="0.2432437782494419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795840"/>
        <c:crosses val="autoZero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613287904599659"/>
          <c:y val="0.51126238576502747"/>
          <c:w val="0.29301533219761561"/>
          <c:h val="0.189189605305121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Field Scaling</a:t>
            </a:r>
          </a:p>
        </c:rich>
      </c:tx>
      <c:layout>
        <c:manualLayout>
          <c:xMode val="edge"/>
          <c:yMode val="edge"/>
          <c:x val="0.42052023121387405"/>
          <c:y val="1.0917030567685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29479768786159"/>
          <c:y val="8.7336244541484712E-2"/>
          <c:w val="0.7239884393063587"/>
          <c:h val="0.72489082969432495"/>
        </c:manualLayout>
      </c:layout>
      <c:scatterChart>
        <c:scatterStyle val="smoothMarker"/>
        <c:varyColors val="0"/>
        <c:ser>
          <c:idx val="3"/>
          <c:order val="0"/>
          <c:tx>
            <c:v>T=50,Theta=15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3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15</c:v>
              </c:pt>
              <c:pt idx="2">
                <c:v>30</c:v>
              </c:pt>
              <c:pt idx="3">
                <c:v>45</c:v>
              </c:pt>
              <c:pt idx="4">
                <c:v>60</c:v>
              </c:pt>
              <c:pt idx="5">
                <c:v>70</c:v>
              </c:pt>
            </c:numLit>
          </c:xVal>
          <c:yVal>
            <c:numLit>
              <c:formatCode>General</c:formatCode>
              <c:ptCount val="6"/>
              <c:pt idx="0">
                <c:v>235</c:v>
              </c:pt>
              <c:pt idx="1">
                <c:v>293</c:v>
              </c:pt>
              <c:pt idx="2">
                <c:v>436</c:v>
              </c:pt>
              <c:pt idx="3">
                <c:v>762</c:v>
              </c:pt>
              <c:pt idx="4">
                <c:v>2216</c:v>
              </c:pt>
              <c:pt idx="5">
                <c:v>7658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7D6-4431-8634-C42BB7498BE1}"/>
            </c:ext>
          </c:extLst>
        </c:ser>
        <c:ser>
          <c:idx val="0"/>
          <c:order val="1"/>
          <c:tx>
            <c:v>T=50,Theta=23.5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47.08</c:v>
              </c:pt>
              <c:pt idx="4">
                <c:v>58.85</c:v>
              </c:pt>
            </c:numLit>
          </c:xVal>
          <c:yVal>
            <c:numLit>
              <c:formatCode>General</c:formatCode>
              <c:ptCount val="5"/>
              <c:pt idx="0">
                <c:v>681</c:v>
              </c:pt>
              <c:pt idx="1">
                <c:v>915</c:v>
              </c:pt>
              <c:pt idx="2">
                <c:v>1550</c:v>
              </c:pt>
              <c:pt idx="3">
                <c:v>2717</c:v>
              </c:pt>
              <c:pt idx="4">
                <c:v>7708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7D6-4431-8634-C42BB7498BE1}"/>
            </c:ext>
          </c:extLst>
        </c:ser>
        <c:ser>
          <c:idx val="4"/>
          <c:order val="4"/>
          <c:tx>
            <c:v>T=100,Theta=23.5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3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2582</c:v>
              </c:pt>
              <c:pt idx="1">
                <c:v>3654</c:v>
              </c:pt>
              <c:pt idx="2">
                <c:v>6093</c:v>
              </c:pt>
              <c:pt idx="3">
                <c:v>7042</c:v>
              </c:pt>
              <c:pt idx="4">
                <c:v>10634</c:v>
              </c:pt>
              <c:pt idx="5">
                <c:v>30730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7D6-4431-8634-C42BB7498BE1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6446.0726433118043</c:v>
              </c:pt>
              <c:pt idx="1">
                <c:v>7188.5361906110602</c:v>
              </c:pt>
              <c:pt idx="2">
                <c:v>7369.0167715749312</c:v>
              </c:pt>
              <c:pt idx="3">
                <c:v>7453.1716219622604</c:v>
              </c:pt>
              <c:pt idx="4">
                <c:v>6717.7511168663959</c:v>
              </c:pt>
              <c:pt idx="5">
                <c:v>4339.1718318706944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37D6-4431-8634-C42BB749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06432"/>
        <c:axId val="199908736"/>
      </c:scatterChart>
      <c:scatterChart>
        <c:scatterStyle val="lineMarker"/>
        <c:varyColors val="0"/>
        <c:ser>
          <c:idx val="2"/>
          <c:order val="2"/>
          <c:tx>
            <c:v>T=50,Theta=15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15</c:v>
              </c:pt>
              <c:pt idx="2">
                <c:v>30</c:v>
              </c:pt>
              <c:pt idx="3">
                <c:v>45</c:v>
              </c:pt>
              <c:pt idx="4">
                <c:v>60</c:v>
              </c:pt>
              <c:pt idx="5">
                <c:v>70</c:v>
              </c:pt>
            </c:numLit>
          </c:xVal>
          <c:yVal>
            <c:numLit>
              <c:formatCode>General</c:formatCode>
              <c:ptCount val="6"/>
              <c:pt idx="0">
                <c:v>0.85144927536231885</c:v>
              </c:pt>
              <c:pt idx="1">
                <c:v>0.8772455089820359</c:v>
              </c:pt>
              <c:pt idx="2">
                <c:v>0.88438133874239233</c:v>
              </c:pt>
              <c:pt idx="3">
                <c:v>0.84760845383759953</c:v>
              </c:pt>
              <c:pt idx="4">
                <c:v>0.66149253731343438</c:v>
              </c:pt>
              <c:pt idx="5">
                <c:v>0.32722300559757356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37D6-4431-8634-C42BB7498BE1}"/>
            </c:ext>
          </c:extLst>
        </c:ser>
        <c:ser>
          <c:idx val="1"/>
          <c:order val="3"/>
          <c:tx>
            <c:v>T=50,Theta=23.5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47.08</c:v>
              </c:pt>
              <c:pt idx="4">
                <c:v>58.85</c:v>
              </c:pt>
            </c:numLit>
          </c:xVal>
          <c:yVal>
            <c:numLit>
              <c:formatCode>General</c:formatCode>
              <c:ptCount val="5"/>
              <c:pt idx="0">
                <c:v>0.85338345864661669</c:v>
              </c:pt>
              <c:pt idx="1">
                <c:v>0.87643678160919569</c:v>
              </c:pt>
              <c:pt idx="2">
                <c:v>0.85493656922228356</c:v>
              </c:pt>
              <c:pt idx="3">
                <c:v>0.76170451359686231</c:v>
              </c:pt>
              <c:pt idx="4">
                <c:v>0.46305418719211838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37D6-4431-8634-C42BB7498BE1}"/>
            </c:ext>
          </c:extLst>
        </c:ser>
        <c:ser>
          <c:idx val="5"/>
          <c:order val="5"/>
          <c:tx>
            <c:v>T=100,Theta=23.5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0.85355371900826449</c:v>
              </c:pt>
              <c:pt idx="1">
                <c:v>0.87520958083832334</c:v>
              </c:pt>
              <c:pt idx="2">
                <c:v>0.84624999999999995</c:v>
              </c:pt>
              <c:pt idx="3">
                <c:v>0.8260410557184773</c:v>
              </c:pt>
              <c:pt idx="4">
                <c:v>0.76229390681003584</c:v>
              </c:pt>
              <c:pt idx="5">
                <c:v>0.4614114114114114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37D6-4431-8634-C42BB749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27296"/>
        <c:axId val="199928832"/>
      </c:scatterChart>
      <c:valAx>
        <c:axId val="19990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75" b="1" i="0" u="none" strike="noStrike" baseline="0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defRPr>
                </a:pPr>
                <a:r>
                  <a:rPr lang="en-US"/>
                  <a:t>g</a:t>
                </a:r>
              </a:p>
            </c:rich>
          </c:tx>
          <c:layout>
            <c:manualLayout>
              <c:xMode val="edge"/>
              <c:yMode val="edge"/>
              <c:x val="0.51445086705202259"/>
              <c:y val="0.9126637554585156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908736"/>
        <c:crosses val="autoZero"/>
        <c:crossBetween val="midCat"/>
      </c:valAx>
      <c:valAx>
        <c:axId val="199908736"/>
        <c:scaling>
          <c:orientation val="minMax"/>
          <c:max val="2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Total Power, kW</a:t>
                </a:r>
              </a:p>
            </c:rich>
          </c:tx>
          <c:layout>
            <c:manualLayout>
              <c:xMode val="edge"/>
              <c:yMode val="edge"/>
              <c:x val="1.5895953757225433E-2"/>
              <c:y val="0.310043668122271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906432"/>
        <c:crosses val="autoZero"/>
        <c:crossBetween val="midCat"/>
        <c:majorUnit val="2000"/>
      </c:valAx>
      <c:valAx>
        <c:axId val="199927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9928832"/>
        <c:crosses val="autoZero"/>
        <c:crossBetween val="midCat"/>
      </c:valAx>
      <c:valAx>
        <c:axId val="199928832"/>
        <c:scaling>
          <c:orientation val="minMax"/>
          <c:max val="1"/>
        </c:scaling>
        <c:delete val="0"/>
        <c:axPos val="r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 (Total Power)</a:t>
                </a:r>
              </a:p>
            </c:rich>
          </c:tx>
          <c:layout>
            <c:manualLayout>
              <c:xMode val="edge"/>
              <c:yMode val="edge"/>
              <c:x val="0.95231213872832221"/>
              <c:y val="0.246724890829694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927296"/>
        <c:crosses val="max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33526011560692"/>
          <c:y val="1.0917030567685589E-2"/>
          <c:w val="0.22976878612716825"/>
          <c:h val="0.338427947598254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 horizontalDpi="300" verticalDpi="300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62536659040844"/>
          <c:y val="0.11241610738255042"/>
          <c:w val="0.84886214178771568"/>
          <c:h val="0.71644295302013461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0.73789719008264454</c:v>
              </c:pt>
              <c:pt idx="1">
                <c:v>0.75661868263473275</c:v>
              </c:pt>
              <c:pt idx="2">
                <c:v>0.73158312499999956</c:v>
              </c:pt>
              <c:pt idx="3">
                <c:v>0.71411249266862264</c:v>
              </c:pt>
              <c:pt idx="4">
                <c:v>0.65900308243727723</c:v>
              </c:pt>
              <c:pt idx="5">
                <c:v>0.39889016516516657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D27-4805-AE40-5505521860CC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sysDash"/>
              </a:ln>
            </c:spPr>
            <c:trendlineType val="poly"/>
            <c:order val="4"/>
            <c:forward val="3"/>
            <c:dispRSqr val="0"/>
            <c:dispEq val="0"/>
          </c:trendline>
          <c:xVal>
            <c:numLit>
              <c:formatCode>General</c:formatCode>
              <c:ptCount val="6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58</c:v>
              </c:pt>
            </c:numLit>
          </c:xVal>
          <c:yVal>
            <c:numLit>
              <c:formatCode>General</c:formatCode>
              <c:ptCount val="6"/>
              <c:pt idx="0">
                <c:v>0.75168968557155591</c:v>
              </c:pt>
              <c:pt idx="1">
                <c:v>0.76140350877192842</c:v>
              </c:pt>
              <c:pt idx="2">
                <c:v>0.75095530819072964</c:v>
              </c:pt>
              <c:pt idx="3">
                <c:v>0.70719779939890992</c:v>
              </c:pt>
              <c:pt idx="4">
                <c:v>0.60310936802799353</c:v>
              </c:pt>
              <c:pt idx="5">
                <c:v>0.41072717255507535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D27-4805-AE40-5505521860CC}"/>
            </c:ext>
          </c:extLst>
        </c:ser>
        <c:ser>
          <c:idx val="2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</c:numLit>
          </c:xVal>
          <c:yVal>
            <c:numLit>
              <c:formatCode>General</c:formatCode>
              <c:ptCount val="5"/>
              <c:pt idx="0">
                <c:v>0.73637795275590567</c:v>
              </c:pt>
              <c:pt idx="1">
                <c:v>0.74939024390243902</c:v>
              </c:pt>
              <c:pt idx="2">
                <c:v>0.75040909090909236</c:v>
              </c:pt>
              <c:pt idx="3">
                <c:v>0.70578212290502751</c:v>
              </c:pt>
              <c:pt idx="4">
                <c:v>0.59251580278128946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D27-4805-AE40-550552186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55584"/>
        <c:axId val="199957888"/>
      </c:scatterChart>
      <c:valAx>
        <c:axId val="199955584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16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65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3995903690217081"/>
              <c:y val="0.902684563758389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957888"/>
        <c:crosses val="autoZero"/>
        <c:crossBetween val="midCat"/>
        <c:majorUnit val="10"/>
      </c:valAx>
      <c:valAx>
        <c:axId val="199957888"/>
        <c:scaling>
          <c:orientation val="minMax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Solar Efficiency </a:t>
                </a:r>
              </a:p>
            </c:rich>
          </c:tx>
          <c:layout>
            <c:manualLayout>
              <c:xMode val="edge"/>
              <c:yMode val="edge"/>
              <c:x val="1.966875694386179E-2"/>
              <c:y val="0.3171140939597327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955584"/>
        <c:crosses val="autoZero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4948265386687846"/>
          <c:y val="0.41275167785234967"/>
          <c:w val="0.15631485781700702"/>
          <c:h val="0.177852348993288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34745762711843"/>
          <c:y val="0.12000019531281789"/>
          <c:w val="0.8379237288135597"/>
          <c:h val="0.73333452691166456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6446.0726433118043</c:v>
              </c:pt>
              <c:pt idx="1">
                <c:v>7188.5361906110602</c:v>
              </c:pt>
              <c:pt idx="2">
                <c:v>7369.0167715749312</c:v>
              </c:pt>
              <c:pt idx="3">
                <c:v>7453.1716219622604</c:v>
              </c:pt>
              <c:pt idx="4">
                <c:v>6717.7511168663959</c:v>
              </c:pt>
              <c:pt idx="5">
                <c:v>4339.1718318706944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B5F-45A3-B648-7C048B571734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sysDash"/>
              </a:ln>
            </c:spPr>
            <c:trendlineType val="poly"/>
            <c:order val="4"/>
            <c:forward val="3"/>
            <c:dispRSqr val="0"/>
            <c:dispEq val="0"/>
          </c:trendline>
          <c:xVal>
            <c:numLit>
              <c:formatCode>General</c:formatCode>
              <c:ptCount val="6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58</c:v>
              </c:pt>
            </c:numLit>
          </c:xVal>
          <c:yVal>
            <c:numLit>
              <c:formatCode>General</c:formatCode>
              <c:ptCount val="6"/>
              <c:pt idx="0">
                <c:v>6388.0737546701585</c:v>
              </c:pt>
              <c:pt idx="1">
                <c:v>7264.16934284731</c:v>
              </c:pt>
              <c:pt idx="2">
                <c:v>7657.6869595455501</c:v>
              </c:pt>
              <c:pt idx="3">
                <c:v>7521.5809271726594</c:v>
              </c:pt>
              <c:pt idx="4">
                <c:v>6598.9027712882125</c:v>
              </c:pt>
              <c:pt idx="5">
                <c:v>4599.0502461945334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B5F-45A3-B648-7C048B571734}"/>
            </c:ext>
          </c:extLst>
        </c:ser>
        <c:ser>
          <c:idx val="2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</c:numLit>
          </c:xVal>
          <c:yVal>
            <c:numLit>
              <c:formatCode>General</c:formatCode>
              <c:ptCount val="5"/>
              <c:pt idx="0">
                <c:v>6514.2021804007454</c:v>
              </c:pt>
              <c:pt idx="1">
                <c:v>7630.9035712032774</c:v>
              </c:pt>
              <c:pt idx="2">
                <c:v>7946.504888668318</c:v>
              </c:pt>
              <c:pt idx="3">
                <c:v>7868.672979232244</c:v>
              </c:pt>
              <c:pt idx="4">
                <c:v>6657.0673056921678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B5F-45A3-B648-7C048B571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09216"/>
        <c:axId val="200036352"/>
      </c:scatterChart>
      <c:valAx>
        <c:axId val="200009216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3432203389830615"/>
              <c:y val="0.9200014973982727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036352"/>
        <c:crosses val="autoZero"/>
        <c:crossBetween val="midCat"/>
        <c:majorUnit val="10"/>
      </c:valAx>
      <c:valAx>
        <c:axId val="200036352"/>
        <c:scaling>
          <c:orientation val="minMax"/>
          <c:max val="9000"/>
          <c:min val="4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CPC Exit Flux, kW/m</a:t>
                </a:r>
                <a:r>
                  <a:rPr lang="en-US" sz="16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5.2966101694915391E-3"/>
              <c:y val="0.2866671332472873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009216"/>
        <c:crosses val="autoZero"/>
        <c:crossBetween val="midCat"/>
        <c:maj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47457627118644208"/>
          <c:y val="0.51666750759685476"/>
          <c:w val="0.15995762711864406"/>
          <c:h val="0.17666695421053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97424892703871"/>
          <c:y val="0.13455149501661129"/>
          <c:w val="0.81652360515021449"/>
          <c:h val="0.70099667774086383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2232.1390000000001</c:v>
              </c:pt>
              <c:pt idx="1">
                <c:v>3158.8829999999998</c:v>
              </c:pt>
              <c:pt idx="2">
                <c:v>5267.3984999999993</c:v>
              </c:pt>
              <c:pt idx="3">
                <c:v>6087.8090000000002</c:v>
              </c:pt>
              <c:pt idx="4">
                <c:v>9193.0929999999753</c:v>
              </c:pt>
              <c:pt idx="5">
                <c:v>26566.084999999999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52A-4419-8ED5-7B9D48C297D4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58</c:v>
              </c:pt>
            </c:numLit>
          </c:xVal>
          <c:yVal>
            <c:numLit>
              <c:formatCode>General</c:formatCode>
              <c:ptCount val="6"/>
              <c:pt idx="0">
                <c:v>5116</c:v>
              </c:pt>
              <c:pt idx="1">
                <c:v>6510</c:v>
              </c:pt>
              <c:pt idx="2">
                <c:v>9040</c:v>
              </c:pt>
              <c:pt idx="3">
                <c:v>13883</c:v>
              </c:pt>
              <c:pt idx="4">
                <c:v>25681</c:v>
              </c:pt>
              <c:pt idx="5">
                <c:v>52930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52A-4419-8ED5-7B9D48C297D4}"/>
            </c:ext>
          </c:extLst>
        </c:ser>
        <c:ser>
          <c:idx val="4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</c:numLit>
          </c:xVal>
          <c:yVal>
            <c:numLit>
              <c:formatCode>General</c:formatCode>
              <c:ptCount val="5"/>
              <c:pt idx="0">
                <c:v>9352</c:v>
              </c:pt>
              <c:pt idx="1">
                <c:v>12290</c:v>
              </c:pt>
              <c:pt idx="2">
                <c:v>16509</c:v>
              </c:pt>
              <c:pt idx="3">
                <c:v>25267</c:v>
              </c:pt>
              <c:pt idx="4">
                <c:v>46868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52A-4419-8ED5-7B9D48C297D4}"/>
            </c:ext>
          </c:extLst>
        </c:ser>
        <c:ser>
          <c:idx val="2"/>
          <c:order val="3"/>
          <c:tx>
            <c:v>P(100m)*(150/100)^2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23.54</c:v>
              </c:pt>
              <c:pt idx="2">
                <c:v>37</c:v>
              </c:pt>
              <c:pt idx="3">
                <c:v>40</c:v>
              </c:pt>
              <c:pt idx="4">
                <c:v>47.08</c:v>
              </c:pt>
              <c:pt idx="5">
                <c:v>58.85</c:v>
              </c:pt>
            </c:numLit>
          </c:xVal>
          <c:yVal>
            <c:numLit>
              <c:formatCode>General</c:formatCode>
              <c:ptCount val="6"/>
              <c:pt idx="0">
                <c:v>5022.3127500000001</c:v>
              </c:pt>
              <c:pt idx="1">
                <c:v>7107.4867499999991</c:v>
              </c:pt>
              <c:pt idx="2">
                <c:v>11851.646624999987</c:v>
              </c:pt>
              <c:pt idx="3">
                <c:v>13697.570250000002</c:v>
              </c:pt>
              <c:pt idx="4">
                <c:v>20684.459249999938</c:v>
              </c:pt>
              <c:pt idx="5">
                <c:v>59773.691249999996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52A-4419-8ED5-7B9D48C297D4}"/>
            </c:ext>
          </c:extLst>
        </c:ser>
        <c:ser>
          <c:idx val="3"/>
          <c:order val="4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Lit>
              <c:formatCode>General</c:formatCode>
              <c:ptCount val="6"/>
              <c:pt idx="0">
                <c:v>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58</c:v>
              </c:pt>
            </c:numLit>
          </c:xVal>
          <c:yVal>
            <c:numLit>
              <c:formatCode>General</c:formatCode>
              <c:ptCount val="6"/>
              <c:pt idx="0">
                <c:v>5116</c:v>
              </c:pt>
              <c:pt idx="1">
                <c:v>6510</c:v>
              </c:pt>
              <c:pt idx="2">
                <c:v>9040</c:v>
              </c:pt>
              <c:pt idx="3">
                <c:v>13883</c:v>
              </c:pt>
              <c:pt idx="4">
                <c:v>25681</c:v>
              </c:pt>
              <c:pt idx="5">
                <c:v>52930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152A-4419-8ED5-7B9D48C29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80000"/>
        <c:axId val="200148096"/>
      </c:scatterChart>
      <c:valAx>
        <c:axId val="200080000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4098712446351929"/>
              <c:y val="0.901993355481727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148096"/>
        <c:crosses val="autoZero"/>
        <c:crossBetween val="midCat"/>
        <c:majorUnit val="10"/>
      </c:valAx>
      <c:valAx>
        <c:axId val="200148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CPC Exit Power, kW </a:t>
                </a:r>
              </a:p>
            </c:rich>
          </c:tx>
          <c:layout>
            <c:manualLayout>
              <c:xMode val="edge"/>
              <c:yMode val="edge"/>
              <c:x val="1.2875536480686695E-2"/>
              <c:y val="0.2990033222591362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0800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2650214592274685"/>
          <c:y val="0.22425249169435221"/>
          <c:w val="0.25751072961373389"/>
          <c:h val="0.179401993355482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142875</xdr:colOff>
      <xdr:row>59</xdr:row>
      <xdr:rowOff>28575</xdr:rowOff>
    </xdr:from>
    <xdr:to>
      <xdr:col>27</xdr:col>
      <xdr:colOff>123825</xdr:colOff>
      <xdr:row>71</xdr:row>
      <xdr:rowOff>104775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00000000-0008-0000-03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209550</xdr:colOff>
      <xdr:row>32</xdr:row>
      <xdr:rowOff>200025</xdr:rowOff>
    </xdr:from>
    <xdr:to>
      <xdr:col>54</xdr:col>
      <xdr:colOff>342900</xdr:colOff>
      <xdr:row>44</xdr:row>
      <xdr:rowOff>19050</xdr:rowOff>
    </xdr:to>
    <xdr:graphicFrame macro="">
      <xdr:nvGraphicFramePr>
        <xdr:cNvPr id="3130" name="Chart 58">
          <a:extLst>
            <a:ext uri="{FF2B5EF4-FFF2-40B4-BE49-F238E27FC236}">
              <a16:creationId xmlns:a16="http://schemas.microsoft.com/office/drawing/2014/main" id="{00000000-0008-0000-0300-00003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352425</xdr:colOff>
      <xdr:row>32</xdr:row>
      <xdr:rowOff>47625</xdr:rowOff>
    </xdr:from>
    <xdr:to>
      <xdr:col>80</xdr:col>
      <xdr:colOff>542925</xdr:colOff>
      <xdr:row>43</xdr:row>
      <xdr:rowOff>171450</xdr:rowOff>
    </xdr:to>
    <xdr:graphicFrame macro="">
      <xdr:nvGraphicFramePr>
        <xdr:cNvPr id="3144" name="Chart 72">
          <a:extLst>
            <a:ext uri="{FF2B5EF4-FFF2-40B4-BE49-F238E27FC236}">
              <a16:creationId xmlns:a16="http://schemas.microsoft.com/office/drawing/2014/main" id="{00000000-0008-0000-03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101</xdr:col>
      <xdr:colOff>723900</xdr:colOff>
      <xdr:row>53</xdr:row>
      <xdr:rowOff>9525</xdr:rowOff>
    </xdr:from>
    <xdr:to>
      <xdr:col>112</xdr:col>
      <xdr:colOff>561975</xdr:colOff>
      <xdr:row>79</xdr:row>
      <xdr:rowOff>152400</xdr:rowOff>
    </xdr:to>
    <xdr:graphicFrame macro="">
      <xdr:nvGraphicFramePr>
        <xdr:cNvPr id="3151" name="Chart 79">
          <a:extLst>
            <a:ext uri="{FF2B5EF4-FFF2-40B4-BE49-F238E27FC236}">
              <a16:creationId xmlns:a16="http://schemas.microsoft.com/office/drawing/2014/main" id="{00000000-0008-0000-0300-00004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152400</xdr:colOff>
      <xdr:row>146</xdr:row>
      <xdr:rowOff>28575</xdr:rowOff>
    </xdr:from>
    <xdr:to>
      <xdr:col>27</xdr:col>
      <xdr:colOff>171450</xdr:colOff>
      <xdr:row>158</xdr:row>
      <xdr:rowOff>104775</xdr:rowOff>
    </xdr:to>
    <xdr:graphicFrame macro="">
      <xdr:nvGraphicFramePr>
        <xdr:cNvPr id="3158" name="Chart 86">
          <a:extLst>
            <a:ext uri="{FF2B5EF4-FFF2-40B4-BE49-F238E27FC236}">
              <a16:creationId xmlns:a16="http://schemas.microsoft.com/office/drawing/2014/main" id="{00000000-0008-0000-0300-00005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142875</xdr:colOff>
      <xdr:row>102</xdr:row>
      <xdr:rowOff>219075</xdr:rowOff>
    </xdr:from>
    <xdr:to>
      <xdr:col>27</xdr:col>
      <xdr:colOff>161925</xdr:colOff>
      <xdr:row>116</xdr:row>
      <xdr:rowOff>104775</xdr:rowOff>
    </xdr:to>
    <xdr:graphicFrame macro="">
      <xdr:nvGraphicFramePr>
        <xdr:cNvPr id="3159" name="Chart 87">
          <a:extLst>
            <a:ext uri="{FF2B5EF4-FFF2-40B4-BE49-F238E27FC236}">
              <a16:creationId xmlns:a16="http://schemas.microsoft.com/office/drawing/2014/main" id="{00000000-0008-0000-0300-00005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123825</xdr:colOff>
      <xdr:row>186</xdr:row>
      <xdr:rowOff>66675</xdr:rowOff>
    </xdr:from>
    <xdr:to>
      <xdr:col>27</xdr:col>
      <xdr:colOff>114300</xdr:colOff>
      <xdr:row>198</xdr:row>
      <xdr:rowOff>104775</xdr:rowOff>
    </xdr:to>
    <xdr:graphicFrame macro="">
      <xdr:nvGraphicFramePr>
        <xdr:cNvPr id="3160" name="Chart 88">
          <a:extLst>
            <a:ext uri="{FF2B5EF4-FFF2-40B4-BE49-F238E27FC236}">
              <a16:creationId xmlns:a16="http://schemas.microsoft.com/office/drawing/2014/main" id="{00000000-0008-0000-0300-00005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95250</xdr:colOff>
      <xdr:row>33</xdr:row>
      <xdr:rowOff>19050</xdr:rowOff>
    </xdr:from>
    <xdr:to>
      <xdr:col>27</xdr:col>
      <xdr:colOff>95250</xdr:colOff>
      <xdr:row>43</xdr:row>
      <xdr:rowOff>133350</xdr:rowOff>
    </xdr:to>
    <xdr:graphicFrame macro="">
      <xdr:nvGraphicFramePr>
        <xdr:cNvPr id="3161" name="Chart 89">
          <a:extLst>
            <a:ext uri="{FF2B5EF4-FFF2-40B4-BE49-F238E27FC236}">
              <a16:creationId xmlns:a16="http://schemas.microsoft.com/office/drawing/2014/main" id="{00000000-0008-0000-0300-00005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95250</xdr:colOff>
      <xdr:row>172</xdr:row>
      <xdr:rowOff>123825</xdr:rowOff>
    </xdr:from>
    <xdr:to>
      <xdr:col>27</xdr:col>
      <xdr:colOff>76200</xdr:colOff>
      <xdr:row>184</xdr:row>
      <xdr:rowOff>152400</xdr:rowOff>
    </xdr:to>
    <xdr:graphicFrame macro="">
      <xdr:nvGraphicFramePr>
        <xdr:cNvPr id="3163" name="Chart 91">
          <a:extLst>
            <a:ext uri="{FF2B5EF4-FFF2-40B4-BE49-F238E27FC236}">
              <a16:creationId xmlns:a16="http://schemas.microsoft.com/office/drawing/2014/main" id="{00000000-0008-0000-0300-00005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142875</xdr:colOff>
      <xdr:row>45</xdr:row>
      <xdr:rowOff>0</xdr:rowOff>
    </xdr:from>
    <xdr:to>
      <xdr:col>27</xdr:col>
      <xdr:colOff>190500</xdr:colOff>
      <xdr:row>57</xdr:row>
      <xdr:rowOff>57150</xdr:rowOff>
    </xdr:to>
    <xdr:graphicFrame macro="">
      <xdr:nvGraphicFramePr>
        <xdr:cNvPr id="3164" name="Chart 92">
          <a:extLst>
            <a:ext uri="{FF2B5EF4-FFF2-40B4-BE49-F238E27FC236}">
              <a16:creationId xmlns:a16="http://schemas.microsoft.com/office/drawing/2014/main" id="{00000000-0008-0000-0300-00005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76200</xdr:colOff>
      <xdr:row>159</xdr:row>
      <xdr:rowOff>76200</xdr:rowOff>
    </xdr:from>
    <xdr:to>
      <xdr:col>27</xdr:col>
      <xdr:colOff>76200</xdr:colOff>
      <xdr:row>171</xdr:row>
      <xdr:rowOff>28575</xdr:rowOff>
    </xdr:to>
    <xdr:graphicFrame macro="">
      <xdr:nvGraphicFramePr>
        <xdr:cNvPr id="3166" name="Chart 94">
          <a:extLst>
            <a:ext uri="{FF2B5EF4-FFF2-40B4-BE49-F238E27FC236}">
              <a16:creationId xmlns:a16="http://schemas.microsoft.com/office/drawing/2014/main" id="{00000000-0008-0000-03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123825</xdr:colOff>
      <xdr:row>73</xdr:row>
      <xdr:rowOff>171450</xdr:rowOff>
    </xdr:from>
    <xdr:to>
      <xdr:col>27</xdr:col>
      <xdr:colOff>171450</xdr:colOff>
      <xdr:row>86</xdr:row>
      <xdr:rowOff>38100</xdr:rowOff>
    </xdr:to>
    <xdr:graphicFrame macro="">
      <xdr:nvGraphicFramePr>
        <xdr:cNvPr id="3167" name="Chart 95">
          <a:extLst>
            <a:ext uri="{FF2B5EF4-FFF2-40B4-BE49-F238E27FC236}">
              <a16:creationId xmlns:a16="http://schemas.microsoft.com/office/drawing/2014/main" id="{00000000-0008-0000-03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142875</xdr:colOff>
      <xdr:row>132</xdr:row>
      <xdr:rowOff>95250</xdr:rowOff>
    </xdr:from>
    <xdr:to>
      <xdr:col>27</xdr:col>
      <xdr:colOff>190500</xdr:colOff>
      <xdr:row>144</xdr:row>
      <xdr:rowOff>152400</xdr:rowOff>
    </xdr:to>
    <xdr:graphicFrame macro="">
      <xdr:nvGraphicFramePr>
        <xdr:cNvPr id="3168" name="Chart 96">
          <a:extLst>
            <a:ext uri="{FF2B5EF4-FFF2-40B4-BE49-F238E27FC236}">
              <a16:creationId xmlns:a16="http://schemas.microsoft.com/office/drawing/2014/main" id="{00000000-0008-0000-0300-000060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142875</xdr:colOff>
      <xdr:row>87</xdr:row>
      <xdr:rowOff>228600</xdr:rowOff>
    </xdr:from>
    <xdr:to>
      <xdr:col>27</xdr:col>
      <xdr:colOff>190500</xdr:colOff>
      <xdr:row>100</xdr:row>
      <xdr:rowOff>95250</xdr:rowOff>
    </xdr:to>
    <xdr:graphicFrame macro="">
      <xdr:nvGraphicFramePr>
        <xdr:cNvPr id="3170" name="Chart 98">
          <a:extLst>
            <a:ext uri="{FF2B5EF4-FFF2-40B4-BE49-F238E27FC236}">
              <a16:creationId xmlns:a16="http://schemas.microsoft.com/office/drawing/2014/main" id="{00000000-0008-0000-0300-00006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142875</xdr:colOff>
      <xdr:row>117</xdr:row>
      <xdr:rowOff>228600</xdr:rowOff>
    </xdr:from>
    <xdr:to>
      <xdr:col>27</xdr:col>
      <xdr:colOff>190500</xdr:colOff>
      <xdr:row>130</xdr:row>
      <xdr:rowOff>95250</xdr:rowOff>
    </xdr:to>
    <xdr:graphicFrame macro="">
      <xdr:nvGraphicFramePr>
        <xdr:cNvPr id="3171" name="Chart 99">
          <a:extLst>
            <a:ext uri="{FF2B5EF4-FFF2-40B4-BE49-F238E27FC236}">
              <a16:creationId xmlns:a16="http://schemas.microsoft.com/office/drawing/2014/main" id="{00000000-0008-0000-0300-00006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48</xdr:col>
      <xdr:colOff>219075</xdr:colOff>
      <xdr:row>44</xdr:row>
      <xdr:rowOff>95250</xdr:rowOff>
    </xdr:from>
    <xdr:to>
      <xdr:col>54</xdr:col>
      <xdr:colOff>390525</xdr:colOff>
      <xdr:row>56</xdr:row>
      <xdr:rowOff>123825</xdr:rowOff>
    </xdr:to>
    <xdr:graphicFrame macro="">
      <xdr:nvGraphicFramePr>
        <xdr:cNvPr id="3173" name="Chart 101">
          <a:extLst>
            <a:ext uri="{FF2B5EF4-FFF2-40B4-BE49-F238E27FC236}">
              <a16:creationId xmlns:a16="http://schemas.microsoft.com/office/drawing/2014/main" id="{00000000-0008-0000-0300-00006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161925</xdr:colOff>
      <xdr:row>59</xdr:row>
      <xdr:rowOff>123825</xdr:rowOff>
    </xdr:from>
    <xdr:to>
      <xdr:col>54</xdr:col>
      <xdr:colOff>323850</xdr:colOff>
      <xdr:row>71</xdr:row>
      <xdr:rowOff>95250</xdr:rowOff>
    </xdr:to>
    <xdr:graphicFrame macro="">
      <xdr:nvGraphicFramePr>
        <xdr:cNvPr id="3174" name="Chart 102">
          <a:extLst>
            <a:ext uri="{FF2B5EF4-FFF2-40B4-BE49-F238E27FC236}">
              <a16:creationId xmlns:a16="http://schemas.microsoft.com/office/drawing/2014/main" id="{00000000-0008-0000-0300-00006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161925</xdr:colOff>
      <xdr:row>73</xdr:row>
      <xdr:rowOff>171450</xdr:rowOff>
    </xdr:from>
    <xdr:to>
      <xdr:col>54</xdr:col>
      <xdr:colOff>323850</xdr:colOff>
      <xdr:row>86</xdr:row>
      <xdr:rowOff>57150</xdr:rowOff>
    </xdr:to>
    <xdr:graphicFrame macro="">
      <xdr:nvGraphicFramePr>
        <xdr:cNvPr id="3175" name="Chart 103">
          <a:extLst>
            <a:ext uri="{FF2B5EF4-FFF2-40B4-BE49-F238E27FC236}">
              <a16:creationId xmlns:a16="http://schemas.microsoft.com/office/drawing/2014/main" id="{00000000-0008-0000-0300-00006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48</xdr:col>
      <xdr:colOff>123825</xdr:colOff>
      <xdr:row>87</xdr:row>
      <xdr:rowOff>295275</xdr:rowOff>
    </xdr:from>
    <xdr:to>
      <xdr:col>54</xdr:col>
      <xdr:colOff>295275</xdr:colOff>
      <xdr:row>100</xdr:row>
      <xdr:rowOff>171450</xdr:rowOff>
    </xdr:to>
    <xdr:graphicFrame macro="">
      <xdr:nvGraphicFramePr>
        <xdr:cNvPr id="3176" name="Chart 104">
          <a:extLst>
            <a:ext uri="{FF2B5EF4-FFF2-40B4-BE49-F238E27FC236}">
              <a16:creationId xmlns:a16="http://schemas.microsoft.com/office/drawing/2014/main" id="{00000000-0008-0000-0300-00006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142875</xdr:colOff>
      <xdr:row>102</xdr:row>
      <xdr:rowOff>295275</xdr:rowOff>
    </xdr:from>
    <xdr:to>
      <xdr:col>54</xdr:col>
      <xdr:colOff>314325</xdr:colOff>
      <xdr:row>115</xdr:row>
      <xdr:rowOff>104775</xdr:rowOff>
    </xdr:to>
    <xdr:graphicFrame macro="">
      <xdr:nvGraphicFramePr>
        <xdr:cNvPr id="3177" name="Chart 105">
          <a:extLst>
            <a:ext uri="{FF2B5EF4-FFF2-40B4-BE49-F238E27FC236}">
              <a16:creationId xmlns:a16="http://schemas.microsoft.com/office/drawing/2014/main" id="{00000000-0008-0000-0300-00006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48</xdr:col>
      <xdr:colOff>285750</xdr:colOff>
      <xdr:row>117</xdr:row>
      <xdr:rowOff>523875</xdr:rowOff>
    </xdr:from>
    <xdr:to>
      <xdr:col>54</xdr:col>
      <xdr:colOff>457200</xdr:colOff>
      <xdr:row>130</xdr:row>
      <xdr:rowOff>57150</xdr:rowOff>
    </xdr:to>
    <xdr:graphicFrame macro="">
      <xdr:nvGraphicFramePr>
        <xdr:cNvPr id="3178" name="Chart 106">
          <a:extLst>
            <a:ext uri="{FF2B5EF4-FFF2-40B4-BE49-F238E27FC236}">
              <a16:creationId xmlns:a16="http://schemas.microsoft.com/office/drawing/2014/main" id="{00000000-0008-0000-0300-00006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48</xdr:col>
      <xdr:colOff>314325</xdr:colOff>
      <xdr:row>132</xdr:row>
      <xdr:rowOff>19050</xdr:rowOff>
    </xdr:from>
    <xdr:to>
      <xdr:col>54</xdr:col>
      <xdr:colOff>485775</xdr:colOff>
      <xdr:row>144</xdr:row>
      <xdr:rowOff>123825</xdr:rowOff>
    </xdr:to>
    <xdr:graphicFrame macro="">
      <xdr:nvGraphicFramePr>
        <xdr:cNvPr id="3179" name="Chart 107">
          <a:extLst>
            <a:ext uri="{FF2B5EF4-FFF2-40B4-BE49-F238E27FC236}">
              <a16:creationId xmlns:a16="http://schemas.microsoft.com/office/drawing/2014/main" id="{00000000-0008-0000-0300-00006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314325</xdr:colOff>
      <xdr:row>146</xdr:row>
      <xdr:rowOff>0</xdr:rowOff>
    </xdr:from>
    <xdr:to>
      <xdr:col>54</xdr:col>
      <xdr:colOff>485775</xdr:colOff>
      <xdr:row>158</xdr:row>
      <xdr:rowOff>95250</xdr:rowOff>
    </xdr:to>
    <xdr:graphicFrame macro="">
      <xdr:nvGraphicFramePr>
        <xdr:cNvPr id="3180" name="Chart 108">
          <a:extLst>
            <a:ext uri="{FF2B5EF4-FFF2-40B4-BE49-F238E27FC236}">
              <a16:creationId xmlns:a16="http://schemas.microsoft.com/office/drawing/2014/main" id="{00000000-0008-0000-0300-00006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48</xdr:col>
      <xdr:colOff>285750</xdr:colOff>
      <xdr:row>159</xdr:row>
      <xdr:rowOff>47625</xdr:rowOff>
    </xdr:from>
    <xdr:to>
      <xdr:col>54</xdr:col>
      <xdr:colOff>457200</xdr:colOff>
      <xdr:row>171</xdr:row>
      <xdr:rowOff>152400</xdr:rowOff>
    </xdr:to>
    <xdr:graphicFrame macro="">
      <xdr:nvGraphicFramePr>
        <xdr:cNvPr id="3181" name="Chart 109">
          <a:extLst>
            <a:ext uri="{FF2B5EF4-FFF2-40B4-BE49-F238E27FC236}">
              <a16:creationId xmlns:a16="http://schemas.microsoft.com/office/drawing/2014/main" id="{00000000-0008-0000-0300-00006D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48</xdr:col>
      <xdr:colOff>266700</xdr:colOff>
      <xdr:row>172</xdr:row>
      <xdr:rowOff>28575</xdr:rowOff>
    </xdr:from>
    <xdr:to>
      <xdr:col>54</xdr:col>
      <xdr:colOff>438150</xdr:colOff>
      <xdr:row>184</xdr:row>
      <xdr:rowOff>133350</xdr:rowOff>
    </xdr:to>
    <xdr:graphicFrame macro="">
      <xdr:nvGraphicFramePr>
        <xdr:cNvPr id="3182" name="Chart 110">
          <a:extLst>
            <a:ext uri="{FF2B5EF4-FFF2-40B4-BE49-F238E27FC236}">
              <a16:creationId xmlns:a16="http://schemas.microsoft.com/office/drawing/2014/main" id="{00000000-0008-0000-0300-00006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48</xdr:col>
      <xdr:colOff>304800</xdr:colOff>
      <xdr:row>185</xdr:row>
      <xdr:rowOff>28575</xdr:rowOff>
    </xdr:from>
    <xdr:to>
      <xdr:col>54</xdr:col>
      <xdr:colOff>466725</xdr:colOff>
      <xdr:row>197</xdr:row>
      <xdr:rowOff>133350</xdr:rowOff>
    </xdr:to>
    <xdr:graphicFrame macro="">
      <xdr:nvGraphicFramePr>
        <xdr:cNvPr id="3183" name="Chart 111">
          <a:extLst>
            <a:ext uri="{FF2B5EF4-FFF2-40B4-BE49-F238E27FC236}">
              <a16:creationId xmlns:a16="http://schemas.microsoft.com/office/drawing/2014/main" id="{00000000-0008-0000-0300-00006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75</xdr:col>
      <xdr:colOff>409575</xdr:colOff>
      <xdr:row>44</xdr:row>
      <xdr:rowOff>57150</xdr:rowOff>
    </xdr:from>
    <xdr:to>
      <xdr:col>80</xdr:col>
      <xdr:colOff>600075</xdr:colOff>
      <xdr:row>56</xdr:row>
      <xdr:rowOff>9525</xdr:rowOff>
    </xdr:to>
    <xdr:graphicFrame macro="">
      <xdr:nvGraphicFramePr>
        <xdr:cNvPr id="3185" name="Chart 113">
          <a:extLst>
            <a:ext uri="{FF2B5EF4-FFF2-40B4-BE49-F238E27FC236}">
              <a16:creationId xmlns:a16="http://schemas.microsoft.com/office/drawing/2014/main" id="{00000000-0008-0000-0300-00007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314325</xdr:colOff>
      <xdr:row>59</xdr:row>
      <xdr:rowOff>190500</xdr:rowOff>
    </xdr:from>
    <xdr:to>
      <xdr:col>80</xdr:col>
      <xdr:colOff>504825</xdr:colOff>
      <xdr:row>71</xdr:row>
      <xdr:rowOff>76200</xdr:rowOff>
    </xdr:to>
    <xdr:graphicFrame macro="">
      <xdr:nvGraphicFramePr>
        <xdr:cNvPr id="3186" name="Chart 114">
          <a:extLst>
            <a:ext uri="{FF2B5EF4-FFF2-40B4-BE49-F238E27FC236}">
              <a16:creationId xmlns:a16="http://schemas.microsoft.com/office/drawing/2014/main" id="{00000000-0008-0000-0300-00007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75</xdr:col>
      <xdr:colOff>400050</xdr:colOff>
      <xdr:row>74</xdr:row>
      <xdr:rowOff>142875</xdr:rowOff>
    </xdr:from>
    <xdr:to>
      <xdr:col>80</xdr:col>
      <xdr:colOff>590550</xdr:colOff>
      <xdr:row>86</xdr:row>
      <xdr:rowOff>133350</xdr:rowOff>
    </xdr:to>
    <xdr:graphicFrame macro="">
      <xdr:nvGraphicFramePr>
        <xdr:cNvPr id="3187" name="Chart 115">
          <a:extLst>
            <a:ext uri="{FF2B5EF4-FFF2-40B4-BE49-F238E27FC236}">
              <a16:creationId xmlns:a16="http://schemas.microsoft.com/office/drawing/2014/main" id="{00000000-0008-0000-0300-00007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75</xdr:col>
      <xdr:colOff>361950</xdr:colOff>
      <xdr:row>87</xdr:row>
      <xdr:rowOff>342900</xdr:rowOff>
    </xdr:from>
    <xdr:to>
      <xdr:col>80</xdr:col>
      <xdr:colOff>552450</xdr:colOff>
      <xdr:row>100</xdr:row>
      <xdr:rowOff>133350</xdr:rowOff>
    </xdr:to>
    <xdr:graphicFrame macro="">
      <xdr:nvGraphicFramePr>
        <xdr:cNvPr id="3188" name="Chart 116">
          <a:extLst>
            <a:ext uri="{FF2B5EF4-FFF2-40B4-BE49-F238E27FC236}">
              <a16:creationId xmlns:a16="http://schemas.microsoft.com/office/drawing/2014/main" id="{00000000-0008-0000-0300-00007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75</xdr:col>
      <xdr:colOff>219075</xdr:colOff>
      <xdr:row>102</xdr:row>
      <xdr:rowOff>323850</xdr:rowOff>
    </xdr:from>
    <xdr:to>
      <xdr:col>80</xdr:col>
      <xdr:colOff>409575</xdr:colOff>
      <xdr:row>115</xdr:row>
      <xdr:rowOff>57150</xdr:rowOff>
    </xdr:to>
    <xdr:graphicFrame macro="">
      <xdr:nvGraphicFramePr>
        <xdr:cNvPr id="3189" name="Chart 117">
          <a:extLst>
            <a:ext uri="{FF2B5EF4-FFF2-40B4-BE49-F238E27FC236}">
              <a16:creationId xmlns:a16="http://schemas.microsoft.com/office/drawing/2014/main" id="{00000000-0008-0000-0300-00007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75</xdr:col>
      <xdr:colOff>219075</xdr:colOff>
      <xdr:row>117</xdr:row>
      <xdr:rowOff>342900</xdr:rowOff>
    </xdr:from>
    <xdr:to>
      <xdr:col>80</xdr:col>
      <xdr:colOff>409575</xdr:colOff>
      <xdr:row>130</xdr:row>
      <xdr:rowOff>171450</xdr:rowOff>
    </xdr:to>
    <xdr:graphicFrame macro="">
      <xdr:nvGraphicFramePr>
        <xdr:cNvPr id="3190" name="Chart 118">
          <a:extLst>
            <a:ext uri="{FF2B5EF4-FFF2-40B4-BE49-F238E27FC236}">
              <a16:creationId xmlns:a16="http://schemas.microsoft.com/office/drawing/2014/main" id="{00000000-0008-0000-0300-00007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75</xdr:col>
      <xdr:colOff>266700</xdr:colOff>
      <xdr:row>132</xdr:row>
      <xdr:rowOff>95250</xdr:rowOff>
    </xdr:from>
    <xdr:to>
      <xdr:col>80</xdr:col>
      <xdr:colOff>457200</xdr:colOff>
      <xdr:row>144</xdr:row>
      <xdr:rowOff>114300</xdr:rowOff>
    </xdr:to>
    <xdr:graphicFrame macro="">
      <xdr:nvGraphicFramePr>
        <xdr:cNvPr id="3191" name="Chart 119">
          <a:extLst>
            <a:ext uri="{FF2B5EF4-FFF2-40B4-BE49-F238E27FC236}">
              <a16:creationId xmlns:a16="http://schemas.microsoft.com/office/drawing/2014/main" id="{00000000-0008-0000-0300-00007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75</xdr:col>
      <xdr:colOff>304800</xdr:colOff>
      <xdr:row>146</xdr:row>
      <xdr:rowOff>19050</xdr:rowOff>
    </xdr:from>
    <xdr:to>
      <xdr:col>80</xdr:col>
      <xdr:colOff>495300</xdr:colOff>
      <xdr:row>158</xdr:row>
      <xdr:rowOff>28575</xdr:rowOff>
    </xdr:to>
    <xdr:graphicFrame macro="">
      <xdr:nvGraphicFramePr>
        <xdr:cNvPr id="3192" name="Chart 120">
          <a:extLst>
            <a:ext uri="{FF2B5EF4-FFF2-40B4-BE49-F238E27FC236}">
              <a16:creationId xmlns:a16="http://schemas.microsoft.com/office/drawing/2014/main" id="{00000000-0008-0000-0300-00007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75</xdr:col>
      <xdr:colOff>352425</xdr:colOff>
      <xdr:row>159</xdr:row>
      <xdr:rowOff>28575</xdr:rowOff>
    </xdr:from>
    <xdr:to>
      <xdr:col>80</xdr:col>
      <xdr:colOff>542925</xdr:colOff>
      <xdr:row>171</xdr:row>
      <xdr:rowOff>57150</xdr:rowOff>
    </xdr:to>
    <xdr:graphicFrame macro="">
      <xdr:nvGraphicFramePr>
        <xdr:cNvPr id="3193" name="Chart 121">
          <a:extLst>
            <a:ext uri="{FF2B5EF4-FFF2-40B4-BE49-F238E27FC236}">
              <a16:creationId xmlns:a16="http://schemas.microsoft.com/office/drawing/2014/main" id="{00000000-0008-0000-0300-00007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75</xdr:col>
      <xdr:colOff>333375</xdr:colOff>
      <xdr:row>172</xdr:row>
      <xdr:rowOff>28575</xdr:rowOff>
    </xdr:from>
    <xdr:to>
      <xdr:col>80</xdr:col>
      <xdr:colOff>523875</xdr:colOff>
      <xdr:row>184</xdr:row>
      <xdr:rowOff>57150</xdr:rowOff>
    </xdr:to>
    <xdr:graphicFrame macro="">
      <xdr:nvGraphicFramePr>
        <xdr:cNvPr id="3194" name="Chart 122">
          <a:extLst>
            <a:ext uri="{FF2B5EF4-FFF2-40B4-BE49-F238E27FC236}">
              <a16:creationId xmlns:a16="http://schemas.microsoft.com/office/drawing/2014/main" id="{00000000-0008-0000-0300-00007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75</xdr:col>
      <xdr:colOff>314325</xdr:colOff>
      <xdr:row>185</xdr:row>
      <xdr:rowOff>19050</xdr:rowOff>
    </xdr:from>
    <xdr:to>
      <xdr:col>80</xdr:col>
      <xdr:colOff>504825</xdr:colOff>
      <xdr:row>197</xdr:row>
      <xdr:rowOff>38100</xdr:rowOff>
    </xdr:to>
    <xdr:graphicFrame macro="">
      <xdr:nvGraphicFramePr>
        <xdr:cNvPr id="3195" name="Chart 123">
          <a:extLst>
            <a:ext uri="{FF2B5EF4-FFF2-40B4-BE49-F238E27FC236}">
              <a16:creationId xmlns:a16="http://schemas.microsoft.com/office/drawing/2014/main" id="{00000000-0008-0000-0300-00007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549275</xdr:colOff>
      <xdr:row>87</xdr:row>
      <xdr:rowOff>22225</xdr:rowOff>
    </xdr:from>
    <xdr:to>
      <xdr:col>27</xdr:col>
      <xdr:colOff>101600</xdr:colOff>
      <xdr:row>117</xdr:row>
      <xdr:rowOff>41275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498475</xdr:colOff>
      <xdr:row>24</xdr:row>
      <xdr:rowOff>190500</xdr:rowOff>
    </xdr:from>
    <xdr:to>
      <xdr:col>31</xdr:col>
      <xdr:colOff>746125</xdr:colOff>
      <xdr:row>42</xdr:row>
      <xdr:rowOff>28575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473075</xdr:colOff>
      <xdr:row>24</xdr:row>
      <xdr:rowOff>101600</xdr:rowOff>
    </xdr:from>
    <xdr:to>
      <xdr:col>39</xdr:col>
      <xdr:colOff>730250</xdr:colOff>
      <xdr:row>41</xdr:row>
      <xdr:rowOff>130175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447675</xdr:colOff>
      <xdr:row>3</xdr:row>
      <xdr:rowOff>117475</xdr:rowOff>
    </xdr:from>
    <xdr:to>
      <xdr:col>36</xdr:col>
      <xdr:colOff>180975</xdr:colOff>
      <xdr:row>22</xdr:row>
      <xdr:rowOff>161925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485775</xdr:colOff>
      <xdr:row>87</xdr:row>
      <xdr:rowOff>152400</xdr:rowOff>
    </xdr:from>
    <xdr:to>
      <xdr:col>10</xdr:col>
      <xdr:colOff>800100</xdr:colOff>
      <xdr:row>117</xdr:row>
      <xdr:rowOff>114300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866775</xdr:colOff>
      <xdr:row>88</xdr:row>
      <xdr:rowOff>0</xdr:rowOff>
    </xdr:from>
    <xdr:to>
      <xdr:col>20</xdr:col>
      <xdr:colOff>133350</xdr:colOff>
      <xdr:row>118</xdr:row>
      <xdr:rowOff>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295275</xdr:colOff>
      <xdr:row>88</xdr:row>
      <xdr:rowOff>73025</xdr:rowOff>
    </xdr:from>
    <xdr:to>
      <xdr:col>40</xdr:col>
      <xdr:colOff>28575</xdr:colOff>
      <xdr:row>118</xdr:row>
      <xdr:rowOff>92075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0.22919</cdr:x>
      <cdr:y>0.49951</cdr:y>
    </cdr:from>
    <cdr:to>
      <cdr:x>0.44225</cdr:x>
      <cdr:y>0.54888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4635" y="2120416"/>
          <a:ext cx="1191242" cy="209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Design Point</a:t>
          </a:r>
        </a:p>
      </cdr:txBody>
    </cdr:sp>
  </cdr:relSizeAnchor>
  <cdr:relSizeAnchor xmlns:cdr="http://schemas.openxmlformats.org/drawingml/2006/chartDrawing">
    <cdr:from>
      <cdr:x>0.64302</cdr:x>
      <cdr:y>0.75318</cdr:y>
    </cdr:from>
    <cdr:to>
      <cdr:x>0.86787</cdr:x>
      <cdr:y>0.80254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98420" y="3195622"/>
          <a:ext cx="1257192" cy="209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Previous Design Point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0.2282</cdr:x>
      <cdr:y>0.32111</cdr:y>
    </cdr:from>
    <cdr:to>
      <cdr:x>0.44077</cdr:x>
      <cdr:y>0.37048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1268" y="1364250"/>
          <a:ext cx="1190554" cy="209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 Design Point</a:t>
          </a:r>
        </a:p>
      </cdr:txBody>
    </cdr:sp>
  </cdr:relSizeAnchor>
  <cdr:relSizeAnchor xmlns:cdr="http://schemas.openxmlformats.org/drawingml/2006/chartDrawing">
    <cdr:from>
      <cdr:x>0.61845</cdr:x>
      <cdr:y>0.2043</cdr:y>
    </cdr:from>
    <cdr:to>
      <cdr:x>0.84282</cdr:x>
      <cdr:y>0.25366</cdr:y>
    </cdr:to>
    <cdr:sp macro="" textlink="">
      <cdr:nvSpPr>
        <cdr:cNvPr id="614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66932" y="869117"/>
          <a:ext cx="1256619" cy="209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Previous Design Point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ewando/Desktop/Solar%20Systems/Analysis/Heliostat%20Geometry-Old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"/>
      <sheetName val="Soltrace Field"/>
      <sheetName val="Secondary"/>
      <sheetName val="Layout"/>
      <sheetName val="Soltrace Layout"/>
      <sheetName val="Solar"/>
      <sheetName val="Spherical Optic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19" zoomScaleNormal="100" workbookViewId="0">
      <selection activeCell="H25" sqref="H25"/>
    </sheetView>
  </sheetViews>
  <sheetFormatPr defaultRowHeight="15.6"/>
  <cols>
    <col min="5" max="5" width="10" bestFit="1" customWidth="1"/>
    <col min="8" max="8" width="21.5546875" customWidth="1"/>
  </cols>
  <sheetData>
    <row r="1" spans="1:20">
      <c r="A1" s="58" t="s">
        <v>0</v>
      </c>
    </row>
    <row r="2" spans="1:20">
      <c r="A2" s="58"/>
      <c r="B2" s="131" t="s">
        <v>1</v>
      </c>
    </row>
    <row r="3" spans="1:20">
      <c r="A3" s="58"/>
      <c r="C3" s="110" t="s">
        <v>2</v>
      </c>
    </row>
    <row r="4" spans="1:20">
      <c r="A4" s="58"/>
      <c r="C4" s="110" t="s">
        <v>3</v>
      </c>
    </row>
    <row r="5" spans="1:20">
      <c r="A5" s="58"/>
      <c r="C5" s="110" t="s">
        <v>4</v>
      </c>
    </row>
    <row r="6" spans="1:20">
      <c r="A6" s="58"/>
      <c r="C6" s="110" t="s">
        <v>5</v>
      </c>
    </row>
    <row r="7" spans="1:20">
      <c r="A7" s="58"/>
      <c r="C7" s="110" t="s">
        <v>6</v>
      </c>
    </row>
    <row r="8" spans="1:20">
      <c r="A8" s="58"/>
    </row>
    <row r="9" spans="1:20">
      <c r="A9" s="58"/>
      <c r="C9" s="110"/>
      <c r="D9" s="131" t="s">
        <v>7</v>
      </c>
      <c r="E9" s="112">
        <v>217000</v>
      </c>
      <c r="F9" s="110" t="s">
        <v>8</v>
      </c>
    </row>
    <row r="10" spans="1:20" ht="18">
      <c r="A10" s="58"/>
      <c r="C10" s="110"/>
      <c r="D10" s="131" t="s">
        <v>9</v>
      </c>
      <c r="E10" s="112">
        <f>8*365</f>
        <v>2920</v>
      </c>
      <c r="F10" s="110" t="s">
        <v>10</v>
      </c>
      <c r="Q10" s="67"/>
      <c r="R10" s="114" t="s">
        <v>11</v>
      </c>
      <c r="S10" s="114"/>
      <c r="T10" s="36"/>
    </row>
    <row r="11" spans="1:20" ht="20.100000000000001">
      <c r="I11" s="146" t="s">
        <v>12</v>
      </c>
      <c r="J11" s="146"/>
      <c r="L11" s="58" t="s">
        <v>13</v>
      </c>
      <c r="M11" s="58"/>
      <c r="N11" s="58"/>
      <c r="O11" s="58"/>
      <c r="Q11" s="67"/>
      <c r="R11" s="136" t="s">
        <v>14</v>
      </c>
      <c r="S11" s="136" t="s">
        <v>15</v>
      </c>
      <c r="T11" s="136" t="s">
        <v>16</v>
      </c>
    </row>
    <row r="12" spans="1:20">
      <c r="D12" s="3" t="s">
        <v>17</v>
      </c>
      <c r="E12" s="137">
        <f>E9*E10/1000000</f>
        <v>633.64</v>
      </c>
      <c r="F12" t="s">
        <v>18</v>
      </c>
      <c r="H12" s="131" t="s">
        <v>19</v>
      </c>
      <c r="I12" s="5">
        <f>'Ann Perf at Site'!O69</f>
        <v>610.545881650007</v>
      </c>
      <c r="J12" t="s">
        <v>20</v>
      </c>
      <c r="M12" s="131" t="s">
        <v>21</v>
      </c>
      <c r="N12" s="5">
        <f>'Ann Perf at Site'!O65*IF(E10&gt;'Ann Perf at Site'!O24,1,0)</f>
        <v>0</v>
      </c>
      <c r="O12" t="s">
        <v>20</v>
      </c>
      <c r="P12" s="58"/>
      <c r="Q12" s="37" t="s">
        <v>22</v>
      </c>
      <c r="R12" s="4">
        <f>'Annual Performance Details'!M14</f>
        <v>0.6649627560521415</v>
      </c>
      <c r="S12" s="4">
        <f>'Annual Performance Details'!N14</f>
        <v>0.94658306094944467</v>
      </c>
      <c r="T12" s="4">
        <f>'Annual Performance Details'!O14</f>
        <v>0.62944248104121492</v>
      </c>
    </row>
    <row r="13" spans="1:20">
      <c r="D13" s="131" t="s">
        <v>23</v>
      </c>
      <c r="E13" s="132">
        <v>1</v>
      </c>
      <c r="G13" s="111"/>
      <c r="H13" s="131" t="s">
        <v>24</v>
      </c>
      <c r="I13" s="5">
        <f>'Ann Perf at Site'!O57</f>
        <v>23.225954161529501</v>
      </c>
      <c r="J13" t="s">
        <v>20</v>
      </c>
      <c r="M13" s="131" t="s">
        <v>25</v>
      </c>
      <c r="N13" s="5">
        <f>'Ann Perf at Site'!O66*IF(E10&gt;'Ann Perf at Site'!O24,1,0)</f>
        <v>0</v>
      </c>
      <c r="O13" t="s">
        <v>20</v>
      </c>
      <c r="Q13" s="37" t="s">
        <v>26</v>
      </c>
      <c r="R13" s="4">
        <f>'Annual Performance Details'!M16</f>
        <v>0.54625225500465546</v>
      </c>
      <c r="S13" s="4">
        <f>'Annual Performance Details'!N16</f>
        <v>0.92652887898085046</v>
      </c>
      <c r="T13" s="4">
        <f>'Annual Performance Details'!O16</f>
        <v>0.50611848947022509</v>
      </c>
    </row>
    <row r="14" spans="1:20">
      <c r="D14" s="131" t="s">
        <v>27</v>
      </c>
      <c r="E14" s="137">
        <f>E12*E13</f>
        <v>633.64</v>
      </c>
      <c r="F14" t="s">
        <v>18</v>
      </c>
      <c r="G14" s="111"/>
      <c r="H14" s="110"/>
    </row>
    <row r="15" spans="1:20">
      <c r="H15" s="131" t="s">
        <v>28</v>
      </c>
      <c r="I15" s="5">
        <f>SUM(I12,N12:N13)</f>
        <v>610.545881650007</v>
      </c>
      <c r="J15" s="110" t="s">
        <v>29</v>
      </c>
    </row>
    <row r="16" spans="1:20" ht="18.600000000000001">
      <c r="D16" s="3" t="s">
        <v>30</v>
      </c>
      <c r="E16" s="7">
        <v>2787.1391612903226</v>
      </c>
      <c r="F16" t="s">
        <v>31</v>
      </c>
      <c r="H16" s="131" t="s">
        <v>32</v>
      </c>
      <c r="I16" s="40">
        <f>I12/I15</f>
        <v>1</v>
      </c>
      <c r="J16" s="58"/>
    </row>
    <row r="17" spans="4:12">
      <c r="D17" s="131" t="s">
        <v>33</v>
      </c>
      <c r="E17" s="2">
        <v>4870</v>
      </c>
      <c r="F17" s="110" t="s">
        <v>10</v>
      </c>
    </row>
    <row r="18" spans="4:12" ht="28.5" customHeight="1">
      <c r="D18" s="131"/>
      <c r="H18" s="138" t="s">
        <v>34</v>
      </c>
    </row>
    <row r="19" spans="4:12" ht="18.600000000000001">
      <c r="D19" s="3" t="s">
        <v>35</v>
      </c>
      <c r="E19" s="14">
        <v>1350</v>
      </c>
      <c r="F19" s="72" t="s">
        <v>36</v>
      </c>
      <c r="H19" s="2">
        <f>'Ann Perf at Site'!O24</f>
        <v>3897</v>
      </c>
    </row>
    <row r="20" spans="4:12">
      <c r="D20" s="131" t="s">
        <v>37</v>
      </c>
      <c r="E20" s="73">
        <f>'Design Point Performance'!C42</f>
        <v>0.49597073791868707</v>
      </c>
    </row>
    <row r="22" spans="4:12" ht="18.600000000000001">
      <c r="D22" s="3" t="s">
        <v>38</v>
      </c>
      <c r="E22" s="27">
        <f>E14*10^6/(E16*E20)</f>
        <v>458382.34048328461</v>
      </c>
      <c r="F22" t="s">
        <v>39</v>
      </c>
      <c r="G22">
        <f>E22*3</f>
        <v>1375147.0214498539</v>
      </c>
      <c r="H22" t="s">
        <v>40</v>
      </c>
    </row>
    <row r="23" spans="4:12">
      <c r="G23">
        <f>G22/4046.86</f>
        <v>339.80592890533745</v>
      </c>
      <c r="H23" t="s">
        <v>41</v>
      </c>
    </row>
    <row r="24" spans="4:12" ht="18.600000000000001">
      <c r="D24" s="3" t="s">
        <v>42</v>
      </c>
      <c r="E24" s="27">
        <f>'Design Point Performance'!I33</f>
        <v>91695.542400000006</v>
      </c>
      <c r="F24" t="s">
        <v>39</v>
      </c>
      <c r="G24">
        <f>1000*G23</f>
        <v>339805.92890533747</v>
      </c>
      <c r="H24" t="s">
        <v>43</v>
      </c>
    </row>
    <row r="25" spans="4:12" ht="15.75" customHeight="1">
      <c r="G25" s="135"/>
      <c r="H25" s="135"/>
      <c r="I25" s="135"/>
      <c r="J25" s="135"/>
      <c r="K25" s="135"/>
      <c r="L25" s="135"/>
    </row>
    <row r="26" spans="4:12">
      <c r="D26" s="3" t="s">
        <v>44</v>
      </c>
      <c r="E26" s="14">
        <v>184.8</v>
      </c>
      <c r="F26" t="s">
        <v>45</v>
      </c>
      <c r="G26" t="s">
        <v>46</v>
      </c>
      <c r="K26" s="135"/>
      <c r="L26" s="135"/>
    </row>
    <row r="28" spans="4:12">
      <c r="D28" s="3" t="s">
        <v>47</v>
      </c>
      <c r="E28" s="112">
        <v>5</v>
      </c>
    </row>
    <row r="30" spans="4:12" ht="18.600000000000001">
      <c r="D30" s="3" t="s">
        <v>48</v>
      </c>
      <c r="E30" s="27">
        <f>E24*E28</f>
        <v>458477.71200000006</v>
      </c>
      <c r="F30" t="s">
        <v>39</v>
      </c>
    </row>
    <row r="31" spans="4:12" ht="15.95" thickBot="1"/>
    <row r="32" spans="4:12" ht="15.95" thickBot="1">
      <c r="D32" s="131" t="s">
        <v>49</v>
      </c>
      <c r="E32" s="26">
        <f>E30*E16*E20/10^6</f>
        <v>633.77183581153633</v>
      </c>
      <c r="F32" t="s">
        <v>18</v>
      </c>
      <c r="G32" s="141" t="str">
        <f>IF(E32&lt;=0.99*E14,"Increase tower height or number of towers",IF(E32&gt;1.01*E14,"Decrease tower height or number of towers","Within 1% of target Annual Energy from Solar"))</f>
        <v>Within 1% of target Annual Energy from Solar</v>
      </c>
      <c r="H32" s="140"/>
      <c r="I32" s="139"/>
      <c r="K32" s="110"/>
    </row>
    <row r="34" spans="5:5">
      <c r="E34">
        <f>0.01*E35+E35</f>
        <v>639.97640000000001</v>
      </c>
    </row>
    <row r="35" spans="5:5">
      <c r="E35" s="142">
        <f>E12</f>
        <v>633.64</v>
      </c>
    </row>
    <row r="36" spans="5:5">
      <c r="E36" s="42">
        <f>-0.01*E35+E35</f>
        <v>627.30359999999996</v>
      </c>
    </row>
  </sheetData>
  <mergeCells count="1">
    <mergeCell ref="I11:J11"/>
  </mergeCells>
  <phoneticPr fontId="5" type="noConversion"/>
  <pageMargins left="0.75" right="0.75" top="1" bottom="1" header="0.5" footer="0.5"/>
  <pageSetup paperSize="9" scale="67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Q48"/>
  <sheetViews>
    <sheetView topLeftCell="A10" zoomScale="75" workbookViewId="0">
      <selection activeCell="C42" sqref="C42"/>
    </sheetView>
  </sheetViews>
  <sheetFormatPr defaultRowHeight="15.6"/>
  <cols>
    <col min="2" max="2" width="18.44140625" customWidth="1"/>
    <col min="13" max="13" width="9.44140625" bestFit="1" customWidth="1"/>
  </cols>
  <sheetData>
    <row r="2" spans="1:17" ht="18">
      <c r="B2" s="75" t="s">
        <v>50</v>
      </c>
    </row>
    <row r="3" spans="1:17" ht="21">
      <c r="B3" s="75" t="s">
        <v>51</v>
      </c>
      <c r="C3" s="76" t="s">
        <v>52</v>
      </c>
      <c r="H3" s="58"/>
      <c r="J3" s="58"/>
    </row>
    <row r="4" spans="1:17" ht="18">
      <c r="B4" s="75" t="s">
        <v>53</v>
      </c>
      <c r="C4" s="76"/>
      <c r="H4" s="58"/>
      <c r="I4" s="58"/>
      <c r="J4" s="58"/>
    </row>
    <row r="5" spans="1:17">
      <c r="F5" s="148" t="s">
        <v>54</v>
      </c>
      <c r="G5" s="148"/>
      <c r="I5" s="58" t="s">
        <v>55</v>
      </c>
    </row>
    <row r="6" spans="1:17">
      <c r="A6" s="44"/>
      <c r="B6" s="59" t="s">
        <v>44</v>
      </c>
      <c r="C6" s="49">
        <v>200</v>
      </c>
      <c r="D6" s="44" t="s">
        <v>45</v>
      </c>
      <c r="F6" s="147"/>
      <c r="G6" s="147"/>
      <c r="I6" s="74">
        <f>Scaling!E26</f>
        <v>184.8</v>
      </c>
      <c r="J6" s="77" t="s">
        <v>45</v>
      </c>
      <c r="O6" s="3"/>
      <c r="P6" s="2"/>
    </row>
    <row r="7" spans="1:17">
      <c r="A7" s="44"/>
      <c r="B7" s="59" t="s">
        <v>56</v>
      </c>
      <c r="C7" s="49">
        <v>40</v>
      </c>
      <c r="D7" s="44" t="s">
        <v>57</v>
      </c>
      <c r="F7" s="147"/>
      <c r="G7" s="147"/>
      <c r="I7" s="74">
        <f>C7</f>
        <v>40</v>
      </c>
      <c r="J7" s="77" t="s">
        <v>57</v>
      </c>
    </row>
    <row r="8" spans="1:17">
      <c r="A8" s="44"/>
      <c r="B8" s="59" t="s">
        <v>58</v>
      </c>
      <c r="C8" s="49">
        <v>23.54</v>
      </c>
      <c r="D8" s="44" t="s">
        <v>57</v>
      </c>
      <c r="F8" s="147"/>
      <c r="G8" s="147"/>
      <c r="I8" s="74">
        <f>C8</f>
        <v>23.54</v>
      </c>
      <c r="J8" s="77" t="s">
        <v>57</v>
      </c>
      <c r="O8" t="s">
        <v>59</v>
      </c>
      <c r="P8" s="16">
        <f>Scaling!E28</f>
        <v>5</v>
      </c>
    </row>
    <row r="9" spans="1:17">
      <c r="A9" s="44"/>
      <c r="B9" s="59"/>
      <c r="C9" s="49"/>
      <c r="D9" s="44"/>
      <c r="F9" s="147"/>
      <c r="G9" s="147"/>
      <c r="I9" s="74"/>
      <c r="J9" s="77"/>
      <c r="P9" s="2"/>
    </row>
    <row r="10" spans="1:17" ht="18.95" thickBot="1">
      <c r="A10" s="44"/>
      <c r="B10" s="59" t="s">
        <v>60</v>
      </c>
      <c r="C10" s="49">
        <v>100</v>
      </c>
      <c r="D10" s="44" t="s">
        <v>39</v>
      </c>
      <c r="F10" s="147">
        <v>2</v>
      </c>
      <c r="G10" s="147"/>
      <c r="I10" s="27">
        <f>C10*(I6/C6)^F10</f>
        <v>85.377600000000015</v>
      </c>
      <c r="J10" s="77" t="s">
        <v>39</v>
      </c>
      <c r="P10" s="2"/>
    </row>
    <row r="11" spans="1:17">
      <c r="A11" s="44"/>
      <c r="B11" s="59" t="s">
        <v>61</v>
      </c>
      <c r="C11" s="49">
        <f>C6/SQRT(C10)</f>
        <v>20</v>
      </c>
      <c r="D11" s="44"/>
      <c r="F11" s="147"/>
      <c r="G11" s="147"/>
      <c r="I11" s="74">
        <f>I6/SQRT(I10)</f>
        <v>20</v>
      </c>
      <c r="J11" s="77"/>
      <c r="M11" s="17"/>
      <c r="N11" s="25"/>
      <c r="O11" s="78"/>
      <c r="P11" s="79"/>
      <c r="Q11" s="19"/>
    </row>
    <row r="12" spans="1:17" ht="18.600000000000001">
      <c r="A12" s="44"/>
      <c r="B12" s="59" t="s">
        <v>62</v>
      </c>
      <c r="C12" s="49">
        <v>358</v>
      </c>
      <c r="D12" s="44"/>
      <c r="F12" s="147"/>
      <c r="G12" s="147"/>
      <c r="I12" s="27">
        <f>I13/I10</f>
        <v>357.99999999999994</v>
      </c>
      <c r="J12" s="77"/>
      <c r="M12" s="20"/>
      <c r="O12" s="3" t="s">
        <v>63</v>
      </c>
      <c r="P12" s="27">
        <f>P8*I30</f>
        <v>902.02973143799409</v>
      </c>
      <c r="Q12" s="21" t="s">
        <v>39</v>
      </c>
    </row>
    <row r="13" spans="1:17" ht="18.600000000000001">
      <c r="A13" s="44"/>
      <c r="B13" s="59" t="s">
        <v>64</v>
      </c>
      <c r="C13" s="47">
        <f>C10*C12</f>
        <v>35800</v>
      </c>
      <c r="D13" s="44" t="s">
        <v>39</v>
      </c>
      <c r="F13" s="147">
        <v>2</v>
      </c>
      <c r="G13" s="147"/>
      <c r="I13" s="27">
        <f>($I$6/$C$6)^F13*C13</f>
        <v>30565.180800000002</v>
      </c>
      <c r="J13" s="77" t="s">
        <v>39</v>
      </c>
      <c r="M13" s="20"/>
      <c r="P13" s="7"/>
      <c r="Q13" s="21"/>
    </row>
    <row r="14" spans="1:17">
      <c r="A14" s="44"/>
      <c r="B14" s="44"/>
      <c r="C14" s="49"/>
      <c r="D14" s="44"/>
      <c r="F14" s="147"/>
      <c r="G14" s="147"/>
      <c r="I14" s="74"/>
      <c r="J14" s="77"/>
      <c r="M14" s="20"/>
      <c r="O14" s="3" t="s">
        <v>65</v>
      </c>
      <c r="P14" s="27">
        <f>P8*I32</f>
        <v>5369.9999999999991</v>
      </c>
      <c r="Q14" s="21"/>
    </row>
    <row r="15" spans="1:17" ht="18.600000000000001">
      <c r="A15" s="44"/>
      <c r="B15" s="59" t="s">
        <v>66</v>
      </c>
      <c r="C15" s="45">
        <v>22.8</v>
      </c>
      <c r="D15" s="44" t="s">
        <v>41</v>
      </c>
      <c r="F15" s="147">
        <v>2</v>
      </c>
      <c r="G15" s="147"/>
      <c r="I15" s="26">
        <f>($I$6/$C$6)^F15*C15</f>
        <v>19.466092800000002</v>
      </c>
      <c r="J15" s="77" t="s">
        <v>41</v>
      </c>
      <c r="M15" s="20"/>
      <c r="O15" s="3" t="s">
        <v>48</v>
      </c>
      <c r="P15" s="27">
        <f>P8*I33</f>
        <v>458477.71200000006</v>
      </c>
      <c r="Q15" s="21" t="s">
        <v>39</v>
      </c>
    </row>
    <row r="16" spans="1:17">
      <c r="A16" s="44"/>
      <c r="B16" s="44"/>
      <c r="C16" s="49"/>
      <c r="D16" s="44"/>
      <c r="F16" s="147"/>
      <c r="G16" s="147"/>
      <c r="I16" s="74"/>
      <c r="J16" s="77"/>
      <c r="M16" s="20"/>
      <c r="O16" s="3" t="s">
        <v>67</v>
      </c>
      <c r="P16" s="27">
        <f>P8*I34</f>
        <v>291.99139200000002</v>
      </c>
      <c r="Q16" s="21" t="s">
        <v>41</v>
      </c>
    </row>
    <row r="17" spans="1:17" ht="15.95" thickBot="1">
      <c r="A17" s="44"/>
      <c r="B17" s="59"/>
      <c r="C17" s="49"/>
      <c r="D17" s="44"/>
      <c r="F17" s="147"/>
      <c r="G17" s="147"/>
      <c r="I17" s="74"/>
      <c r="J17" s="77"/>
      <c r="M17" s="22"/>
      <c r="N17" s="23"/>
      <c r="O17" s="23"/>
      <c r="P17" s="23"/>
      <c r="Q17" s="24"/>
    </row>
    <row r="18" spans="1:17">
      <c r="A18" s="44"/>
      <c r="B18" s="59" t="s">
        <v>68</v>
      </c>
      <c r="C18" s="47">
        <f>AVERAGE('Annual Performance Details'!J64,'Annual Performance Details'!AK64,'Annual Performance Details'!BL64)</f>
        <v>26221</v>
      </c>
      <c r="D18" s="44" t="s">
        <v>69</v>
      </c>
      <c r="F18" s="147">
        <v>2</v>
      </c>
      <c r="G18" s="147"/>
      <c r="I18" s="27">
        <f>($I$6/$C$6)^F18*C18</f>
        <v>22386.860496000001</v>
      </c>
      <c r="J18" s="77" t="s">
        <v>69</v>
      </c>
    </row>
    <row r="19" spans="1:17">
      <c r="A19" s="44"/>
      <c r="B19" s="59" t="s">
        <v>70</v>
      </c>
      <c r="C19" s="46">
        <f>PRODUCT('Annual Performance Details'!J12:J15)</f>
        <v>0.73295313887886848</v>
      </c>
      <c r="D19" s="44"/>
      <c r="F19" s="147"/>
      <c r="G19" s="147"/>
      <c r="I19" s="73">
        <f>C19</f>
        <v>0.73295313887886848</v>
      </c>
      <c r="J19" s="77"/>
    </row>
    <row r="20" spans="1:17">
      <c r="A20" s="44"/>
      <c r="B20" s="44"/>
      <c r="C20" s="49"/>
      <c r="D20" s="44"/>
      <c r="F20" s="147"/>
      <c r="G20" s="147"/>
      <c r="I20" s="74"/>
      <c r="J20" s="77"/>
    </row>
    <row r="21" spans="1:17">
      <c r="A21" s="44"/>
      <c r="B21" s="59" t="s">
        <v>71</v>
      </c>
      <c r="C21" s="48">
        <v>6.2691312962320485</v>
      </c>
      <c r="D21" s="44"/>
      <c r="F21" s="147"/>
      <c r="G21" s="147"/>
      <c r="I21" s="74">
        <f>C21</f>
        <v>6.2691312962320485</v>
      </c>
      <c r="J21" s="77"/>
    </row>
    <row r="22" spans="1:17" ht="15.95" thickBot="1">
      <c r="A22" s="44"/>
      <c r="B22" s="59" t="s">
        <v>72</v>
      </c>
      <c r="C22" s="46">
        <f>'Annual Performance Details'!J16</f>
        <v>0.90810026620963924</v>
      </c>
      <c r="D22" s="44"/>
      <c r="F22" s="147"/>
      <c r="G22" s="147"/>
      <c r="I22" s="73">
        <f>C22</f>
        <v>0.90810026620963924</v>
      </c>
      <c r="J22" s="77"/>
      <c r="P22" s="68" t="s">
        <v>73</v>
      </c>
    </row>
    <row r="23" spans="1:17">
      <c r="A23" s="44"/>
      <c r="B23" s="59" t="s">
        <v>74</v>
      </c>
      <c r="C23" s="47">
        <f>AVERAGE('Annual Performance Details'!M64,'Annual Performance Details'!AN64,'Annual Performance Details'!BO64)</f>
        <v>23805.666666666668</v>
      </c>
      <c r="D23" s="44" t="s">
        <v>69</v>
      </c>
      <c r="F23" s="147">
        <v>2</v>
      </c>
      <c r="G23" s="147"/>
      <c r="I23" s="27">
        <f>($I$6/$C$6)^F23*C23</f>
        <v>20324.706864000003</v>
      </c>
      <c r="J23" s="77" t="s">
        <v>69</v>
      </c>
      <c r="M23" s="17"/>
      <c r="N23" s="25"/>
      <c r="O23" s="25"/>
      <c r="P23" s="18"/>
      <c r="Q23" s="19"/>
    </row>
    <row r="24" spans="1:17">
      <c r="A24" s="44"/>
      <c r="B24" s="59" t="s">
        <v>75</v>
      </c>
      <c r="C24" s="47">
        <f>AVERAGE('Annual Performance Details'!O64,'Annual Performance Details'!AP64,'Annual Performance Details'!BQ64)</f>
        <v>7413.5831738081179</v>
      </c>
      <c r="D24" s="49"/>
      <c r="F24" s="147"/>
      <c r="G24" s="147"/>
      <c r="I24" s="27">
        <f>C24</f>
        <v>7413.5831738081179</v>
      </c>
      <c r="J24" s="77"/>
      <c r="M24" s="20"/>
      <c r="O24" s="3" t="s">
        <v>76</v>
      </c>
      <c r="P24" s="27">
        <f>P8*I36/1000</f>
        <v>335.80290743999996</v>
      </c>
      <c r="Q24" s="21" t="s">
        <v>77</v>
      </c>
    </row>
    <row r="25" spans="1:17">
      <c r="A25" s="44"/>
      <c r="B25" s="44"/>
      <c r="C25" s="44"/>
      <c r="D25" s="44"/>
      <c r="F25" s="147"/>
      <c r="G25" s="147"/>
      <c r="I25" s="74"/>
      <c r="J25" s="77"/>
      <c r="M25" s="20"/>
      <c r="O25" s="3" t="s">
        <v>78</v>
      </c>
      <c r="P25" s="27">
        <f>P8*I37/1000</f>
        <v>304.87060296000004</v>
      </c>
      <c r="Q25" s="21" t="s">
        <v>77</v>
      </c>
    </row>
    <row r="26" spans="1:17" ht="18.95" thickBot="1">
      <c r="A26" s="44"/>
      <c r="B26" s="59" t="s">
        <v>79</v>
      </c>
      <c r="C26" s="45">
        <f>'Annual Performance Details'!C22</f>
        <v>69.87999222802469</v>
      </c>
      <c r="D26" s="44" t="s">
        <v>39</v>
      </c>
      <c r="F26" s="147">
        <v>1.9</v>
      </c>
      <c r="G26" s="147"/>
      <c r="I26" s="26">
        <f>($I$6/$C$6)^F26*C26</f>
        <v>60.135315429199608</v>
      </c>
      <c r="J26" s="77" t="s">
        <v>39</v>
      </c>
      <c r="M26" s="22"/>
      <c r="N26" s="23"/>
      <c r="O26" s="23"/>
      <c r="P26" s="23"/>
      <c r="Q26" s="24"/>
    </row>
    <row r="27" spans="1:17">
      <c r="A27" s="44"/>
      <c r="B27" s="44"/>
      <c r="C27" s="44"/>
      <c r="D27" s="44"/>
      <c r="I27" s="77"/>
      <c r="J27" s="77"/>
    </row>
    <row r="28" spans="1:17">
      <c r="A28" s="44"/>
      <c r="B28" s="59" t="s">
        <v>80</v>
      </c>
      <c r="C28" s="49">
        <v>3</v>
      </c>
      <c r="D28" s="44"/>
      <c r="I28" s="74">
        <f>C28</f>
        <v>3</v>
      </c>
      <c r="J28" s="77"/>
    </row>
    <row r="29" spans="1:17">
      <c r="A29" s="44"/>
      <c r="B29" s="59"/>
      <c r="C29" s="49"/>
      <c r="D29" s="44"/>
      <c r="I29" s="77"/>
      <c r="J29" s="77"/>
    </row>
    <row r="30" spans="1:17" ht="18.600000000000001">
      <c r="A30" s="44"/>
      <c r="B30" s="59" t="s">
        <v>63</v>
      </c>
      <c r="C30" s="45">
        <f>C28*C26</f>
        <v>209.63997668407407</v>
      </c>
      <c r="D30" s="44" t="s">
        <v>39</v>
      </c>
      <c r="I30" s="26">
        <f>I28*I26</f>
        <v>180.40594628759882</v>
      </c>
      <c r="J30" s="77" t="s">
        <v>39</v>
      </c>
    </row>
    <row r="31" spans="1:17">
      <c r="A31" s="44"/>
      <c r="B31" s="44"/>
      <c r="C31" s="44"/>
      <c r="D31" s="44"/>
      <c r="I31" s="77"/>
      <c r="J31" s="77"/>
    </row>
    <row r="32" spans="1:17">
      <c r="A32" s="44"/>
      <c r="B32" s="59" t="s">
        <v>65</v>
      </c>
      <c r="C32" s="49">
        <f>C28*C12</f>
        <v>1074</v>
      </c>
      <c r="D32" s="44"/>
      <c r="I32" s="27">
        <f>I28*I12</f>
        <v>1073.9999999999998</v>
      </c>
      <c r="J32" s="77"/>
    </row>
    <row r="33" spans="1:10" ht="18.600000000000001">
      <c r="A33" s="44"/>
      <c r="B33" s="59" t="s">
        <v>48</v>
      </c>
      <c r="C33" s="47">
        <f>C28*C13</f>
        <v>107400</v>
      </c>
      <c r="D33" s="44" t="s">
        <v>39</v>
      </c>
      <c r="I33" s="27">
        <f>I28*I13</f>
        <v>91695.542400000006</v>
      </c>
      <c r="J33" s="77" t="s">
        <v>39</v>
      </c>
    </row>
    <row r="34" spans="1:10">
      <c r="A34" s="44"/>
      <c r="B34" s="59" t="s">
        <v>67</v>
      </c>
      <c r="C34" s="49">
        <f>C15*C28</f>
        <v>68.400000000000006</v>
      </c>
      <c r="D34" s="44" t="s">
        <v>41</v>
      </c>
      <c r="I34" s="27">
        <f>I15*I28</f>
        <v>58.398278400000009</v>
      </c>
      <c r="J34" s="77" t="s">
        <v>41</v>
      </c>
    </row>
    <row r="35" spans="1:10">
      <c r="A35" s="44"/>
      <c r="B35" s="44"/>
      <c r="C35" s="44"/>
      <c r="D35" s="44"/>
      <c r="I35" s="77"/>
      <c r="J35" s="77"/>
    </row>
    <row r="36" spans="1:10">
      <c r="A36" s="44"/>
      <c r="B36" s="59" t="s">
        <v>76</v>
      </c>
      <c r="C36" s="47">
        <f>SUM('Annual Performance Details'!J64,'Annual Performance Details'!AK64,'Annual Performance Details'!BL64)</f>
        <v>78663</v>
      </c>
      <c r="D36" s="44" t="s">
        <v>69</v>
      </c>
      <c r="I36" s="27">
        <f>I28*I18</f>
        <v>67160.581487999996</v>
      </c>
      <c r="J36" s="77" t="s">
        <v>69</v>
      </c>
    </row>
    <row r="37" spans="1:10">
      <c r="A37" s="44"/>
      <c r="B37" s="59" t="s">
        <v>78</v>
      </c>
      <c r="C37" s="47">
        <f>SUM('Annual Performance Details'!M64,'Annual Performance Details'!AN64,'Annual Performance Details'!BO64)</f>
        <v>71417</v>
      </c>
      <c r="D37" s="44" t="s">
        <v>69</v>
      </c>
      <c r="I37" s="27">
        <f>I28*I23</f>
        <v>60974.120592000007</v>
      </c>
      <c r="J37" s="77" t="s">
        <v>69</v>
      </c>
    </row>
    <row r="38" spans="1:10">
      <c r="A38" s="44"/>
      <c r="B38" s="44"/>
      <c r="C38" s="44"/>
      <c r="D38" s="44"/>
      <c r="I38" s="27"/>
      <c r="J38" s="77"/>
    </row>
    <row r="39" spans="1:10">
      <c r="A39" s="44"/>
      <c r="B39" s="59" t="s">
        <v>81</v>
      </c>
      <c r="C39" s="46">
        <f>'Annual Performance Details'!J17</f>
        <v>0.66559494053509116</v>
      </c>
      <c r="D39" s="44"/>
      <c r="I39" s="73">
        <f>C39</f>
        <v>0.66559494053509116</v>
      </c>
      <c r="J39" s="77"/>
    </row>
    <row r="40" spans="1:10">
      <c r="A40" s="44"/>
      <c r="B40" s="44"/>
      <c r="C40" s="44"/>
      <c r="D40" s="44"/>
      <c r="I40" s="73"/>
      <c r="J40" s="77"/>
    </row>
    <row r="41" spans="1:10">
      <c r="A41" s="44"/>
      <c r="B41" s="59" t="s">
        <v>35</v>
      </c>
      <c r="C41" s="55">
        <f>Scaling!E19</f>
        <v>1350</v>
      </c>
      <c r="D41" s="44" t="s">
        <v>82</v>
      </c>
      <c r="I41" s="27">
        <f>C41</f>
        <v>1350</v>
      </c>
      <c r="J41" s="77" t="s">
        <v>82</v>
      </c>
    </row>
    <row r="42" spans="1:10">
      <c r="A42" s="44"/>
      <c r="B42" s="143" t="s">
        <v>83</v>
      </c>
      <c r="C42" s="51">
        <f>'Ann Perf at Site'!O27</f>
        <v>0.49597073791868707</v>
      </c>
      <c r="D42" s="44"/>
      <c r="I42" s="73">
        <f>C42</f>
        <v>0.49597073791868707</v>
      </c>
      <c r="J42" s="77"/>
    </row>
    <row r="43" spans="1:10">
      <c r="A43" s="44"/>
      <c r="B43" s="44"/>
      <c r="C43" s="44"/>
      <c r="D43" s="44"/>
      <c r="I43" s="73"/>
      <c r="J43" s="77"/>
    </row>
    <row r="44" spans="1:10">
      <c r="A44" s="44"/>
      <c r="B44" s="44"/>
      <c r="C44" s="44"/>
      <c r="D44" s="44"/>
      <c r="I44" s="73"/>
      <c r="J44" s="77"/>
    </row>
    <row r="45" spans="1:10">
      <c r="A45" s="44"/>
      <c r="B45" s="44"/>
      <c r="C45" s="44"/>
      <c r="D45" s="44"/>
      <c r="I45" s="73"/>
      <c r="J45" s="77"/>
    </row>
    <row r="46" spans="1:10">
      <c r="A46" s="44"/>
      <c r="B46" s="44"/>
      <c r="C46" s="44"/>
      <c r="D46" s="44"/>
      <c r="I46" s="77"/>
      <c r="J46" s="77"/>
    </row>
    <row r="47" spans="1:10">
      <c r="A47" s="44"/>
      <c r="B47" s="44"/>
      <c r="C47" s="44"/>
      <c r="D47" s="44"/>
      <c r="I47" s="73"/>
      <c r="J47" s="77"/>
    </row>
    <row r="48" spans="1:10" ht="18.600000000000001">
      <c r="A48" s="44"/>
      <c r="B48" s="59" t="s">
        <v>84</v>
      </c>
      <c r="C48" s="49">
        <v>2787</v>
      </c>
      <c r="D48" s="44" t="s">
        <v>31</v>
      </c>
      <c r="I48" s="27">
        <f>C48</f>
        <v>2787</v>
      </c>
      <c r="J48" s="77" t="s">
        <v>31</v>
      </c>
    </row>
  </sheetData>
  <mergeCells count="22">
    <mergeCell ref="F25:G25"/>
    <mergeCell ref="F26:G26"/>
    <mergeCell ref="F21:G21"/>
    <mergeCell ref="F22:G22"/>
    <mergeCell ref="F23:G23"/>
    <mergeCell ref="F24:G24"/>
    <mergeCell ref="F17:G17"/>
    <mergeCell ref="F18:G18"/>
    <mergeCell ref="F19:G19"/>
    <mergeCell ref="F20:G20"/>
    <mergeCell ref="F13:G13"/>
    <mergeCell ref="F14:G14"/>
    <mergeCell ref="F15:G15"/>
    <mergeCell ref="F16:G16"/>
    <mergeCell ref="F9:G9"/>
    <mergeCell ref="F10:G10"/>
    <mergeCell ref="F11:G11"/>
    <mergeCell ref="F12:G12"/>
    <mergeCell ref="F5:G5"/>
    <mergeCell ref="F6:G6"/>
    <mergeCell ref="F7:G7"/>
    <mergeCell ref="F8:G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1:Q202"/>
  <sheetViews>
    <sheetView zoomScaleNormal="100" workbookViewId="0"/>
  </sheetViews>
  <sheetFormatPr defaultColWidth="8.88671875" defaultRowHeight="15.6"/>
  <cols>
    <col min="1" max="1" width="30.33203125" style="36" customWidth="1"/>
    <col min="2" max="2" width="8.88671875" style="36"/>
    <col min="3" max="3" width="10" style="36" bestFit="1" customWidth="1"/>
    <col min="4" max="4" width="10.21875" style="36" customWidth="1"/>
    <col min="5" max="6" width="11" style="36" bestFit="1" customWidth="1"/>
    <col min="7" max="7" width="8.88671875" style="36"/>
    <col min="8" max="8" width="11" style="36" bestFit="1" customWidth="1"/>
    <col min="9" max="14" width="8.88671875" style="36"/>
    <col min="15" max="15" width="10.77734375" style="36" customWidth="1"/>
    <col min="16" max="16384" width="8.88671875" style="36"/>
  </cols>
  <sheetData>
    <row r="1" spans="1:14" ht="20.100000000000001">
      <c r="A1" s="130" t="s">
        <v>85</v>
      </c>
    </row>
    <row r="2" spans="1:14" ht="20.100000000000001">
      <c r="A2" s="130"/>
    </row>
    <row r="3" spans="1:14" ht="17.45">
      <c r="B3" s="114"/>
      <c r="C3" s="115" t="s">
        <v>35</v>
      </c>
      <c r="D3" s="116">
        <f>Scaling!E19</f>
        <v>1350</v>
      </c>
      <c r="E3" s="117" t="s">
        <v>86</v>
      </c>
    </row>
    <row r="5" spans="1:14" ht="21">
      <c r="B5" s="150" t="s">
        <v>87</v>
      </c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</row>
    <row r="6" spans="1:14" ht="18" customHeight="1">
      <c r="B6" s="115"/>
      <c r="C6" s="149" t="s">
        <v>88</v>
      </c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</row>
    <row r="7" spans="1:14">
      <c r="B7" s="116" t="s">
        <v>89</v>
      </c>
      <c r="C7" s="116">
        <v>1</v>
      </c>
      <c r="D7" s="116">
        <v>2</v>
      </c>
      <c r="E7" s="116">
        <v>3</v>
      </c>
      <c r="F7" s="116">
        <v>4</v>
      </c>
      <c r="G7" s="116">
        <v>5</v>
      </c>
      <c r="H7" s="116">
        <v>6</v>
      </c>
      <c r="I7" s="116">
        <v>7</v>
      </c>
      <c r="J7" s="116">
        <v>8</v>
      </c>
      <c r="K7" s="116">
        <v>9</v>
      </c>
      <c r="L7" s="116">
        <v>10</v>
      </c>
      <c r="M7" s="116">
        <v>11</v>
      </c>
      <c r="N7" s="116">
        <v>12</v>
      </c>
    </row>
    <row r="8" spans="1:14">
      <c r="B8" s="116">
        <v>6</v>
      </c>
      <c r="G8" s="118">
        <f>'Annual Performance Details'!$Q89*(IF(ISNA('Annual Performance Details'!$S89),0,'Annual Performance Details'!$S89)+IF(ISNA('Annual Performance Details'!$AT89),0,'Annual Performance Details'!$AT89)+IF(ISNA('Annual Performance Details'!$BU89),0,'Annual Performance Details'!$BU89))/3</f>
        <v>27.136702763003523</v>
      </c>
      <c r="H8" s="118">
        <f>'Annual Performance Details'!$Q104*(IF(ISNA('Annual Performance Details'!$S104),0,'Annual Performance Details'!$S104)+IF(ISNA('Annual Performance Details'!$AT104),0,'Annual Performance Details'!$AT104)+IF(ISNA('Annual Performance Details'!$BU104),0,'Annual Performance Details'!$BU104))/3</f>
        <v>62.806616140789316</v>
      </c>
      <c r="I8" s="118">
        <f>'Annual Performance Details'!$Q119*(IF(ISNA('Annual Performance Details'!$S119),0,'Annual Performance Details'!$S119)+IF(ISNA('Annual Performance Details'!$AT119),0,'Annual Performance Details'!$AT119)+IF(ISNA('Annual Performance Details'!$BU119),0,'Annual Performance Details'!$BU119))/3</f>
        <v>27.238432804452433</v>
      </c>
    </row>
    <row r="9" spans="1:14">
      <c r="B9" s="116">
        <v>7</v>
      </c>
      <c r="E9" s="118">
        <f>'Annual Performance Details'!$Q61*(IF(ISNA('Annual Performance Details'!$S61),0,'Annual Performance Details'!$S61)+IF(ISNA('Annual Performance Details'!$AT61),0,'Annual Performance Details'!$AT61)+IF(ISNA('Annual Performance Details'!$BU61),0,'Annual Performance Details'!$BU61))/3</f>
        <v>41.383436709059865</v>
      </c>
      <c r="F9" s="118">
        <f>'Annual Performance Details'!$Q76*(IF(ISNA('Annual Performance Details'!$S76),0,'Annual Performance Details'!$S76)+IF(ISNA('Annual Performance Details'!$AT76),0,'Annual Performance Details'!$AT76)+IF(ISNA('Annual Performance Details'!$BU76),0,'Annual Performance Details'!$BU76))/3</f>
        <v>124.90241409237215</v>
      </c>
      <c r="G9" s="118">
        <f>'Annual Performance Details'!$Q90*(IF(ISNA('Annual Performance Details'!$S90),0,'Annual Performance Details'!$S90)+IF(ISNA('Annual Performance Details'!$AT90),0,'Annual Performance Details'!$AT90)+IF(ISNA('Annual Performance Details'!$BU90),0,'Annual Performance Details'!$BU90))/3</f>
        <v>171.62004150271636</v>
      </c>
      <c r="H9" s="118">
        <f>'Annual Performance Details'!$Q105*(IF(ISNA('Annual Performance Details'!$S105),0,'Annual Performance Details'!$S105)+IF(ISNA('Annual Performance Details'!$AT105),0,'Annual Performance Details'!$AT105)+IF(ISNA('Annual Performance Details'!$BU105),0,'Annual Performance Details'!$BU105))/3</f>
        <v>223.0206403493554</v>
      </c>
      <c r="I9" s="118">
        <f>'Annual Performance Details'!$Q120*(IF(ISNA('Annual Performance Details'!$S120),0,'Annual Performance Details'!$S120)+IF(ISNA('Annual Performance Details'!$AT120),0,'Annual Performance Details'!$AT120)+IF(ISNA('Annual Performance Details'!$BU120),0,'Annual Performance Details'!$BU120))/3</f>
        <v>169.05963692531506</v>
      </c>
      <c r="J9" s="118">
        <f>'Annual Performance Details'!$Q134*(IF(ISNA('Annual Performance Details'!$S134),0,'Annual Performance Details'!$S134)+IF(ISNA('Annual Performance Details'!$AT134),0,'Annual Performance Details'!$AT134)+IF(ISNA('Annual Performance Details'!$BU134),0,'Annual Performance Details'!$BU134))/3</f>
        <v>122.9416910491812</v>
      </c>
      <c r="K9" s="118">
        <f>'Annual Performance Details'!$Q148*(IF(ISNA('Annual Performance Details'!$S148),0,'Annual Performance Details'!$S148)+IF(ISNA('Annual Performance Details'!$AT148),0,'Annual Performance Details'!$AT148)+IF(ISNA('Annual Performance Details'!$BU148),0,'Annual Performance Details'!$BU148))/3</f>
        <v>98.559866696444985</v>
      </c>
    </row>
    <row r="10" spans="1:14">
      <c r="B10" s="116">
        <v>8</v>
      </c>
      <c r="C10" s="118">
        <f>'Annual Performance Details'!$Q35*(IF(ISNA('Annual Performance Details'!$S35),0,'Annual Performance Details'!$S35)+IF(ISNA('Annual Performance Details'!$AT35),0,'Annual Performance Details'!$AT35)+IF(ISNA('Annual Performance Details'!$BU35),0,'Annual Performance Details'!$BU35))/3</f>
        <v>51.008724148238095</v>
      </c>
      <c r="D10" s="118">
        <f>'Annual Performance Details'!$Q47*(IF(ISNA('Annual Performance Details'!$S47),0,'Annual Performance Details'!$S47)+IF(ISNA('Annual Performance Details'!$AT47),0,'Annual Performance Details'!$AT47)+IF(ISNA('Annual Performance Details'!$BU47),0,'Annual Performance Details'!$BU47))/3</f>
        <v>132.28282696813699</v>
      </c>
      <c r="E10" s="118">
        <f>'Annual Performance Details'!$Q62*(IF(ISNA('Annual Performance Details'!$S62),0,'Annual Performance Details'!$S62)+IF(ISNA('Annual Performance Details'!$AT62),0,'Annual Performance Details'!$AT62)+IF(ISNA('Annual Performance Details'!$BU62),0,'Annual Performance Details'!$BU62))/3</f>
        <v>237.84628286752684</v>
      </c>
      <c r="F10" s="118">
        <f>'Annual Performance Details'!$Q77*(IF(ISNA('Annual Performance Details'!$S77),0,'Annual Performance Details'!$S77)+IF(ISNA('Annual Performance Details'!$AT77),0,'Annual Performance Details'!$AT77)+IF(ISNA('Annual Performance Details'!$BU77),0,'Annual Performance Details'!$BU77))/3</f>
        <v>312.01971111285633</v>
      </c>
      <c r="G10" s="118">
        <f>'Annual Performance Details'!$Q91*(IF(ISNA('Annual Performance Details'!$S91),0,'Annual Performance Details'!$S91)+IF(ISNA('Annual Performance Details'!$AT91),0,'Annual Performance Details'!$AT91)+IF(ISNA('Annual Performance Details'!$BU91),0,'Annual Performance Details'!$BU91))/3</f>
        <v>322.36187126183216</v>
      </c>
      <c r="H10" s="118">
        <f>'Annual Performance Details'!$Q106*(IF(ISNA('Annual Performance Details'!$S106),0,'Annual Performance Details'!$S106)+IF(ISNA('Annual Performance Details'!$AT106),0,'Annual Performance Details'!$AT106)+IF(ISNA('Annual Performance Details'!$BU106),0,'Annual Performance Details'!$BU106))/3</f>
        <v>367.69417169634488</v>
      </c>
      <c r="I10" s="118">
        <f>'Annual Performance Details'!$Q121*(IF(ISNA('Annual Performance Details'!$S121),0,'Annual Performance Details'!$S121)+IF(ISNA('Annual Performance Details'!$AT121),0,'Annual Performance Details'!$AT121)+IF(ISNA('Annual Performance Details'!$BU121),0,'Annual Performance Details'!$BU121))/3</f>
        <v>317.66901368989727</v>
      </c>
      <c r="J10" s="118">
        <f>'Annual Performance Details'!$Q135*(IF(ISNA('Annual Performance Details'!$S135),0,'Annual Performance Details'!$S135)+IF(ISNA('Annual Performance Details'!$AT135),0,'Annual Performance Details'!$AT135)+IF(ISNA('Annual Performance Details'!$BU135),0,'Annual Performance Details'!$BU135))/3</f>
        <v>305.8979176966252</v>
      </c>
      <c r="K10" s="118">
        <f>'Annual Performance Details'!$Q149*(IF(ISNA('Annual Performance Details'!$S149),0,'Annual Performance Details'!$S149)+IF(ISNA('Annual Performance Details'!$AT149),0,'Annual Performance Details'!$AT149)+IF(ISNA('Annual Performance Details'!$BU149),0,'Annual Performance Details'!$BU149))/3</f>
        <v>294.81532503728715</v>
      </c>
      <c r="L10" s="118">
        <f>'Annual Performance Details'!$Q162*(IF(ISNA('Annual Performance Details'!$S162),0,'Annual Performance Details'!$S162)+IF(ISNA('Annual Performance Details'!$AT162),0,'Annual Performance Details'!$AT162)+IF(ISNA('Annual Performance Details'!$BU162),0,'Annual Performance Details'!$BU162))/3</f>
        <v>215.88079479159728</v>
      </c>
      <c r="M10" s="118">
        <f>'Annual Performance Details'!$Q175*(IF(ISNA('Annual Performance Details'!$S175),0,'Annual Performance Details'!$S175)+IF(ISNA('Annual Performance Details'!$AT175),0,'Annual Performance Details'!$AT175)+IF(ISNA('Annual Performance Details'!$BU175),0,'Annual Performance Details'!$BU175))/3</f>
        <v>133.00332821968084</v>
      </c>
      <c r="N10" s="118">
        <f>'Annual Performance Details'!$Q188*(IF(ISNA('Annual Performance Details'!$S188),0,'Annual Performance Details'!$S188)+IF(ISNA('Annual Performance Details'!$AT188),0,'Annual Performance Details'!$AT188)+IF(ISNA('Annual Performance Details'!$BU188),0,'Annual Performance Details'!$BU188))/3</f>
        <v>47.420800180041226</v>
      </c>
    </row>
    <row r="11" spans="1:14">
      <c r="B11" s="116">
        <v>9</v>
      </c>
      <c r="C11" s="118">
        <f>'Annual Performance Details'!$Q36*(IF(ISNA('Annual Performance Details'!$S36),0,'Annual Performance Details'!$S36)+IF(ISNA('Annual Performance Details'!$AT36),0,'Annual Performance Details'!$AT36)+IF(ISNA('Annual Performance Details'!$BU36),0,'Annual Performance Details'!$BU36))/3</f>
        <v>213.2959029191878</v>
      </c>
      <c r="D11" s="118">
        <f>'Annual Performance Details'!$Q48*(IF(ISNA('Annual Performance Details'!$S48),0,'Annual Performance Details'!$S48)+IF(ISNA('Annual Performance Details'!$AT48),0,'Annual Performance Details'!$AT48)+IF(ISNA('Annual Performance Details'!$BU48),0,'Annual Performance Details'!$BU48))/3</f>
        <v>268.0976227914943</v>
      </c>
      <c r="E11" s="118">
        <f>'Annual Performance Details'!$Q63*(IF(ISNA('Annual Performance Details'!$S63),0,'Annual Performance Details'!$S63)+IF(ISNA('Annual Performance Details'!$AT63),0,'Annual Performance Details'!$AT63)+IF(ISNA('Annual Performance Details'!$BU63),0,'Annual Performance Details'!$BU63))/3</f>
        <v>383.61340367007392</v>
      </c>
      <c r="F11" s="118">
        <f>'Annual Performance Details'!$Q78*(IF(ISNA('Annual Performance Details'!$S78),0,'Annual Performance Details'!$S78)+IF(ISNA('Annual Performance Details'!$AT78),0,'Annual Performance Details'!$AT78)+IF(ISNA('Annual Performance Details'!$BU78),0,'Annual Performance Details'!$BU78))/3</f>
        <v>458.48291905823186</v>
      </c>
      <c r="G11" s="118">
        <f>'Annual Performance Details'!$Q92*(IF(ISNA('Annual Performance Details'!$S92),0,'Annual Performance Details'!$S92)+IF(ISNA('Annual Performance Details'!$AT92),0,'Annual Performance Details'!$AT92)+IF(ISNA('Annual Performance Details'!$BU92),0,'Annual Performance Details'!$BU92))/3</f>
        <v>423.17656940564189</v>
      </c>
      <c r="H11" s="118">
        <f>'Annual Performance Details'!$Q107*(IF(ISNA('Annual Performance Details'!$S107),0,'Annual Performance Details'!$S107)+IF(ISNA('Annual Performance Details'!$AT107),0,'Annual Performance Details'!$AT107)+IF(ISNA('Annual Performance Details'!$BU107),0,'Annual Performance Details'!$BU107))/3</f>
        <v>468.51169280124867</v>
      </c>
      <c r="I11" s="118">
        <f>'Annual Performance Details'!$Q122*(IF(ISNA('Annual Performance Details'!$S122),0,'Annual Performance Details'!$S122)+IF(ISNA('Annual Performance Details'!$AT122),0,'Annual Performance Details'!$AT122)+IF(ISNA('Annual Performance Details'!$BU122),0,'Annual Performance Details'!$BU122))/3</f>
        <v>420.7043410762131</v>
      </c>
      <c r="J11" s="118">
        <f>'Annual Performance Details'!$Q136*(IF(ISNA('Annual Performance Details'!$S136),0,'Annual Performance Details'!$S136)+IF(ISNA('Annual Performance Details'!$AT136),0,'Annual Performance Details'!$AT136)+IF(ISNA('Annual Performance Details'!$BU136),0,'Annual Performance Details'!$BU136))/3</f>
        <v>426.34699410678923</v>
      </c>
      <c r="K11" s="118">
        <f>'Annual Performance Details'!$Q150*(IF(ISNA('Annual Performance Details'!$S150),0,'Annual Performance Details'!$S150)+IF(ISNA('Annual Performance Details'!$AT150),0,'Annual Performance Details'!$AT150)+IF(ISNA('Annual Performance Details'!$BU150),0,'Annual Performance Details'!$BU150))/3</f>
        <v>431.88154687906052</v>
      </c>
      <c r="L11" s="118">
        <f>'Annual Performance Details'!$Q163*(IF(ISNA('Annual Performance Details'!$S163),0,'Annual Performance Details'!$S163)+IF(ISNA('Annual Performance Details'!$AT163),0,'Annual Performance Details'!$AT163)+IF(ISNA('Annual Performance Details'!$BU163),0,'Annual Performance Details'!$BU163))/3</f>
        <v>356.1434907728551</v>
      </c>
      <c r="M11" s="118">
        <f>'Annual Performance Details'!$Q176*(IF(ISNA('Annual Performance Details'!$S176),0,'Annual Performance Details'!$S176)+IF(ISNA('Annual Performance Details'!$AT176),0,'Annual Performance Details'!$AT176)+IF(ISNA('Annual Performance Details'!$BU176),0,'Annual Performance Details'!$BU176))/3</f>
        <v>290.19555803642652</v>
      </c>
      <c r="N11" s="118">
        <f>'Annual Performance Details'!$Q189*(IF(ISNA('Annual Performance Details'!$S189),0,'Annual Performance Details'!$S189)+IF(ISNA('Annual Performance Details'!$AT189),0,'Annual Performance Details'!$AT189)+IF(ISNA('Annual Performance Details'!$BU189),0,'Annual Performance Details'!$BU189))/3</f>
        <v>205.03196317028411</v>
      </c>
    </row>
    <row r="12" spans="1:14">
      <c r="B12" s="116">
        <v>10</v>
      </c>
      <c r="C12" s="118">
        <f>'Annual Performance Details'!$Q37*(IF(ISNA('Annual Performance Details'!$S37),0,'Annual Performance Details'!$S37)+IF(ISNA('Annual Performance Details'!$AT37),0,'Annual Performance Details'!$AT37)+IF(ISNA('Annual Performance Details'!$BU37),0,'Annual Performance Details'!$BU37))/3</f>
        <v>332.26118765517629</v>
      </c>
      <c r="D12" s="118">
        <f>'Annual Performance Details'!$Q49*(IF(ISNA('Annual Performance Details'!$S49),0,'Annual Performance Details'!$S49)+IF(ISNA('Annual Performance Details'!$AT49),0,'Annual Performance Details'!$AT49)+IF(ISNA('Annual Performance Details'!$BU49),0,'Annual Performance Details'!$BU49))/3</f>
        <v>364.42024715967733</v>
      </c>
      <c r="E12" s="118">
        <f>'Annual Performance Details'!$Q64*(IF(ISNA('Annual Performance Details'!$S64),0,'Annual Performance Details'!$S64)+IF(ISNA('Annual Performance Details'!$AT64),0,'Annual Performance Details'!$AT64)+IF(ISNA('Annual Performance Details'!$BU64),0,'Annual Performance Details'!$BU64))/3</f>
        <v>454.82661055419709</v>
      </c>
      <c r="F12" s="118">
        <f>'Annual Performance Details'!$Q79*(IF(ISNA('Annual Performance Details'!$S79),0,'Annual Performance Details'!$S79)+IF(ISNA('Annual Performance Details'!$AT79),0,'Annual Performance Details'!$AT79)+IF(ISNA('Annual Performance Details'!$BU79),0,'Annual Performance Details'!$BU79))/3</f>
        <v>531.73848206257696</v>
      </c>
      <c r="G12" s="118">
        <f>'Annual Performance Details'!$Q93*(IF(ISNA('Annual Performance Details'!$S93),0,'Annual Performance Details'!$S93)+IF(ISNA('Annual Performance Details'!$AT93),0,'Annual Performance Details'!$AT93)+IF(ISNA('Annual Performance Details'!$BU93),0,'Annual Performance Details'!$BU93))/3</f>
        <v>476.11087588729021</v>
      </c>
      <c r="H12" s="118">
        <f>'Annual Performance Details'!$Q108*(IF(ISNA('Annual Performance Details'!$S108),0,'Annual Performance Details'!$S108)+IF(ISNA('Annual Performance Details'!$AT108),0,'Annual Performance Details'!$AT108)+IF(ISNA('Annual Performance Details'!$BU108),0,'Annual Performance Details'!$BU108))/3</f>
        <v>518.94434953619589</v>
      </c>
      <c r="I12" s="118">
        <f>'Annual Performance Details'!$Q123*(IF(ISNA('Annual Performance Details'!$S123),0,'Annual Performance Details'!$S123)+IF(ISNA('Annual Performance Details'!$AT123),0,'Annual Performance Details'!$AT123)+IF(ISNA('Annual Performance Details'!$BU123),0,'Annual Performance Details'!$BU123))/3</f>
        <v>484.42326370491497</v>
      </c>
      <c r="J12" s="118">
        <f>'Annual Performance Details'!$Q137*(IF(ISNA('Annual Performance Details'!$S137),0,'Annual Performance Details'!$S137)+IF(ISNA('Annual Performance Details'!$AT137),0,'Annual Performance Details'!$AT137)+IF(ISNA('Annual Performance Details'!$BU137),0,'Annual Performance Details'!$BU137))/3</f>
        <v>506.73043736983959</v>
      </c>
      <c r="K12" s="118">
        <f>'Annual Performance Details'!$Q151*(IF(ISNA('Annual Performance Details'!$S151),0,'Annual Performance Details'!$S151)+IF(ISNA('Annual Performance Details'!$AT151),0,'Annual Performance Details'!$AT151)+IF(ISNA('Annual Performance Details'!$BU151),0,'Annual Performance Details'!$BU151))/3</f>
        <v>523.61808018836541</v>
      </c>
      <c r="L12" s="118">
        <f>'Annual Performance Details'!$Q164*(IF(ISNA('Annual Performance Details'!$S164),0,'Annual Performance Details'!$S164)+IF(ISNA('Annual Performance Details'!$AT164),0,'Annual Performance Details'!$AT164)+IF(ISNA('Annual Performance Details'!$BU164),0,'Annual Performance Details'!$BU164))/3</f>
        <v>449.8120622872421</v>
      </c>
      <c r="M12" s="118">
        <f>'Annual Performance Details'!$Q177*(IF(ISNA('Annual Performance Details'!$S177),0,'Annual Performance Details'!$S177)+IF(ISNA('Annual Performance Details'!$AT177),0,'Annual Performance Details'!$AT177)+IF(ISNA('Annual Performance Details'!$BU177),0,'Annual Performance Details'!$BU177))/3</f>
        <v>382.10416263634858</v>
      </c>
      <c r="N12" s="118">
        <f>'Annual Performance Details'!$Q190*(IF(ISNA('Annual Performance Details'!$S190),0,'Annual Performance Details'!$S190)+IF(ISNA('Annual Performance Details'!$AT190),0,'Annual Performance Details'!$AT190)+IF(ISNA('Annual Performance Details'!$BU190),0,'Annual Performance Details'!$BU190))/3</f>
        <v>306.05352861751186</v>
      </c>
    </row>
    <row r="13" spans="1:14">
      <c r="B13" s="116">
        <v>11</v>
      </c>
      <c r="C13" s="118">
        <f>'Annual Performance Details'!$Q38*(IF(ISNA('Annual Performance Details'!$S38),0,'Annual Performance Details'!$S38)+IF(ISNA('Annual Performance Details'!$AT38),0,'Annual Performance Details'!$AT38)+IF(ISNA('Annual Performance Details'!$BU38),0,'Annual Performance Details'!$BU38))/3</f>
        <v>406.94466846252891</v>
      </c>
      <c r="D13" s="118">
        <f>'Annual Performance Details'!$Q50*(IF(ISNA('Annual Performance Details'!$S50),0,'Annual Performance Details'!$S50)+IF(ISNA('Annual Performance Details'!$AT50),0,'Annual Performance Details'!$AT50)+IF(ISNA('Annual Performance Details'!$BU50),0,'Annual Performance Details'!$BU50))/3</f>
        <v>416.03834904847753</v>
      </c>
      <c r="E13" s="118">
        <f>'Annual Performance Details'!$Q65*(IF(ISNA('Annual Performance Details'!$S65),0,'Annual Performance Details'!$S65)+IF(ISNA('Annual Performance Details'!$AT65),0,'Annual Performance Details'!$AT65)+IF(ISNA('Annual Performance Details'!$BU65),0,'Annual Performance Details'!$BU65))/3</f>
        <v>502.06768762514088</v>
      </c>
      <c r="F13" s="118">
        <f>'Annual Performance Details'!$Q80*(IF(ISNA('Annual Performance Details'!$S80),0,'Annual Performance Details'!$S80)+IF(ISNA('Annual Performance Details'!$AT80),0,'Annual Performance Details'!$AT80)+IF(ISNA('Annual Performance Details'!$BU80),0,'Annual Performance Details'!$BU80))/3</f>
        <v>562.35803668703386</v>
      </c>
      <c r="G13" s="118">
        <f>'Annual Performance Details'!$Q94*(IF(ISNA('Annual Performance Details'!$S94),0,'Annual Performance Details'!$S94)+IF(ISNA('Annual Performance Details'!$AT94),0,'Annual Performance Details'!$AT94)+IF(ISNA('Annual Performance Details'!$BU94),0,'Annual Performance Details'!$BU94))/3</f>
        <v>517.72998083112395</v>
      </c>
      <c r="H13" s="118">
        <f>'Annual Performance Details'!$Q109*(IF(ISNA('Annual Performance Details'!$S109),0,'Annual Performance Details'!$S109)+IF(ISNA('Annual Performance Details'!$AT109),0,'Annual Performance Details'!$AT109)+IF(ISNA('Annual Performance Details'!$BU109),0,'Annual Performance Details'!$BU109))/3</f>
        <v>543.86907020658703</v>
      </c>
      <c r="I13" s="118">
        <f>'Annual Performance Details'!$Q124*(IF(ISNA('Annual Performance Details'!$S124),0,'Annual Performance Details'!$S124)+IF(ISNA('Annual Performance Details'!$AT124),0,'Annual Performance Details'!$AT124)+IF(ISNA('Annual Performance Details'!$BU124),0,'Annual Performance Details'!$BU124))/3</f>
        <v>512.50670696796544</v>
      </c>
      <c r="J13" s="118">
        <f>'Annual Performance Details'!$Q138*(IF(ISNA('Annual Performance Details'!$S138),0,'Annual Performance Details'!$S138)+IF(ISNA('Annual Performance Details'!$AT138),0,'Annual Performance Details'!$AT138)+IF(ISNA('Annual Performance Details'!$BU138),0,'Annual Performance Details'!$BU138))/3</f>
        <v>518.25202534364871</v>
      </c>
      <c r="K13" s="118">
        <f>'Annual Performance Details'!$Q152*(IF(ISNA('Annual Performance Details'!$S152),0,'Annual Performance Details'!$S152)+IF(ISNA('Annual Performance Details'!$AT152),0,'Annual Performance Details'!$AT152)+IF(ISNA('Annual Performance Details'!$BU152),0,'Annual Performance Details'!$BU152))/3</f>
        <v>541.69302071819072</v>
      </c>
      <c r="L13" s="118">
        <f>'Annual Performance Details'!$Q165*(IF(ISNA('Annual Performance Details'!$S165),0,'Annual Performance Details'!$S165)+IF(ISNA('Annual Performance Details'!$AT165),0,'Annual Performance Details'!$AT165)+IF(ISNA('Annual Performance Details'!$BU165),0,'Annual Performance Details'!$BU165))/3</f>
        <v>512.53046860669917</v>
      </c>
      <c r="M13" s="118">
        <f>'Annual Performance Details'!$Q178*(IF(ISNA('Annual Performance Details'!$S178),0,'Annual Performance Details'!$S178)+IF(ISNA('Annual Performance Details'!$AT178),0,'Annual Performance Details'!$AT178)+IF(ISNA('Annual Performance Details'!$BU178),0,'Annual Performance Details'!$BU178))/3</f>
        <v>464.16513385461911</v>
      </c>
      <c r="N13" s="118">
        <f>'Annual Performance Details'!$Q191*(IF(ISNA('Annual Performance Details'!$S191),0,'Annual Performance Details'!$S191)+IF(ISNA('Annual Performance Details'!$AT191),0,'Annual Performance Details'!$AT191)+IF(ISNA('Annual Performance Details'!$BU191),0,'Annual Performance Details'!$BU191))/3</f>
        <v>386.93397554488615</v>
      </c>
    </row>
    <row r="14" spans="1:14">
      <c r="B14" s="116">
        <v>12</v>
      </c>
      <c r="C14" s="118">
        <f>'Annual Performance Details'!$Q39*(IF(ISNA('Annual Performance Details'!$S39),0,'Annual Performance Details'!$S39)+IF(ISNA('Annual Performance Details'!$AT39),0,'Annual Performance Details'!$AT39)+IF(ISNA('Annual Performance Details'!$BU39),0,'Annual Performance Details'!$BU39))/3</f>
        <v>447.94151984716274</v>
      </c>
      <c r="D14" s="118">
        <f>'Annual Performance Details'!$Q51*(IF(ISNA('Annual Performance Details'!$S51),0,'Annual Performance Details'!$S51)+IF(ISNA('Annual Performance Details'!$AT51),0,'Annual Performance Details'!$AT51)+IF(ISNA('Annual Performance Details'!$BU51),0,'Annual Performance Details'!$BU51))/3</f>
        <v>438.36371250950441</v>
      </c>
      <c r="E14" s="118">
        <f>'Annual Performance Details'!$Q66*(IF(ISNA('Annual Performance Details'!$S66),0,'Annual Performance Details'!$S66)+IF(ISNA('Annual Performance Details'!$AT66),0,'Annual Performance Details'!$AT66)+IF(ISNA('Annual Performance Details'!$BU66),0,'Annual Performance Details'!$BU66))/3</f>
        <v>499.96681389413828</v>
      </c>
      <c r="F14" s="118">
        <f>'Annual Performance Details'!$Q81*(IF(ISNA('Annual Performance Details'!$S81),0,'Annual Performance Details'!$S81)+IF(ISNA('Annual Performance Details'!$AT81),0,'Annual Performance Details'!$AT81)+IF(ISNA('Annual Performance Details'!$BU81),0,'Annual Performance Details'!$BU81))/3</f>
        <v>583.43295319851734</v>
      </c>
      <c r="G14" s="118">
        <f>'Annual Performance Details'!$Q95*(IF(ISNA('Annual Performance Details'!$S95),0,'Annual Performance Details'!$S95)+IF(ISNA('Annual Performance Details'!$AT95),0,'Annual Performance Details'!$AT95)+IF(ISNA('Annual Performance Details'!$BU95),0,'Annual Performance Details'!$BU95))/3</f>
        <v>537.83525054939162</v>
      </c>
      <c r="H14" s="118">
        <f>'Annual Performance Details'!$Q110*(IF(ISNA('Annual Performance Details'!$S110),0,'Annual Performance Details'!$S110)+IF(ISNA('Annual Performance Details'!$AT110),0,'Annual Performance Details'!$AT110)+IF(ISNA('Annual Performance Details'!$BU110),0,'Annual Performance Details'!$BU110))/3</f>
        <v>555.74951403029888</v>
      </c>
      <c r="I14" s="118">
        <f>'Annual Performance Details'!$Q125*(IF(ISNA('Annual Performance Details'!$S125),0,'Annual Performance Details'!$S125)+IF(ISNA('Annual Performance Details'!$AT125),0,'Annual Performance Details'!$AT125)+IF(ISNA('Annual Performance Details'!$BU125),0,'Annual Performance Details'!$BU125))/3</f>
        <v>522.03320063048716</v>
      </c>
      <c r="J14" s="118">
        <f>'Annual Performance Details'!$Q139*(IF(ISNA('Annual Performance Details'!$S139),0,'Annual Performance Details'!$S139)+IF(ISNA('Annual Performance Details'!$AT139),0,'Annual Performance Details'!$AT139)+IF(ISNA('Annual Performance Details'!$BU139),0,'Annual Performance Details'!$BU139))/3</f>
        <v>540.76734011507904</v>
      </c>
      <c r="K14" s="118">
        <f>'Annual Performance Details'!$Q153*(IF(ISNA('Annual Performance Details'!$S153),0,'Annual Performance Details'!$S153)+IF(ISNA('Annual Performance Details'!$AT153),0,'Annual Performance Details'!$AT153)+IF(ISNA('Annual Performance Details'!$BU153),0,'Annual Performance Details'!$BU153))/3</f>
        <v>553.77177334629175</v>
      </c>
      <c r="L14" s="118">
        <f>'Annual Performance Details'!$Q166*(IF(ISNA('Annual Performance Details'!$S166),0,'Annual Performance Details'!$S166)+IF(ISNA('Annual Performance Details'!$AT166),0,'Annual Performance Details'!$AT166)+IF(ISNA('Annual Performance Details'!$BU166),0,'Annual Performance Details'!$BU166))/3</f>
        <v>502.62023613237938</v>
      </c>
      <c r="M14" s="118">
        <f>'Annual Performance Details'!$Q179*(IF(ISNA('Annual Performance Details'!$S179),0,'Annual Performance Details'!$S179)+IF(ISNA('Annual Performance Details'!$AT179),0,'Annual Performance Details'!$AT179)+IF(ISNA('Annual Performance Details'!$BU179),0,'Annual Performance Details'!$BU179))/3</f>
        <v>484.97517021301127</v>
      </c>
      <c r="N14" s="118">
        <f>'Annual Performance Details'!$Q192*(IF(ISNA('Annual Performance Details'!$S192),0,'Annual Performance Details'!$S192)+IF(ISNA('Annual Performance Details'!$AT192),0,'Annual Performance Details'!$AT192)+IF(ISNA('Annual Performance Details'!$BU192),0,'Annual Performance Details'!$BU192))/3</f>
        <v>407.27879082691896</v>
      </c>
    </row>
    <row r="15" spans="1:14">
      <c r="B15" s="116">
        <v>13</v>
      </c>
      <c r="C15" s="118">
        <f>'Annual Performance Details'!$Q40*(IF(ISNA('Annual Performance Details'!$S40),0,'Annual Performance Details'!$S40)+IF(ISNA('Annual Performance Details'!$AT40),0,'Annual Performance Details'!$AT40)+IF(ISNA('Annual Performance Details'!$BU40),0,'Annual Performance Details'!$BU40))/3</f>
        <v>427.26081731817862</v>
      </c>
      <c r="D15" s="118">
        <f>'Annual Performance Details'!$Q52*(IF(ISNA('Annual Performance Details'!$S52),0,'Annual Performance Details'!$S52)+IF(ISNA('Annual Performance Details'!$AT52),0,'Annual Performance Details'!$AT52)+IF(ISNA('Annual Performance Details'!$BU52),0,'Annual Performance Details'!$BU52))/3</f>
        <v>418.24520193488348</v>
      </c>
      <c r="E15" s="118">
        <f>'Annual Performance Details'!$Q67*(IF(ISNA('Annual Performance Details'!$S67),0,'Annual Performance Details'!$S67)+IF(ISNA('Annual Performance Details'!$AT67),0,'Annual Performance Details'!$AT67)+IF(ISNA('Annual Performance Details'!$BU67),0,'Annual Performance Details'!$BU67))/3</f>
        <v>494.36029380042777</v>
      </c>
      <c r="F15" s="118">
        <f>'Annual Performance Details'!$Q82*(IF(ISNA('Annual Performance Details'!$S82),0,'Annual Performance Details'!$S82)+IF(ISNA('Annual Performance Details'!$AT82),0,'Annual Performance Details'!$AT82)+IF(ISNA('Annual Performance Details'!$BU82),0,'Annual Performance Details'!$BU82))/3</f>
        <v>545.18549633942359</v>
      </c>
      <c r="G15" s="118">
        <f>'Annual Performance Details'!$Q96*(IF(ISNA('Annual Performance Details'!$S96),0,'Annual Performance Details'!$S96)+IF(ISNA('Annual Performance Details'!$AT96),0,'Annual Performance Details'!$AT96)+IF(ISNA('Annual Performance Details'!$BU96),0,'Annual Performance Details'!$BU96))/3</f>
        <v>529.15035927769088</v>
      </c>
      <c r="H15" s="118">
        <f>'Annual Performance Details'!$Q111*(IF(ISNA('Annual Performance Details'!$S111),0,'Annual Performance Details'!$S111)+IF(ISNA('Annual Performance Details'!$AT111),0,'Annual Performance Details'!$AT111)+IF(ISNA('Annual Performance Details'!$BU111),0,'Annual Performance Details'!$BU111))/3</f>
        <v>525.3073864697775</v>
      </c>
      <c r="I15" s="118">
        <f>'Annual Performance Details'!$Q126*(IF(ISNA('Annual Performance Details'!$S126),0,'Annual Performance Details'!$S126)+IF(ISNA('Annual Performance Details'!$AT126),0,'Annual Performance Details'!$AT126)+IF(ISNA('Annual Performance Details'!$BU126),0,'Annual Performance Details'!$BU126))/3</f>
        <v>528.26505862291833</v>
      </c>
      <c r="J15" s="118">
        <f>'Annual Performance Details'!$Q140*(IF(ISNA('Annual Performance Details'!$S140),0,'Annual Performance Details'!$S140)+IF(ISNA('Annual Performance Details'!$AT140),0,'Annual Performance Details'!$AT140)+IF(ISNA('Annual Performance Details'!$BU140),0,'Annual Performance Details'!$BU140))/3</f>
        <v>513.00754435608337</v>
      </c>
      <c r="K15" s="118">
        <f>'Annual Performance Details'!$Q154*(IF(ISNA('Annual Performance Details'!$S154),0,'Annual Performance Details'!$S154)+IF(ISNA('Annual Performance Details'!$AT154),0,'Annual Performance Details'!$AT154)+IF(ISNA('Annual Performance Details'!$BU154),0,'Annual Performance Details'!$BU154))/3</f>
        <v>522.67996851659268</v>
      </c>
      <c r="L15" s="118">
        <f>'Annual Performance Details'!$Q167*(IF(ISNA('Annual Performance Details'!$S167),0,'Annual Performance Details'!$S167)+IF(ISNA('Annual Performance Details'!$AT167),0,'Annual Performance Details'!$AT167)+IF(ISNA('Annual Performance Details'!$BU167),0,'Annual Performance Details'!$BU167))/3</f>
        <v>475.99418459156112</v>
      </c>
      <c r="M15" s="118">
        <f>'Annual Performance Details'!$Q180*(IF(ISNA('Annual Performance Details'!$S180),0,'Annual Performance Details'!$S180)+IF(ISNA('Annual Performance Details'!$AT180),0,'Annual Performance Details'!$AT180)+IF(ISNA('Annual Performance Details'!$BU180),0,'Annual Performance Details'!$BU180))/3</f>
        <v>434.2950348100419</v>
      </c>
      <c r="N15" s="118">
        <f>'Annual Performance Details'!$Q193*(IF(ISNA('Annual Performance Details'!$S193),0,'Annual Performance Details'!$S193)+IF(ISNA('Annual Performance Details'!$AT193),0,'Annual Performance Details'!$AT193)+IF(ISNA('Annual Performance Details'!$BU193),0,'Annual Performance Details'!$BU193))/3</f>
        <v>381.72327812192702</v>
      </c>
    </row>
    <row r="16" spans="1:14">
      <c r="B16" s="116">
        <v>14</v>
      </c>
      <c r="C16" s="118">
        <f>'Annual Performance Details'!$Q41*(IF(ISNA('Annual Performance Details'!$S41),0,'Annual Performance Details'!$S41)+IF(ISNA('Annual Performance Details'!$AT41),0,'Annual Performance Details'!$AT41)+IF(ISNA('Annual Performance Details'!$BU41),0,'Annual Performance Details'!$BU41))/3</f>
        <v>366.67473964652618</v>
      </c>
      <c r="D16" s="118">
        <f>'Annual Performance Details'!$Q53*(IF(ISNA('Annual Performance Details'!$S53),0,'Annual Performance Details'!$S53)+IF(ISNA('Annual Performance Details'!$AT53),0,'Annual Performance Details'!$AT53)+IF(ISNA('Annual Performance Details'!$BU53),0,'Annual Performance Details'!$BU53))/3</f>
        <v>395.13449895536769</v>
      </c>
      <c r="E16" s="118">
        <f>'Annual Performance Details'!$Q68*(IF(ISNA('Annual Performance Details'!$S68),0,'Annual Performance Details'!$S68)+IF(ISNA('Annual Performance Details'!$AT68),0,'Annual Performance Details'!$AT68)+IF(ISNA('Annual Performance Details'!$BU68),0,'Annual Performance Details'!$BU68))/3</f>
        <v>459.56715149250431</v>
      </c>
      <c r="F16" s="118">
        <f>'Annual Performance Details'!$Q83*(IF(ISNA('Annual Performance Details'!$S83),0,'Annual Performance Details'!$S83)+IF(ISNA('Annual Performance Details'!$AT83),0,'Annual Performance Details'!$AT83)+IF(ISNA('Annual Performance Details'!$BU83),0,'Annual Performance Details'!$BU83))/3</f>
        <v>523.07772476897048</v>
      </c>
      <c r="G16" s="118">
        <f>'Annual Performance Details'!$Q97*(IF(ISNA('Annual Performance Details'!$S97),0,'Annual Performance Details'!$S97)+IF(ISNA('Annual Performance Details'!$AT97),0,'Annual Performance Details'!$AT97)+IF(ISNA('Annual Performance Details'!$BU97),0,'Annual Performance Details'!$BU97))/3</f>
        <v>497.17035327060245</v>
      </c>
      <c r="H16" s="118">
        <f>'Annual Performance Details'!$Q112*(IF(ISNA('Annual Performance Details'!$S112),0,'Annual Performance Details'!$S112)+IF(ISNA('Annual Performance Details'!$AT112),0,'Annual Performance Details'!$AT112)+IF(ISNA('Annual Performance Details'!$BU112),0,'Annual Performance Details'!$BU112))/3</f>
        <v>522.09882656909474</v>
      </c>
      <c r="I16" s="118">
        <f>'Annual Performance Details'!$Q127*(IF(ISNA('Annual Performance Details'!$S127),0,'Annual Performance Details'!$S127)+IF(ISNA('Annual Performance Details'!$AT127),0,'Annual Performance Details'!$AT127)+IF(ISNA('Annual Performance Details'!$BU127),0,'Annual Performance Details'!$BU127))/3</f>
        <v>497.25604799037177</v>
      </c>
      <c r="J16" s="118">
        <f>'Annual Performance Details'!$Q141*(IF(ISNA('Annual Performance Details'!$S141),0,'Annual Performance Details'!$S141)+IF(ISNA('Annual Performance Details'!$AT141),0,'Annual Performance Details'!$AT141)+IF(ISNA('Annual Performance Details'!$BU141),0,'Annual Performance Details'!$BU141))/3</f>
        <v>490.33490664358266</v>
      </c>
      <c r="K16" s="118">
        <f>'Annual Performance Details'!$Q155*(IF(ISNA('Annual Performance Details'!$S155),0,'Annual Performance Details'!$S155)+IF(ISNA('Annual Performance Details'!$AT155),0,'Annual Performance Details'!$AT155)+IF(ISNA('Annual Performance Details'!$BU155),0,'Annual Performance Details'!$BU155))/3</f>
        <v>477.64984837482547</v>
      </c>
      <c r="L16" s="118">
        <f>'Annual Performance Details'!$Q168*(IF(ISNA('Annual Performance Details'!$S168),0,'Annual Performance Details'!$S168)+IF(ISNA('Annual Performance Details'!$AT168),0,'Annual Performance Details'!$AT168)+IF(ISNA('Annual Performance Details'!$BU168),0,'Annual Performance Details'!$BU168))/3</f>
        <v>445.73176733920337</v>
      </c>
      <c r="M16" s="118">
        <f>'Annual Performance Details'!$Q181*(IF(ISNA('Annual Performance Details'!$S181),0,'Annual Performance Details'!$S181)+IF(ISNA('Annual Performance Details'!$AT181),0,'Annual Performance Details'!$AT181)+IF(ISNA('Annual Performance Details'!$BU181),0,'Annual Performance Details'!$BU181))/3</f>
        <v>342.57418278033362</v>
      </c>
      <c r="N16" s="118">
        <f>'Annual Performance Details'!$Q194*(IF(ISNA('Annual Performance Details'!$S194),0,'Annual Performance Details'!$S194)+IF(ISNA('Annual Performance Details'!$AT194),0,'Annual Performance Details'!$AT194)+IF(ISNA('Annual Performance Details'!$BU194),0,'Annual Performance Details'!$BU194))/3</f>
        <v>311.8633267793428</v>
      </c>
    </row>
    <row r="17" spans="2:17">
      <c r="B17" s="116">
        <v>15</v>
      </c>
      <c r="C17" s="118">
        <f>'Annual Performance Details'!$Q42*(IF(ISNA('Annual Performance Details'!$S42),0,'Annual Performance Details'!$S42)+IF(ISNA('Annual Performance Details'!$AT42),0,'Annual Performance Details'!$AT42)+IF(ISNA('Annual Performance Details'!$BU42),0,'Annual Performance Details'!$BU42))/3</f>
        <v>277.64805375717668</v>
      </c>
      <c r="D17" s="118">
        <f>'Annual Performance Details'!$Q54*(IF(ISNA('Annual Performance Details'!$S54),0,'Annual Performance Details'!$S54)+IF(ISNA('Annual Performance Details'!$AT54),0,'Annual Performance Details'!$AT54)+IF(ISNA('Annual Performance Details'!$BU54),0,'Annual Performance Details'!$BU54))/3</f>
        <v>323.88038416419982</v>
      </c>
      <c r="E17" s="118">
        <f>'Annual Performance Details'!$Q69*(IF(ISNA('Annual Performance Details'!$S69),0,'Annual Performance Details'!$S69)+IF(ISNA('Annual Performance Details'!$AT69),0,'Annual Performance Details'!$AT69)+IF(ISNA('Annual Performance Details'!$BU69),0,'Annual Performance Details'!$BU69))/3</f>
        <v>389.43449095306784</v>
      </c>
      <c r="F17" s="118">
        <f>'Annual Performance Details'!$Q84*(IF(ISNA('Annual Performance Details'!$S84),0,'Annual Performance Details'!$S84)+IF(ISNA('Annual Performance Details'!$AT84),0,'Annual Performance Details'!$AT84)+IF(ISNA('Annual Performance Details'!$BU84),0,'Annual Performance Details'!$BU84))/3</f>
        <v>468.56964438411643</v>
      </c>
      <c r="G17" s="118">
        <f>'Annual Performance Details'!$Q98*(IF(ISNA('Annual Performance Details'!$S98),0,'Annual Performance Details'!$S98)+IF(ISNA('Annual Performance Details'!$AT98),0,'Annual Performance Details'!$AT98)+IF(ISNA('Annual Performance Details'!$BU98),0,'Annual Performance Details'!$BU98))/3</f>
        <v>435.99999765097141</v>
      </c>
      <c r="H17" s="118">
        <f>'Annual Performance Details'!$Q113*(IF(ISNA('Annual Performance Details'!$S113),0,'Annual Performance Details'!$S113)+IF(ISNA('Annual Performance Details'!$AT113),0,'Annual Performance Details'!$AT113)+IF(ISNA('Annual Performance Details'!$BU113),0,'Annual Performance Details'!$BU113))/3</f>
        <v>446.47143147288119</v>
      </c>
      <c r="I17" s="118">
        <f>'Annual Performance Details'!$Q128*(IF(ISNA('Annual Performance Details'!$S128),0,'Annual Performance Details'!$S128)+IF(ISNA('Annual Performance Details'!$AT128),0,'Annual Performance Details'!$AT128)+IF(ISNA('Annual Performance Details'!$BU128),0,'Annual Performance Details'!$BU128))/3</f>
        <v>461.3051640473189</v>
      </c>
      <c r="J17" s="118">
        <f>'Annual Performance Details'!$Q142*(IF(ISNA('Annual Performance Details'!$S142),0,'Annual Performance Details'!$S142)+IF(ISNA('Annual Performance Details'!$AT142),0,'Annual Performance Details'!$AT142)+IF(ISNA('Annual Performance Details'!$BU142),0,'Annual Performance Details'!$BU142))/3</f>
        <v>424.7300838526894</v>
      </c>
      <c r="K17" s="118">
        <f>'Annual Performance Details'!$Q156*(IF(ISNA('Annual Performance Details'!$S156),0,'Annual Performance Details'!$S156)+IF(ISNA('Annual Performance Details'!$AT156),0,'Annual Performance Details'!$AT156)+IF(ISNA('Annual Performance Details'!$BU156),0,'Annual Performance Details'!$BU156))/3</f>
        <v>402.01429031631648</v>
      </c>
      <c r="L17" s="118">
        <f>'Annual Performance Details'!$Q169*(IF(ISNA('Annual Performance Details'!$S169),0,'Annual Performance Details'!$S169)+IF(ISNA('Annual Performance Details'!$AT169),0,'Annual Performance Details'!$AT169)+IF(ISNA('Annual Performance Details'!$BU169),0,'Annual Performance Details'!$BU169))/3</f>
        <v>353.59556021479671</v>
      </c>
      <c r="M17" s="118">
        <f>'Annual Performance Details'!$Q182*(IF(ISNA('Annual Performance Details'!$S182),0,'Annual Performance Details'!$S182)+IF(ISNA('Annual Performance Details'!$AT182),0,'Annual Performance Details'!$AT182)+IF(ISNA('Annual Performance Details'!$BU182),0,'Annual Performance Details'!$BU182))/3</f>
        <v>241.7836044368203</v>
      </c>
      <c r="N17" s="118">
        <f>'Annual Performance Details'!$Q195*(IF(ISNA('Annual Performance Details'!$S195),0,'Annual Performance Details'!$S195)+IF(ISNA('Annual Performance Details'!$AT195),0,'Annual Performance Details'!$AT195)+IF(ISNA('Annual Performance Details'!$BU195),0,'Annual Performance Details'!$BU195))/3</f>
        <v>212.57466515863041</v>
      </c>
    </row>
    <row r="18" spans="2:17">
      <c r="B18" s="116">
        <v>16</v>
      </c>
      <c r="C18" s="118">
        <f>'Annual Performance Details'!$Q43*(IF(ISNA('Annual Performance Details'!$S43),0,'Annual Performance Details'!$S43)+IF(ISNA('Annual Performance Details'!$AT43),0,'Annual Performance Details'!$AT43)+IF(ISNA('Annual Performance Details'!$BU43),0,'Annual Performance Details'!$BU43))/3</f>
        <v>135.74008355233494</v>
      </c>
      <c r="D18" s="118">
        <f>'Annual Performance Details'!$Q55*(IF(ISNA('Annual Performance Details'!$S55),0,'Annual Performance Details'!$S55)+IF(ISNA('Annual Performance Details'!$AT55),0,'Annual Performance Details'!$AT55)+IF(ISNA('Annual Performance Details'!$BU55),0,'Annual Performance Details'!$BU55))/3</f>
        <v>216.06515737516017</v>
      </c>
      <c r="E18" s="118">
        <f>'Annual Performance Details'!$Q70*(IF(ISNA('Annual Performance Details'!$S70),0,'Annual Performance Details'!$S70)+IF(ISNA('Annual Performance Details'!$AT70),0,'Annual Performance Details'!$AT70)+IF(ISNA('Annual Performance Details'!$BU70),0,'Annual Performance Details'!$BU70))/3</f>
        <v>270.70269963931759</v>
      </c>
      <c r="F18" s="118">
        <f>'Annual Performance Details'!$Q85*(IF(ISNA('Annual Performance Details'!$S85),0,'Annual Performance Details'!$S85)+IF(ISNA('Annual Performance Details'!$AT85),0,'Annual Performance Details'!$AT85)+IF(ISNA('Annual Performance Details'!$BU85),0,'Annual Performance Details'!$BU85))/3</f>
        <v>332.62828746294946</v>
      </c>
      <c r="G18" s="118">
        <f>'Annual Performance Details'!$Q99*(IF(ISNA('Annual Performance Details'!$S99),0,'Annual Performance Details'!$S99)+IF(ISNA('Annual Performance Details'!$AT99),0,'Annual Performance Details'!$AT99)+IF(ISNA('Annual Performance Details'!$BU99),0,'Annual Performance Details'!$BU99))/3</f>
        <v>343.81249659973082</v>
      </c>
      <c r="H18" s="118">
        <f>'Annual Performance Details'!$Q114*(IF(ISNA('Annual Performance Details'!$S114),0,'Annual Performance Details'!$S114)+IF(ISNA('Annual Performance Details'!$AT114),0,'Annual Performance Details'!$AT114)+IF(ISNA('Annual Performance Details'!$BU114),0,'Annual Performance Details'!$BU114))/3</f>
        <v>366.44034177703998</v>
      </c>
      <c r="I18" s="118">
        <f>'Annual Performance Details'!$Q129*(IF(ISNA('Annual Performance Details'!$S129),0,'Annual Performance Details'!$S129)+IF(ISNA('Annual Performance Details'!$AT129),0,'Annual Performance Details'!$AT129)+IF(ISNA('Annual Performance Details'!$BU129),0,'Annual Performance Details'!$BU129))/3</f>
        <v>361.13340727432683</v>
      </c>
      <c r="J18" s="118">
        <f>'Annual Performance Details'!$Q143*(IF(ISNA('Annual Performance Details'!$S143),0,'Annual Performance Details'!$S143)+IF(ISNA('Annual Performance Details'!$AT143),0,'Annual Performance Details'!$AT143)+IF(ISNA('Annual Performance Details'!$BU143),0,'Annual Performance Details'!$BU143))/3</f>
        <v>302.88908637566647</v>
      </c>
      <c r="K18" s="118">
        <f>'Annual Performance Details'!$Q157*(IF(ISNA('Annual Performance Details'!$S157),0,'Annual Performance Details'!$S157)+IF(ISNA('Annual Performance Details'!$AT157),0,'Annual Performance Details'!$AT157)+IF(ISNA('Annual Performance Details'!$BU157),0,'Annual Performance Details'!$BU157))/3</f>
        <v>252.34548122158466</v>
      </c>
      <c r="L18" s="118">
        <f>'Annual Performance Details'!$Q170*(IF(ISNA('Annual Performance Details'!$S170),0,'Annual Performance Details'!$S170)+IF(ISNA('Annual Performance Details'!$AT170),0,'Annual Performance Details'!$AT170)+IF(ISNA('Annual Performance Details'!$BU170),0,'Annual Performance Details'!$BU170))/3</f>
        <v>222.71715870101036</v>
      </c>
      <c r="M18" s="118">
        <f>'Annual Performance Details'!$Q183*(IF(ISNA('Annual Performance Details'!$S183),0,'Annual Performance Details'!$S183)+IF(ISNA('Annual Performance Details'!$AT183),0,'Annual Performance Details'!$AT183)+IF(ISNA('Annual Performance Details'!$BU183),0,'Annual Performance Details'!$BU183))/3</f>
        <v>120.51816078166483</v>
      </c>
      <c r="N18" s="118">
        <f>'Annual Performance Details'!$Q196*(IF(ISNA('Annual Performance Details'!$S196),0,'Annual Performance Details'!$S196)+IF(ISNA('Annual Performance Details'!$AT196),0,'Annual Performance Details'!$AT196)+IF(ISNA('Annual Performance Details'!$BU196),0,'Annual Performance Details'!$BU196))/3</f>
        <v>80.662078506380709</v>
      </c>
    </row>
    <row r="19" spans="2:17">
      <c r="B19" s="116">
        <v>17</v>
      </c>
      <c r="C19" s="119"/>
      <c r="E19" s="118">
        <f>'Annual Performance Details'!$Q71*(IF(ISNA('Annual Performance Details'!$S71),0,'Annual Performance Details'!$S71)+IF(ISNA('Annual Performance Details'!$AT71),0,'Annual Performance Details'!$AT71)+IF(ISNA('Annual Performance Details'!$BU71),0,'Annual Performance Details'!$BU71))/3</f>
        <v>108.31151864574515</v>
      </c>
      <c r="F19" s="118">
        <f>'Annual Performance Details'!$Q86*(IF(ISNA('Annual Performance Details'!$S86),0,'Annual Performance Details'!$S86)+IF(ISNA('Annual Performance Details'!$AT86),0,'Annual Performance Details'!$AT86)+IF(ISNA('Annual Performance Details'!$BU86),0,'Annual Performance Details'!$BU86))/3</f>
        <v>169.58276542694696</v>
      </c>
      <c r="G19" s="118">
        <f>'Annual Performance Details'!$Q100*(IF(ISNA('Annual Performance Details'!$S100),0,'Annual Performance Details'!$S100)+IF(ISNA('Annual Performance Details'!$AT100),0,'Annual Performance Details'!$AT100)+IF(ISNA('Annual Performance Details'!$BU100),0,'Annual Performance Details'!$BU100))/3</f>
        <v>206.5798784102673</v>
      </c>
      <c r="H19" s="118">
        <f>'Annual Performance Details'!$Q115*(IF(ISNA('Annual Performance Details'!$S115),0,'Annual Performance Details'!$S115)+IF(ISNA('Annual Performance Details'!$AT115),0,'Annual Performance Details'!$AT115)+IF(ISNA('Annual Performance Details'!$BU115),0,'Annual Performance Details'!$BU115))/3</f>
        <v>234.27956027486755</v>
      </c>
      <c r="I19" s="118">
        <f>'Annual Performance Details'!$Q130*(IF(ISNA('Annual Performance Details'!$S130),0,'Annual Performance Details'!$S130)+IF(ISNA('Annual Performance Details'!$AT130),0,'Annual Performance Details'!$AT130)+IF(ISNA('Annual Performance Details'!$BU130),0,'Annual Performance Details'!$BU130))/3</f>
        <v>212.58651474113773</v>
      </c>
      <c r="J19" s="118">
        <f>'Annual Performance Details'!$Q144*(IF(ISNA('Annual Performance Details'!$S144),0,'Annual Performance Details'!$S144)+IF(ISNA('Annual Performance Details'!$AT144),0,'Annual Performance Details'!$AT144)+IF(ISNA('Annual Performance Details'!$BU144),0,'Annual Performance Details'!$BU144))/3</f>
        <v>143.27698779934639</v>
      </c>
      <c r="K19" s="118">
        <f>'Annual Performance Details'!$Q158*(IF(ISNA('Annual Performance Details'!$S158),0,'Annual Performance Details'!$S158)+IF(ISNA('Annual Performance Details'!$AT158),0,'Annual Performance Details'!$AT158)+IF(ISNA('Annual Performance Details'!$BU158),0,'Annual Performance Details'!$BU158))/3</f>
        <v>106.87825259180148</v>
      </c>
    </row>
    <row r="20" spans="2:17">
      <c r="B20" s="116">
        <v>18</v>
      </c>
      <c r="G20" s="118">
        <f>'Annual Performance Details'!$Q101*(IF(ISNA('Annual Performance Details'!$S101),0,'Annual Performance Details'!$S101)+IF(ISNA('Annual Performance Details'!$AT101),0,'Annual Performance Details'!$AT101)+IF(ISNA('Annual Performance Details'!$BU101),0,'Annual Performance Details'!$BU101))/3</f>
        <v>60.843256496408948</v>
      </c>
      <c r="H20" s="118">
        <f>'Annual Performance Details'!$Q116*(IF(ISNA('Annual Performance Details'!$S116),0,'Annual Performance Details'!$S116)+IF(ISNA('Annual Performance Details'!$AT116),0,'Annual Performance Details'!$AT116)+IF(ISNA('Annual Performance Details'!$BU116),0,'Annual Performance Details'!$BU116))/3</f>
        <v>91.445724768970578</v>
      </c>
      <c r="I20" s="118">
        <f>'Annual Performance Details'!$Q131*(IF(ISNA('Annual Performance Details'!$S131),0,'Annual Performance Details'!$S131)+IF(ISNA('Annual Performance Details'!$AT131),0,'Annual Performance Details'!$AT131)+IF(ISNA('Annual Performance Details'!$BU131),0,'Annual Performance Details'!$BU131))/3</f>
        <v>73.87826580739592</v>
      </c>
    </row>
    <row r="21" spans="2:17">
      <c r="B21" s="116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2:17">
      <c r="B22" s="116" t="s">
        <v>90</v>
      </c>
      <c r="C22" s="34">
        <f>COUNTIF(C8:C20,"&gt;0")</f>
        <v>9</v>
      </c>
      <c r="D22" s="34">
        <f t="shared" ref="D22:M22" si="0">COUNTIF(D8:D20,"&gt;0")</f>
        <v>9</v>
      </c>
      <c r="E22" s="34">
        <f t="shared" si="0"/>
        <v>11</v>
      </c>
      <c r="F22" s="34">
        <f t="shared" si="0"/>
        <v>11</v>
      </c>
      <c r="G22" s="34">
        <f t="shared" si="0"/>
        <v>13</v>
      </c>
      <c r="H22" s="34">
        <f t="shared" si="0"/>
        <v>13</v>
      </c>
      <c r="I22" s="34">
        <f>COUNTIF(I8:I20,"&gt;0")</f>
        <v>13</v>
      </c>
      <c r="J22" s="34">
        <f t="shared" si="0"/>
        <v>11</v>
      </c>
      <c r="K22" s="34">
        <f t="shared" si="0"/>
        <v>11</v>
      </c>
      <c r="L22" s="34">
        <f t="shared" si="0"/>
        <v>9</v>
      </c>
      <c r="M22" s="34">
        <f t="shared" si="0"/>
        <v>9</v>
      </c>
      <c r="N22" s="34">
        <f>COUNTIF(N8:N20,"&gt;0")</f>
        <v>9</v>
      </c>
    </row>
    <row r="23" spans="2:17">
      <c r="B23" s="115" t="s">
        <v>91</v>
      </c>
      <c r="C23" s="126">
        <v>31</v>
      </c>
      <c r="D23" s="126">
        <v>28</v>
      </c>
      <c r="E23" s="126">
        <v>31</v>
      </c>
      <c r="F23" s="126">
        <v>30</v>
      </c>
      <c r="G23" s="126">
        <v>31</v>
      </c>
      <c r="H23" s="126">
        <v>30</v>
      </c>
      <c r="I23" s="126">
        <v>31</v>
      </c>
      <c r="J23" s="126">
        <v>30</v>
      </c>
      <c r="K23" s="126">
        <v>31</v>
      </c>
      <c r="L23" s="126">
        <v>31</v>
      </c>
      <c r="M23" s="126">
        <v>30</v>
      </c>
      <c r="N23" s="126">
        <v>31</v>
      </c>
      <c r="O23" s="116" t="s">
        <v>92</v>
      </c>
      <c r="Q23" s="116" t="s">
        <v>93</v>
      </c>
    </row>
    <row r="24" spans="2:17">
      <c r="B24" s="115" t="s">
        <v>94</v>
      </c>
      <c r="C24" s="126">
        <f t="shared" ref="C24:N24" si="1">C23*C22</f>
        <v>279</v>
      </c>
      <c r="D24" s="126">
        <f t="shared" si="1"/>
        <v>252</v>
      </c>
      <c r="E24" s="126">
        <f t="shared" si="1"/>
        <v>341</v>
      </c>
      <c r="F24" s="126">
        <f t="shared" si="1"/>
        <v>330</v>
      </c>
      <c r="G24" s="126">
        <f t="shared" si="1"/>
        <v>403</v>
      </c>
      <c r="H24" s="126">
        <f t="shared" si="1"/>
        <v>390</v>
      </c>
      <c r="I24" s="126">
        <f t="shared" si="1"/>
        <v>403</v>
      </c>
      <c r="J24" s="126">
        <f t="shared" si="1"/>
        <v>330</v>
      </c>
      <c r="K24" s="126">
        <f t="shared" si="1"/>
        <v>341</v>
      </c>
      <c r="L24" s="126">
        <f t="shared" si="1"/>
        <v>279</v>
      </c>
      <c r="M24" s="126">
        <f t="shared" si="1"/>
        <v>270</v>
      </c>
      <c r="N24" s="126">
        <f t="shared" si="1"/>
        <v>279</v>
      </c>
      <c r="O24" s="126">
        <f>SUM(C24:N24)</f>
        <v>3897</v>
      </c>
      <c r="Q24" s="119">
        <f>O24/8760</f>
        <v>0.44486301369863013</v>
      </c>
    </row>
    <row r="25" spans="2:17">
      <c r="B25" s="11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</row>
    <row r="26" spans="2:17" ht="17.45">
      <c r="B26" s="115" t="s">
        <v>95</v>
      </c>
      <c r="C26" s="120">
        <f t="shared" ref="C26:N26" si="2">SUM(C8:C20)*C23/1000</f>
        <v>82.422046616501817</v>
      </c>
      <c r="D26" s="120">
        <f t="shared" si="2"/>
        <v>83.230784025393234</v>
      </c>
      <c r="E26" s="120">
        <f t="shared" si="2"/>
        <v>119.10449208538719</v>
      </c>
      <c r="F26" s="120">
        <f t="shared" si="2"/>
        <v>138.35935303781986</v>
      </c>
      <c r="G26" s="120">
        <f t="shared" si="2"/>
        <v>141.03535665110681</v>
      </c>
      <c r="H26" s="120">
        <f t="shared" si="2"/>
        <v>147.79917978280355</v>
      </c>
      <c r="I26" s="120">
        <f t="shared" si="2"/>
        <v>142.22983068276415</v>
      </c>
      <c r="J26" s="120">
        <f t="shared" si="2"/>
        <v>128.85525044125592</v>
      </c>
      <c r="K26" s="120">
        <f t="shared" si="2"/>
        <v>130.38313107048961</v>
      </c>
      <c r="L26" s="120">
        <f t="shared" si="2"/>
        <v>109.58579742655768</v>
      </c>
      <c r="M26" s="120">
        <f t="shared" si="2"/>
        <v>86.808430073068422</v>
      </c>
      <c r="N26" s="120">
        <f t="shared" si="2"/>
        <v>72.525814614083615</v>
      </c>
      <c r="O26" s="121" t="s">
        <v>96</v>
      </c>
    </row>
    <row r="27" spans="2:17" ht="17.45">
      <c r="B27" s="122" t="s">
        <v>97</v>
      </c>
      <c r="C27" s="123">
        <f>C26/Daggett!B23</f>
        <v>0.46515407841450745</v>
      </c>
      <c r="D27" s="123">
        <f>D26/Daggett!C23</f>
        <v>0.49030812023064957</v>
      </c>
      <c r="E27" s="123">
        <f>E26/Daggett!D23</f>
        <v>0.52105577442498874</v>
      </c>
      <c r="F27" s="123">
        <f>F26/Daggett!E23</f>
        <v>0.50744093595277595</v>
      </c>
      <c r="G27" s="123">
        <f>G26/Daggett!F23</f>
        <v>0.50637970626965967</v>
      </c>
      <c r="H27" s="123">
        <f>H26/Daggett!G23</f>
        <v>0.50207959868331964</v>
      </c>
      <c r="I27" s="123">
        <f>I26/Daggett!H23</f>
        <v>0.49956387134454999</v>
      </c>
      <c r="J27" s="123">
        <f>J26/Daggett!I23</f>
        <v>0.50049589138339579</v>
      </c>
      <c r="K27" s="123">
        <f>K26/Daggett!J23</f>
        <v>0.5159560710658786</v>
      </c>
      <c r="L27" s="123">
        <f>L26/Daggett!K23</f>
        <v>0.49563009907807043</v>
      </c>
      <c r="M27" s="123">
        <f>M26/Daggett!L23</f>
        <v>0.47312718730893311</v>
      </c>
      <c r="N27" s="123">
        <f>N26/Daggett!M23</f>
        <v>0.43529766531872632</v>
      </c>
      <c r="O27" s="124">
        <f>SUM(C26:N26)/Daggett!B24</f>
        <v>0.49597073791868707</v>
      </c>
    </row>
    <row r="28" spans="2:17">
      <c r="B28" s="122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4"/>
    </row>
    <row r="29" spans="2:17" ht="18">
      <c r="B29" s="150" t="s">
        <v>98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</row>
    <row r="30" spans="2:17" ht="18" customHeight="1">
      <c r="B30" s="122"/>
      <c r="C30" s="149" t="s">
        <v>88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14"/>
    </row>
    <row r="31" spans="2:17">
      <c r="B31" s="116" t="s">
        <v>89</v>
      </c>
      <c r="C31" s="116">
        <v>1</v>
      </c>
      <c r="D31" s="116">
        <v>2</v>
      </c>
      <c r="E31" s="116">
        <v>3</v>
      </c>
      <c r="F31" s="116">
        <v>4</v>
      </c>
      <c r="G31" s="116">
        <v>5</v>
      </c>
      <c r="H31" s="116">
        <v>6</v>
      </c>
      <c r="I31" s="116">
        <v>7</v>
      </c>
      <c r="J31" s="116">
        <v>8</v>
      </c>
      <c r="K31" s="116">
        <v>9</v>
      </c>
      <c r="L31" s="116">
        <v>10</v>
      </c>
      <c r="M31" s="116">
        <v>11</v>
      </c>
      <c r="N31" s="116">
        <v>12</v>
      </c>
    </row>
    <row r="32" spans="2:17">
      <c r="B32" s="116">
        <v>6</v>
      </c>
      <c r="C32" s="118">
        <f>C8*Scaling!$E$30/1000</f>
        <v>0</v>
      </c>
      <c r="D32" s="118">
        <f>D8*Scaling!$E$30/1000</f>
        <v>0</v>
      </c>
      <c r="E32" s="118">
        <f>E8*Scaling!$E$30/1000</f>
        <v>0</v>
      </c>
      <c r="F32" s="118">
        <f>F8*Scaling!$E$30/1000</f>
        <v>0</v>
      </c>
      <c r="G32" s="118">
        <f>G8*Scaling!$E$30/1000</f>
        <v>12441.573394005936</v>
      </c>
      <c r="H32" s="118">
        <f>H8*Scaling!$E$30/1000</f>
        <v>28795.433666691359</v>
      </c>
      <c r="I32" s="118">
        <f>I8*Scaling!$E$30/1000</f>
        <v>12488.214350651097</v>
      </c>
      <c r="J32" s="118">
        <f>J8*Scaling!$E$30/1000</f>
        <v>0</v>
      </c>
      <c r="K32" s="118">
        <f>K8*Scaling!$E$30/1000</f>
        <v>0</v>
      </c>
      <c r="L32" s="118">
        <f>L8*Scaling!$E$30/1000</f>
        <v>0</v>
      </c>
      <c r="M32" s="118">
        <f>M8*Scaling!$E$30/1000</f>
        <v>0</v>
      </c>
      <c r="N32" s="118">
        <f>N8*Scaling!$E$30/1000</f>
        <v>0</v>
      </c>
    </row>
    <row r="33" spans="2:16">
      <c r="B33" s="116">
        <v>7</v>
      </c>
      <c r="C33" s="118">
        <f>C9*Scaling!$E$30/1000</f>
        <v>0</v>
      </c>
      <c r="D33" s="118">
        <f>D9*Scaling!$E$30/1000</f>
        <v>0</v>
      </c>
      <c r="E33" s="118">
        <f>E9*Scaling!$E$30/1000</f>
        <v>18973.383377066577</v>
      </c>
      <c r="F33" s="118">
        <f>F9*Scaling!$E$30/1000</f>
        <v>57264.97303634735</v>
      </c>
      <c r="G33" s="118">
        <f>G9*Scaling!$E$30/1000</f>
        <v>78683.963961510453</v>
      </c>
      <c r="H33" s="118">
        <f>H9*Scaling!$E$30/1000</f>
        <v>102249.99291614737</v>
      </c>
      <c r="I33" s="118">
        <f>I9*Scaling!$E$30/1000</f>
        <v>77510.075529069174</v>
      </c>
      <c r="J33" s="118">
        <f>J9*Scaling!$E$30/1000</f>
        <v>56366.025221639487</v>
      </c>
      <c r="K33" s="118">
        <f>K9*Scaling!$E$30/1000</f>
        <v>45187.502178011106</v>
      </c>
      <c r="L33" s="118">
        <f>L9*Scaling!$E$30/1000</f>
        <v>0</v>
      </c>
      <c r="M33" s="118">
        <f>M9*Scaling!$E$30/1000</f>
        <v>0</v>
      </c>
      <c r="N33" s="118">
        <f>N9*Scaling!$E$30/1000</f>
        <v>0</v>
      </c>
    </row>
    <row r="34" spans="2:16">
      <c r="B34" s="116">
        <v>8</v>
      </c>
      <c r="C34" s="118">
        <f>C10*Scaling!$E$30/1000</f>
        <v>23386.363139523353</v>
      </c>
      <c r="D34" s="118">
        <f>D10*Scaling!$E$30/1000</f>
        <v>60648.727845243353</v>
      </c>
      <c r="E34" s="118">
        <f>E10*Scaling!$E$30/1000</f>
        <v>109047.21957680851</v>
      </c>
      <c r="F34" s="118">
        <f>F10*Scaling!$E$30/1000</f>
        <v>143054.08324992334</v>
      </c>
      <c r="G34" s="118">
        <f>G10*Scaling!$E$30/1000</f>
        <v>147795.73317216337</v>
      </c>
      <c r="H34" s="118">
        <f>H10*Scaling!$E$30/1000</f>
        <v>168579.58255507538</v>
      </c>
      <c r="I34" s="118">
        <f>I10*Scaling!$E$30/1000</f>
        <v>145644.16256984079</v>
      </c>
      <c r="J34" s="118">
        <f>J10*Scaling!$E$30/1000</f>
        <v>140247.37741111306</v>
      </c>
      <c r="K34" s="118">
        <f>K10*Scaling!$E$30/1000</f>
        <v>135166.25568563174</v>
      </c>
      <c r="L34" s="118">
        <f>L10*Scaling!$E$30/1000</f>
        <v>98976.532860793057</v>
      </c>
      <c r="M34" s="118">
        <f>M10*Scaling!$E$30/1000</f>
        <v>60979.061610544311</v>
      </c>
      <c r="N34" s="118">
        <f>N10*Scaling!$E$30/1000</f>
        <v>21741.379967754492</v>
      </c>
    </row>
    <row r="35" spans="2:16">
      <c r="B35" s="116">
        <v>9</v>
      </c>
      <c r="C35" s="118">
        <f>C11*Scaling!$E$30/1000</f>
        <v>97791.417549363367</v>
      </c>
      <c r="D35" s="118">
        <f>D11*Scaling!$E$30/1000</f>
        <v>122916.78469008337</v>
      </c>
      <c r="E35" s="118">
        <f>E11*Scaling!$E$30/1000</f>
        <v>175878.19560718792</v>
      </c>
      <c r="F35" s="118">
        <f>F11*Scaling!$E$30/1000</f>
        <v>210204.19972089937</v>
      </c>
      <c r="G35" s="118">
        <f>G11*Scaling!$E$30/1000</f>
        <v>194017.02531310791</v>
      </c>
      <c r="H35" s="118">
        <f>H11*Scaling!$E$30/1000</f>
        <v>214802.1689607634</v>
      </c>
      <c r="I35" s="118">
        <f>I11*Scaling!$E$30/1000</f>
        <v>192883.56372508983</v>
      </c>
      <c r="J35" s="118">
        <f>J11*Scaling!$E$30/1000</f>
        <v>195470.59437615823</v>
      </c>
      <c r="K35" s="118">
        <f>K11*Scaling!$E$30/1000</f>
        <v>198008.06346813243</v>
      </c>
      <c r="L35" s="118">
        <f>L11*Scaling!$E$30/1000</f>
        <v>163283.85279323172</v>
      </c>
      <c r="M35" s="118">
        <f>M11*Scaling!$E$30/1000</f>
        <v>133048.19548110405</v>
      </c>
      <c r="N35" s="118">
        <f>N11*Scaling!$E$30/1000</f>
        <v>94002.585361180143</v>
      </c>
    </row>
    <row r="36" spans="2:16">
      <c r="B36" s="116">
        <v>10</v>
      </c>
      <c r="C36" s="118">
        <f>C12*Scaling!$E$30/1000</f>
        <v>152334.34910254789</v>
      </c>
      <c r="D36" s="118">
        <f>D12*Scaling!$E$30/1000</f>
        <v>167078.56112424337</v>
      </c>
      <c r="E36" s="118">
        <f>E12*Scaling!$E$30/1000</f>
        <v>208527.86376360335</v>
      </c>
      <c r="F36" s="118">
        <f>F12*Scaling!$E$30/1000</f>
        <v>243790.24263840335</v>
      </c>
      <c r="G36" s="118">
        <f>G12*Scaling!$E$30/1000</f>
        <v>218286.22503512082</v>
      </c>
      <c r="H36" s="118">
        <f>H12*Scaling!$E$30/1000</f>
        <v>237924.41803068336</v>
      </c>
      <c r="I36" s="118">
        <f>I12*Scaling!$E$30/1000</f>
        <v>222097.26958300208</v>
      </c>
      <c r="J36" s="118">
        <f>J12*Scaling!$E$30/1000</f>
        <v>232324.61152608338</v>
      </c>
      <c r="K36" s="118">
        <f>K12*Scaling!$E$30/1000</f>
        <v>240067.21936659433</v>
      </c>
      <c r="L36" s="118">
        <f>L12*Scaling!$E$30/1000</f>
        <v>206228.80514745627</v>
      </c>
      <c r="M36" s="118">
        <f>M12*Scaling!$E$30/1000</f>
        <v>175186.24223118901</v>
      </c>
      <c r="N36" s="118">
        <f>N12*Scaling!$E$30/1000</f>
        <v>140318.72155008337</v>
      </c>
    </row>
    <row r="37" spans="2:16">
      <c r="B37" s="116">
        <v>11</v>
      </c>
      <c r="C37" s="118">
        <f>C13*Scaling!$E$30/1000</f>
        <v>186575.06050729883</v>
      </c>
      <c r="D37" s="118">
        <f>D13*Scaling!$E$30/1000</f>
        <v>190744.31037600338</v>
      </c>
      <c r="E37" s="118">
        <f>E13*Scaling!$E$30/1000</f>
        <v>230186.84469150534</v>
      </c>
      <c r="F37" s="118">
        <f>F13*Scaling!$E$30/1000</f>
        <v>257828.62598508337</v>
      </c>
      <c r="G37" s="118">
        <f>G13*Scaling!$E$30/1000</f>
        <v>237367.6570452576</v>
      </c>
      <c r="H37" s="118">
        <f>H13*Scaling!$E$30/1000</f>
        <v>249351.84693588343</v>
      </c>
      <c r="I37" s="118">
        <f>I13*Scaling!$E$30/1000</f>
        <v>234972.90239532728</v>
      </c>
      <c r="J37" s="118">
        <f>J13*Scaling!$E$30/1000</f>
        <v>237607.0028189221</v>
      </c>
      <c r="K37" s="118">
        <f>K13*Scaling!$E$30/1000</f>
        <v>248354.17674524471</v>
      </c>
      <c r="L37" s="118">
        <f>L13*Scaling!$E$30/1000</f>
        <v>234983.79657708728</v>
      </c>
      <c r="M37" s="118">
        <f>M13*Scaling!$E$30/1000</f>
        <v>212809.36855983955</v>
      </c>
      <c r="N37" s="118">
        <f>N13*Scaling!$E$30/1000</f>
        <v>177400.60380288339</v>
      </c>
    </row>
    <row r="38" spans="2:16">
      <c r="B38" s="116">
        <v>12</v>
      </c>
      <c r="C38" s="118">
        <f>C14*Scaling!$E$30/1000</f>
        <v>205371.20312932981</v>
      </c>
      <c r="D38" s="118">
        <f>D14*Scaling!$E$30/1000</f>
        <v>200979.99193518338</v>
      </c>
      <c r="E38" s="118">
        <f>E14*Scaling!$E$30/1000</f>
        <v>229223.64091011434</v>
      </c>
      <c r="F38" s="118">
        <f>F14*Scaling!$E$30/1000</f>
        <v>267491.00548785937</v>
      </c>
      <c r="G38" s="118">
        <f>G14*Scaling!$E$30/1000</f>
        <v>246585.47510483186</v>
      </c>
      <c r="H38" s="118">
        <f>H14*Scaling!$E$30/1000</f>
        <v>254798.76563772335</v>
      </c>
      <c r="I38" s="118">
        <f>I14*Scaling!$E$30/1000</f>
        <v>239340.58741310274</v>
      </c>
      <c r="J38" s="118">
        <f>J14*Scaling!$E$30/1000</f>
        <v>247929.7728202873</v>
      </c>
      <c r="K38" s="118">
        <f>K14*Scaling!$E$30/1000</f>
        <v>253892.01561399046</v>
      </c>
      <c r="L38" s="118">
        <f>L14*Scaling!$E$30/1000</f>
        <v>230440.17586687306</v>
      </c>
      <c r="M38" s="118">
        <f>M14*Scaling!$E$30/1000</f>
        <v>222350.30641607198</v>
      </c>
      <c r="N38" s="118">
        <f>N14*Scaling!$E$30/1000</f>
        <v>186728.24816445241</v>
      </c>
      <c r="P38" s="134"/>
    </row>
    <row r="39" spans="2:16">
      <c r="B39" s="116">
        <v>13</v>
      </c>
      <c r="C39" s="118">
        <f>C15*Scaling!$E$30/1000</f>
        <v>195889.56195128855</v>
      </c>
      <c r="D39" s="118">
        <f>D15*Scaling!$E$30/1000</f>
        <v>191756.10323808336</v>
      </c>
      <c r="E39" s="118">
        <f>E15*Scaling!$E$30/1000</f>
        <v>226653.17640526794</v>
      </c>
      <c r="F39" s="118">
        <f>F15*Scaling!$E$30/1000</f>
        <v>249955.39897728333</v>
      </c>
      <c r="G39" s="118">
        <f>G15*Scaling!$E$30/1000</f>
        <v>242603.64602561374</v>
      </c>
      <c r="H39" s="118">
        <f>H15*Scaling!$E$30/1000</f>
        <v>240841.72864536336</v>
      </c>
      <c r="I39" s="118">
        <f>I15*Scaling!$E$30/1000</f>
        <v>242197.75540698151</v>
      </c>
      <c r="J39" s="118">
        <f>J15*Scaling!$E$30/1000</f>
        <v>235202.52517511565</v>
      </c>
      <c r="K39" s="118">
        <f>K15*Scaling!$E$30/1000</f>
        <v>239637.11607371946</v>
      </c>
      <c r="L39" s="118">
        <f>L15*Scaling!$E$30/1000</f>
        <v>218232.72467684463</v>
      </c>
      <c r="M39" s="118">
        <f>M15*Scaling!$E$30/1000</f>
        <v>199114.5938926684</v>
      </c>
      <c r="N39" s="118">
        <f>N15*Scaling!$E$30/1000</f>
        <v>175011.6151704808</v>
      </c>
    </row>
    <row r="40" spans="2:16">
      <c r="B40" s="116">
        <v>14</v>
      </c>
      <c r="C40" s="118">
        <f>C16*Scaling!$E$30/1000</f>
        <v>168112.19568133503</v>
      </c>
      <c r="D40" s="118">
        <f>D16*Scaling!$E$30/1000</f>
        <v>181160.36101332339</v>
      </c>
      <c r="E40" s="118">
        <f>E16*Scaling!$E$30/1000</f>
        <v>210701.29612664081</v>
      </c>
      <c r="F40" s="118">
        <f>F16*Scaling!$E$30/1000</f>
        <v>239819.47845024336</v>
      </c>
      <c r="G40" s="118">
        <f>G16*Scaling!$E$30/1000</f>
        <v>227941.52604173755</v>
      </c>
      <c r="H40" s="118">
        <f>H16*Scaling!$E$30/1000</f>
        <v>239370.6754432834</v>
      </c>
      <c r="I40" s="118">
        <f>I16*Scaling!$E$30/1000</f>
        <v>227980.81516078787</v>
      </c>
      <c r="J40" s="118">
        <f>J16*Scaling!$E$30/1000</f>
        <v>224807.62611168341</v>
      </c>
      <c r="K40" s="118">
        <f>K16*Scaling!$E$30/1000</f>
        <v>218991.80962003692</v>
      </c>
      <c r="L40" s="118">
        <f>L16*Scaling!$E$30/1000</f>
        <v>204358.08085539431</v>
      </c>
      <c r="M40" s="118">
        <f>M16*Scaling!$E$30/1000</f>
        <v>157062.62751139718</v>
      </c>
      <c r="N40" s="118">
        <f>N16*Scaling!$E$30/1000</f>
        <v>142982.38451850144</v>
      </c>
    </row>
    <row r="41" spans="2:16">
      <c r="B41" s="116">
        <v>15</v>
      </c>
      <c r="C41" s="118">
        <f>C17*Scaling!$E$30/1000</f>
        <v>127295.44442784339</v>
      </c>
      <c r="D41" s="118">
        <f>D17*Scaling!$E$30/1000</f>
        <v>148491.93749328339</v>
      </c>
      <c r="E41" s="118">
        <f>E17*Scaling!$E$30/1000</f>
        <v>178547.03438604728</v>
      </c>
      <c r="F41" s="118">
        <f>F17*Scaling!$E$30/1000</f>
        <v>214828.73846988339</v>
      </c>
      <c r="G41" s="118">
        <f>G17*Scaling!$E$30/1000</f>
        <v>199896.28135502274</v>
      </c>
      <c r="H41" s="118">
        <f>H17*Scaling!$E$30/1000</f>
        <v>204697.20037505138</v>
      </c>
      <c r="I41" s="118">
        <f>I17*Scaling!$E$30/1000</f>
        <v>211498.13614619945</v>
      </c>
      <c r="J41" s="118">
        <f>J17*Scaling!$E$30/1000</f>
        <v>194729.2770623492</v>
      </c>
      <c r="K41" s="118">
        <f>K17*Scaling!$E$30/1000</f>
        <v>184314.59201552856</v>
      </c>
      <c r="L41" s="118">
        <f>L17*Scaling!$E$30/1000</f>
        <v>162115.68342063823</v>
      </c>
      <c r="M41" s="118">
        <f>M17*Scaling!$E$30/1000</f>
        <v>110852.39376130643</v>
      </c>
      <c r="N41" s="118">
        <f>N17*Scaling!$E$30/1000</f>
        <v>97460.746111094995</v>
      </c>
    </row>
    <row r="42" spans="2:16">
      <c r="B42" s="116">
        <v>16</v>
      </c>
      <c r="C42" s="118">
        <f>C18*Scaling!$E$30/1000</f>
        <v>62233.802933763363</v>
      </c>
      <c r="D42" s="118">
        <f>D18*Scaling!$E$30/1000</f>
        <v>99061.058996283362</v>
      </c>
      <c r="E42" s="118">
        <f>E18*Scaling!$E$30/1000</f>
        <v>124111.15436285756</v>
      </c>
      <c r="F42" s="118">
        <f>F18*Scaling!$E$30/1000</f>
        <v>152502.65618249137</v>
      </c>
      <c r="G42" s="118">
        <f>G18*Scaling!$E$30/1000</f>
        <v>157630.36679805239</v>
      </c>
      <c r="H42" s="118">
        <f>H18*Scaling!$E$30/1000</f>
        <v>168004.72948243533</v>
      </c>
      <c r="I42" s="118">
        <f>I18*Scaling!$E$30/1000</f>
        <v>165571.61829389754</v>
      </c>
      <c r="J42" s="118">
        <f>J18*Scaling!$E$30/1000</f>
        <v>138867.89531128595</v>
      </c>
      <c r="K42" s="118">
        <f>K18*Scaling!$E$30/1000</f>
        <v>115694.77886401111</v>
      </c>
      <c r="L42" s="118">
        <f>L18*Scaling!$E$30/1000</f>
        <v>102110.85334438014</v>
      </c>
      <c r="M42" s="118">
        <f>M18*Scaling!$E$30/1000</f>
        <v>55254.890609625829</v>
      </c>
      <c r="N42" s="118">
        <f>N18*Scaling!$E$30/1000</f>
        <v>36981.765198769805</v>
      </c>
    </row>
    <row r="43" spans="2:16">
      <c r="B43" s="116">
        <v>17</v>
      </c>
      <c r="C43" s="118">
        <f>C19*Scaling!$E$30/1000</f>
        <v>0</v>
      </c>
      <c r="D43" s="118">
        <f>D19*Scaling!$E$30/1000</f>
        <v>0</v>
      </c>
      <c r="E43" s="118">
        <f>E19*Scaling!$E$30/1000</f>
        <v>49658.417251946586</v>
      </c>
      <c r="F43" s="118">
        <f>F19*Scaling!$E$30/1000</f>
        <v>77749.918287579363</v>
      </c>
      <c r="G43" s="118">
        <f>G19*Scaling!$E$30/1000</f>
        <v>94712.269998777556</v>
      </c>
      <c r="H43" s="118">
        <f>H19*Scaling!$E$30/1000</f>
        <v>107411.95676318738</v>
      </c>
      <c r="I43" s="118">
        <f>I19*Scaling!$E$30/1000</f>
        <v>97466.178880571111</v>
      </c>
      <c r="J43" s="118">
        <f>J19*Scaling!$E$30/1000</f>
        <v>65689.305548496253</v>
      </c>
      <c r="K43" s="118">
        <f>K19*Scaling!$E$30/1000</f>
        <v>49001.296710847222</v>
      </c>
      <c r="L43" s="118">
        <f>L19*Scaling!$E$30/1000</f>
        <v>0</v>
      </c>
      <c r="M43" s="118">
        <f>M19*Scaling!$E$30/1000</f>
        <v>0</v>
      </c>
      <c r="N43" s="118">
        <f>N19*Scaling!$E$30/1000</f>
        <v>0</v>
      </c>
    </row>
    <row r="44" spans="2:16">
      <c r="B44" s="116">
        <v>18</v>
      </c>
      <c r="C44" s="118">
        <f>C20*Scaling!$E$30/1000</f>
        <v>0</v>
      </c>
      <c r="D44" s="118">
        <f>D20*Scaling!$E$30/1000</f>
        <v>0</v>
      </c>
      <c r="E44" s="118">
        <f>E20*Scaling!$E$30/1000</f>
        <v>0</v>
      </c>
      <c r="F44" s="118">
        <f>F20*Scaling!$E$30/1000</f>
        <v>0</v>
      </c>
      <c r="G44" s="118">
        <f>G20*Scaling!$E$30/1000</f>
        <v>27895.277029102712</v>
      </c>
      <c r="H44" s="118">
        <f>H20*Scaling!$E$30/1000</f>
        <v>41925.826664259366</v>
      </c>
      <c r="I44" s="118">
        <f>I20*Scaling!$E$30/1000</f>
        <v>33871.538273902719</v>
      </c>
      <c r="J44" s="118">
        <f>J20*Scaling!$E$30/1000</f>
        <v>0</v>
      </c>
      <c r="K44" s="118">
        <f>K20*Scaling!$E$30/1000</f>
        <v>0</v>
      </c>
      <c r="L44" s="118">
        <f>L20*Scaling!$E$30/1000</f>
        <v>0</v>
      </c>
      <c r="M44" s="118">
        <f>M20*Scaling!$E$30/1000</f>
        <v>0</v>
      </c>
      <c r="N44" s="118">
        <f>N20*Scaling!$E$30/1000</f>
        <v>0</v>
      </c>
    </row>
    <row r="45" spans="2:16">
      <c r="B45" s="116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</row>
    <row r="46" spans="2:16">
      <c r="B46" s="115" t="s">
        <v>99</v>
      </c>
      <c r="C46" s="120">
        <f>SUM(C32:C44)*C23/1000000</f>
        <v>37.788671351091097</v>
      </c>
      <c r="D46" s="120">
        <f t="shared" ref="D46:N46" si="3">SUM(D32:D44)*D23/1000000</f>
        <v>38.159459427928446</v>
      </c>
      <c r="E46" s="120">
        <f t="shared" si="3"/>
        <v>54.606755020230437</v>
      </c>
      <c r="F46" s="120">
        <f t="shared" si="3"/>
        <v>63.434679614579906</v>
      </c>
      <c r="G46" s="120">
        <f t="shared" si="3"/>
        <v>64.661567628503448</v>
      </c>
      <c r="H46" s="120">
        <f t="shared" si="3"/>
        <v>67.762629782296429</v>
      </c>
      <c r="I46" s="120">
        <f t="shared" si="3"/>
        <v>65.209207349581121</v>
      </c>
      <c r="J46" s="120">
        <f t="shared" si="3"/>
        <v>59.077260401494016</v>
      </c>
      <c r="K46" s="120">
        <f t="shared" si="3"/>
        <v>59.777759616594189</v>
      </c>
      <c r="L46" s="120">
        <f t="shared" si="3"/>
        <v>50.242645671823666</v>
      </c>
      <c r="M46" s="120">
        <f t="shared" si="3"/>
        <v>39.799730402212404</v>
      </c>
      <c r="N46" s="120">
        <f t="shared" si="3"/>
        <v>33.251469545201225</v>
      </c>
      <c r="O46" s="120">
        <f>SUM(C46:N46)</f>
        <v>633.77183581153633</v>
      </c>
      <c r="P46" s="125" t="s">
        <v>20</v>
      </c>
    </row>
    <row r="47" spans="2:16">
      <c r="B47" s="115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5"/>
    </row>
    <row r="49" spans="2:16">
      <c r="B49" s="115" t="s">
        <v>7</v>
      </c>
      <c r="C49" s="133">
        <f>Scaling!E9</f>
        <v>217000</v>
      </c>
      <c r="D49" s="125" t="s">
        <v>8</v>
      </c>
      <c r="F49" s="125"/>
    </row>
    <row r="50" spans="2:16">
      <c r="B50" s="115" t="s">
        <v>100</v>
      </c>
      <c r="C50" s="126">
        <f>O24</f>
        <v>3897</v>
      </c>
      <c r="D50" s="125"/>
      <c r="F50" s="125"/>
    </row>
    <row r="51" spans="2:16">
      <c r="B51" s="115" t="s">
        <v>101</v>
      </c>
      <c r="C51" s="127">
        <f>C49*C50/1000000</f>
        <v>845.649</v>
      </c>
      <c r="D51" s="125" t="s">
        <v>20</v>
      </c>
      <c r="F51" s="125"/>
    </row>
    <row r="52" spans="2:16">
      <c r="C52" s="149" t="s">
        <v>102</v>
      </c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</row>
    <row r="53" spans="2:16">
      <c r="B53" s="115" t="s">
        <v>90</v>
      </c>
      <c r="C53" s="34">
        <f>COUNTIF(C32:C44, "&gt;="&amp;$C$49)</f>
        <v>0</v>
      </c>
      <c r="D53" s="34">
        <f t="shared" ref="D53:N53" si="4">COUNTIF(D32:D44, "&gt;="&amp;$C$49)</f>
        <v>0</v>
      </c>
      <c r="E53" s="34">
        <f t="shared" si="4"/>
        <v>3</v>
      </c>
      <c r="F53" s="34">
        <f t="shared" si="4"/>
        <v>5</v>
      </c>
      <c r="G53" s="34">
        <f t="shared" si="4"/>
        <v>5</v>
      </c>
      <c r="H53" s="34">
        <f t="shared" si="4"/>
        <v>5</v>
      </c>
      <c r="I53" s="34">
        <f t="shared" si="4"/>
        <v>5</v>
      </c>
      <c r="J53" s="34">
        <f t="shared" si="4"/>
        <v>5</v>
      </c>
      <c r="K53" s="34">
        <f t="shared" si="4"/>
        <v>5</v>
      </c>
      <c r="L53" s="34">
        <f t="shared" si="4"/>
        <v>3</v>
      </c>
      <c r="M53" s="34">
        <f t="shared" si="4"/>
        <v>1</v>
      </c>
      <c r="N53" s="34">
        <f t="shared" si="4"/>
        <v>0</v>
      </c>
      <c r="O53" s="116" t="s">
        <v>103</v>
      </c>
    </row>
    <row r="54" spans="2:16">
      <c r="B54" s="115" t="s">
        <v>94</v>
      </c>
      <c r="C54" s="34">
        <f t="shared" ref="C54:N54" si="5">C53*C23</f>
        <v>0</v>
      </c>
      <c r="D54" s="34">
        <f t="shared" si="5"/>
        <v>0</v>
      </c>
      <c r="E54" s="34">
        <f t="shared" si="5"/>
        <v>93</v>
      </c>
      <c r="F54" s="34">
        <f t="shared" si="5"/>
        <v>150</v>
      </c>
      <c r="G54" s="34">
        <f t="shared" si="5"/>
        <v>155</v>
      </c>
      <c r="H54" s="34">
        <f t="shared" si="5"/>
        <v>150</v>
      </c>
      <c r="I54" s="34">
        <f t="shared" si="5"/>
        <v>155</v>
      </c>
      <c r="J54" s="34">
        <f t="shared" si="5"/>
        <v>150</v>
      </c>
      <c r="K54" s="34">
        <f t="shared" si="5"/>
        <v>155</v>
      </c>
      <c r="L54" s="34">
        <f t="shared" si="5"/>
        <v>93</v>
      </c>
      <c r="M54" s="34">
        <f t="shared" si="5"/>
        <v>30</v>
      </c>
      <c r="N54" s="34">
        <f t="shared" si="5"/>
        <v>0</v>
      </c>
      <c r="O54" s="34">
        <f>SUM(C54:N54)</f>
        <v>1131</v>
      </c>
      <c r="P54" s="125" t="s">
        <v>10</v>
      </c>
    </row>
    <row r="55" spans="2:16">
      <c r="C55" s="34"/>
      <c r="D55" s="128"/>
      <c r="E55" s="126"/>
      <c r="F55" s="126"/>
      <c r="G55" s="126"/>
      <c r="H55" s="34"/>
      <c r="I55" s="34"/>
      <c r="J55" s="34"/>
      <c r="K55" s="34"/>
      <c r="L55" s="34"/>
      <c r="M55" s="34"/>
      <c r="N55" s="34"/>
      <c r="O55" s="34"/>
    </row>
    <row r="56" spans="2:16">
      <c r="B56" s="115" t="s">
        <v>104</v>
      </c>
      <c r="C56" s="120">
        <f>SUMIF(C32:C44,"&gt;="&amp;$C$49)*C23/1000000</f>
        <v>0</v>
      </c>
      <c r="D56" s="120">
        <f t="shared" ref="D56:N56" si="6">SUMIF(D32:D44,"&gt;="&amp;$C$49)*D23/1000000</f>
        <v>0</v>
      </c>
      <c r="E56" s="120">
        <f t="shared" si="6"/>
        <v>21.267973522213516</v>
      </c>
      <c r="F56" s="120">
        <f t="shared" si="6"/>
        <v>37.766542546166178</v>
      </c>
      <c r="G56" s="120">
        <f t="shared" si="6"/>
        <v>36.356320406829418</v>
      </c>
      <c r="H56" s="120">
        <f t="shared" si="6"/>
        <v>36.668623040788106</v>
      </c>
      <c r="I56" s="120">
        <f t="shared" si="6"/>
        <v>36.16426922873525</v>
      </c>
      <c r="J56" s="120">
        <f t="shared" si="6"/>
        <v>35.336146153562751</v>
      </c>
      <c r="K56" s="120">
        <f t="shared" si="6"/>
        <v>37.229212460007162</v>
      </c>
      <c r="L56" s="120">
        <f t="shared" si="6"/>
        <v>21.193357610744957</v>
      </c>
      <c r="M56" s="120">
        <f t="shared" si="6"/>
        <v>6.6705091924821591</v>
      </c>
      <c r="N56" s="120">
        <f t="shared" si="6"/>
        <v>0</v>
      </c>
      <c r="O56" s="120">
        <f>SUM(C56:N56)</f>
        <v>268.65295416152946</v>
      </c>
      <c r="P56" s="125" t="s">
        <v>20</v>
      </c>
    </row>
    <row r="57" spans="2:16">
      <c r="B57" s="115" t="s">
        <v>105</v>
      </c>
      <c r="C57" s="120">
        <f>(SUMIF(C32:C44,"&gt;="&amp;$C$49)-C53*$C$49)*C23/1000000</f>
        <v>0</v>
      </c>
      <c r="D57" s="120">
        <f t="shared" ref="D57:N57" si="7">(SUMIF(D32:D44,"&gt;="&amp;$C$49)-D53*$C$49)*D23/1000000</f>
        <v>0</v>
      </c>
      <c r="E57" s="120">
        <f t="shared" si="7"/>
        <v>1.0869735222135157</v>
      </c>
      <c r="F57" s="120">
        <f t="shared" si="7"/>
        <v>5.2165425461661812</v>
      </c>
      <c r="G57" s="120">
        <f t="shared" si="7"/>
        <v>2.7213204068294141</v>
      </c>
      <c r="H57" s="120">
        <f t="shared" si="7"/>
        <v>4.1186230407881084</v>
      </c>
      <c r="I57" s="120">
        <f t="shared" si="7"/>
        <v>2.5292692287352505</v>
      </c>
      <c r="J57" s="120">
        <f t="shared" si="7"/>
        <v>2.7861461535627559</v>
      </c>
      <c r="K57" s="120">
        <f t="shared" si="7"/>
        <v>3.5942124600071597</v>
      </c>
      <c r="L57" s="120">
        <f t="shared" si="7"/>
        <v>1.0123576107449561</v>
      </c>
      <c r="M57" s="120">
        <f t="shared" si="7"/>
        <v>0.16050919248215942</v>
      </c>
      <c r="N57" s="120">
        <f t="shared" si="7"/>
        <v>0</v>
      </c>
      <c r="O57" s="120">
        <f>SUM(C57:N57)</f>
        <v>23.225954161529501</v>
      </c>
      <c r="P57" s="125" t="s">
        <v>20</v>
      </c>
    </row>
    <row r="58" spans="2:16">
      <c r="B58" s="115" t="s">
        <v>106</v>
      </c>
      <c r="C58" s="120">
        <f>C56-C57</f>
        <v>0</v>
      </c>
      <c r="D58" s="120">
        <f t="shared" ref="D58:N58" si="8">D56-D57</f>
        <v>0</v>
      </c>
      <c r="E58" s="120">
        <f t="shared" si="8"/>
        <v>20.181000000000001</v>
      </c>
      <c r="F58" s="120">
        <f t="shared" si="8"/>
        <v>32.549999999999997</v>
      </c>
      <c r="G58" s="120">
        <f t="shared" si="8"/>
        <v>33.635000000000005</v>
      </c>
      <c r="H58" s="120">
        <f t="shared" si="8"/>
        <v>32.549999999999997</v>
      </c>
      <c r="I58" s="120">
        <f t="shared" si="8"/>
        <v>33.634999999999998</v>
      </c>
      <c r="J58" s="120">
        <f t="shared" si="8"/>
        <v>32.549999999999997</v>
      </c>
      <c r="K58" s="120">
        <f t="shared" si="8"/>
        <v>33.635000000000005</v>
      </c>
      <c r="L58" s="120">
        <f t="shared" si="8"/>
        <v>20.181000000000001</v>
      </c>
      <c r="M58" s="120">
        <f t="shared" si="8"/>
        <v>6.51</v>
      </c>
      <c r="N58" s="120">
        <f t="shared" si="8"/>
        <v>0</v>
      </c>
      <c r="O58" s="120">
        <f>SUM(C58:N58)</f>
        <v>245.42699999999999</v>
      </c>
      <c r="P58" s="125" t="s">
        <v>20</v>
      </c>
    </row>
    <row r="59" spans="2:16"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</row>
    <row r="60" spans="2:16">
      <c r="C60" s="149" t="s">
        <v>107</v>
      </c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</row>
    <row r="61" spans="2:16" ht="15.75" customHeight="1">
      <c r="B61" s="115" t="s">
        <v>90</v>
      </c>
      <c r="C61" s="126">
        <f t="array" ref="C61">COUNT(IF(C32:C44&gt;0,IF(C32:C44&lt;=$C$49,C32:C44,"")))</f>
        <v>9</v>
      </c>
      <c r="D61" s="126">
        <f t="array" ref="D61">COUNT(IF(D32:D44&gt;0,IF(D32:D44&lt;=$C$49,D32:D44,"")))</f>
        <v>9</v>
      </c>
      <c r="E61" s="126">
        <f t="array" ref="E61">COUNT(IF(E32:E44&gt;0,IF(E32:E44&lt;=$C$49,E32:E44,"")))</f>
        <v>8</v>
      </c>
      <c r="F61" s="126">
        <f t="array" ref="F61">COUNT(IF(F32:F44&gt;0,IF(F32:F44&lt;=$C$49,F32:F44,"")))</f>
        <v>6</v>
      </c>
      <c r="G61" s="126">
        <f t="array" ref="G61">COUNT(IF(G32:G44&gt;0,IF(G32:G44&lt;=$C$49,G32:G44,"")))</f>
        <v>8</v>
      </c>
      <c r="H61" s="126">
        <f t="array" ref="H61">COUNT(IF(H32:H44&gt;0,IF(H32:H44&lt;=$C$49,H32:H44,"")))</f>
        <v>8</v>
      </c>
      <c r="I61" s="126">
        <f t="array" ref="I61">COUNT(IF(I32:I44&gt;0,IF(I32:I44&lt;=$C$49,I32:I44,"")))</f>
        <v>8</v>
      </c>
      <c r="J61" s="126">
        <f t="array" ref="J61">COUNT(IF(J32:J44&gt;0,IF(J32:J44&lt;=$C$49,J32:J44,"")))</f>
        <v>6</v>
      </c>
      <c r="K61" s="126">
        <f t="array" ref="K61">COUNT(IF(K32:K44&gt;0,IF(K32:K44&lt;=$C$49,K32:K44,"")))</f>
        <v>6</v>
      </c>
      <c r="L61" s="126">
        <f t="array" ref="L61">COUNT(IF(L32:L44&gt;0,IF(L32:L44&lt;=$C$49,L32:L44,"")))</f>
        <v>6</v>
      </c>
      <c r="M61" s="126">
        <f t="array" ref="M61">COUNT(IF(M32:M44&gt;0,IF(M32:M44&lt;=$C$49,M32:M44,"")))</f>
        <v>8</v>
      </c>
      <c r="N61" s="126">
        <f t="array" ref="N61">COUNT(IF(N32:N44&gt;0,IF(N32:N44&lt;=$C$49,N32:N44,"")))</f>
        <v>9</v>
      </c>
      <c r="O61" s="116" t="s">
        <v>103</v>
      </c>
    </row>
    <row r="62" spans="2:16">
      <c r="B62" s="115" t="s">
        <v>94</v>
      </c>
      <c r="C62" s="34">
        <f>C61*C23</f>
        <v>279</v>
      </c>
      <c r="D62" s="34">
        <f t="shared" ref="D62:N62" si="9">D61*D23</f>
        <v>252</v>
      </c>
      <c r="E62" s="34">
        <f t="shared" si="9"/>
        <v>248</v>
      </c>
      <c r="F62" s="34">
        <f t="shared" si="9"/>
        <v>180</v>
      </c>
      <c r="G62" s="34">
        <f t="shared" si="9"/>
        <v>248</v>
      </c>
      <c r="H62" s="34">
        <f t="shared" si="9"/>
        <v>240</v>
      </c>
      <c r="I62" s="34">
        <f t="shared" si="9"/>
        <v>248</v>
      </c>
      <c r="J62" s="34">
        <f t="shared" si="9"/>
        <v>180</v>
      </c>
      <c r="K62" s="34">
        <f t="shared" si="9"/>
        <v>186</v>
      </c>
      <c r="L62" s="34">
        <f t="shared" si="9"/>
        <v>186</v>
      </c>
      <c r="M62" s="34">
        <f t="shared" si="9"/>
        <v>240</v>
      </c>
      <c r="N62" s="34">
        <f t="shared" si="9"/>
        <v>279</v>
      </c>
      <c r="O62" s="34">
        <f>SUM(C62:N62)</f>
        <v>2766</v>
      </c>
      <c r="P62" s="125" t="s">
        <v>10</v>
      </c>
    </row>
    <row r="63" spans="2:16">
      <c r="B63" s="115" t="s">
        <v>106</v>
      </c>
      <c r="C63" s="120">
        <f t="array" ref="C63">SUM(IF(C32:C44&gt;0,IF(C32:C44&lt;=$C$49,C32:C44,"")))*C23/1000000</f>
        <v>37.788671351091097</v>
      </c>
      <c r="D63" s="120">
        <f t="array" ref="D63">SUM(IF(D32:D44&gt;0,IF(D32:D44&lt;=$C$49,D32:D44,"")))*D23/1000000</f>
        <v>38.159459427928446</v>
      </c>
      <c r="E63" s="120">
        <f t="array" ref="E63">SUM(IF(E32:E44&gt;0,IF(E32:E44&lt;=$C$49,E32:E44,"")))*E23/1000000</f>
        <v>33.338781498016914</v>
      </c>
      <c r="F63" s="120">
        <f t="array" ref="F63">SUM(IF(F32:F44&gt;0,IF(F32:F44&lt;=$C$49,F32:F44,"")))*F23/1000000</f>
        <v>25.668137068413724</v>
      </c>
      <c r="G63" s="120">
        <f t="array" ref="G63">SUM(IF(G32:G44&gt;0,IF(G32:G44&lt;=$C$49,G32:G44,"")))*G23/1000000</f>
        <v>28.305247221674033</v>
      </c>
      <c r="H63" s="120">
        <f t="array" ref="H63">SUM(IF(H32:H44&gt;0,IF(H32:H44&lt;=$C$49,H32:H44,"")))*H23/1000000</f>
        <v>31.094006741508334</v>
      </c>
      <c r="I63" s="120">
        <f t="array" ref="I63">SUM(IF(I32:I44&gt;0,IF(I32:I44&lt;=$C$49,I32:I44,"")))*I23/1000000</f>
        <v>29.044938120845877</v>
      </c>
      <c r="J63" s="120">
        <f t="array" ref="J63">SUM(IF(J32:J44&gt;0,IF(J32:J44&lt;=$C$49,J32:J44,"")))*J23/1000000</f>
        <v>23.741114247931264</v>
      </c>
      <c r="K63" s="120">
        <f t="array" ref="K63">SUM(IF(K32:K44&gt;0,IF(K32:K44&lt;=$C$49,K32:K44,"")))*K23/1000000</f>
        <v>22.548547156587027</v>
      </c>
      <c r="L63" s="120">
        <f t="array" ref="L63">SUM(IF(L32:L44&gt;0,IF(L32:L44&lt;=$C$49,L32:L44,"")))*L23/1000000</f>
        <v>29.049288061078702</v>
      </c>
      <c r="M63" s="120">
        <f t="array" ref="M63">SUM(IF(M32:M44&gt;0,IF(M32:M44&lt;=$C$49,M32:M44,"")))*M23/1000000</f>
        <v>33.12922120973024</v>
      </c>
      <c r="N63" s="120">
        <f t="array" ref="N63">SUM(IF(N32:N44&gt;0,IF(N32:N44&lt;=$C$49,N32:N44,"")))*N23/1000000</f>
        <v>33.251469545201225</v>
      </c>
      <c r="O63" s="120">
        <f>SUM(C63:N63)</f>
        <v>365.11888165000687</v>
      </c>
      <c r="P63" s="125" t="s">
        <v>20</v>
      </c>
    </row>
    <row r="64" spans="2:16">
      <c r="B64" s="115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5"/>
    </row>
    <row r="65" spans="1:16">
      <c r="B65" s="115" t="s">
        <v>108</v>
      </c>
      <c r="C65" s="120">
        <f>C62*$C$49/1000000-C63</f>
        <v>22.754328648908903</v>
      </c>
      <c r="D65" s="120">
        <f>D62*$C$49/1000000-D63</f>
        <v>16.524540572071551</v>
      </c>
      <c r="E65" s="120">
        <f t="shared" ref="E65:N65" si="10">E62*$C$49/1000000-E63</f>
        <v>20.477218501983089</v>
      </c>
      <c r="F65" s="120">
        <f t="shared" si="10"/>
        <v>13.391862931586278</v>
      </c>
      <c r="G65" s="120">
        <f t="shared" si="10"/>
        <v>25.510752778325969</v>
      </c>
      <c r="H65" s="120">
        <f t="shared" si="10"/>
        <v>20.985993258491664</v>
      </c>
      <c r="I65" s="120">
        <f t="shared" si="10"/>
        <v>24.771061879154125</v>
      </c>
      <c r="J65" s="120">
        <f t="shared" si="10"/>
        <v>15.318885752068738</v>
      </c>
      <c r="K65" s="120">
        <f t="shared" si="10"/>
        <v>17.813452843412975</v>
      </c>
      <c r="L65" s="120">
        <f t="shared" si="10"/>
        <v>11.3127119389213</v>
      </c>
      <c r="M65" s="120">
        <f t="shared" si="10"/>
        <v>18.950778790269759</v>
      </c>
      <c r="N65" s="120">
        <f t="shared" si="10"/>
        <v>27.291530454798774</v>
      </c>
      <c r="O65" s="120">
        <f>SUM(C65:N65)</f>
        <v>235.10311834999311</v>
      </c>
      <c r="P65" s="125" t="s">
        <v>20</v>
      </c>
    </row>
    <row r="66" spans="1:16">
      <c r="B66" s="115" t="s">
        <v>109</v>
      </c>
      <c r="C66" s="120">
        <f>(24*(Scaling!$E$10/8760)-(C53+C61))*$C$49*C23/1000000</f>
        <v>-6.7270000000000003</v>
      </c>
      <c r="D66" s="120">
        <f>(24*(Scaling!$E$10/8760)-(D53+D61))*$C$49*D23/1000000</f>
        <v>-6.0759999999999996</v>
      </c>
      <c r="E66" s="120">
        <f>(24*(Scaling!$E$10/8760)-(E53+E61))*$C$49*E23/1000000</f>
        <v>-20.181000000000001</v>
      </c>
      <c r="F66" s="120">
        <f>(24*(Scaling!$E$10/8760)-(F53+F61))*$C$49*F23/1000000</f>
        <v>-19.53</v>
      </c>
      <c r="G66" s="120">
        <f>(24*(Scaling!$E$10/8760)-(G53+G61))*$C$49*G23/1000000</f>
        <v>-33.634999999999998</v>
      </c>
      <c r="H66" s="120">
        <f>(24*(Scaling!$E$10/8760)-(H53+H61))*$C$49*H23/1000000</f>
        <v>-32.549999999999997</v>
      </c>
      <c r="I66" s="120">
        <f>(24*(Scaling!$E$10/8760)-(I53+I61))*$C$49*I23/1000000</f>
        <v>-33.634999999999998</v>
      </c>
      <c r="J66" s="120">
        <f>(24*(Scaling!$E$10/8760)-(J53+J61))*$C$49*J23/1000000</f>
        <v>-19.53</v>
      </c>
      <c r="K66" s="120">
        <f>(24*(Scaling!$E$10/8760)-(K53+K61))*$C$49*K23/1000000</f>
        <v>-20.181000000000001</v>
      </c>
      <c r="L66" s="120">
        <f>(24*(Scaling!$E$10/8760)-(L53+L61))*$C$49*L23/1000000</f>
        <v>-6.7270000000000003</v>
      </c>
      <c r="M66" s="120">
        <f>(24*(Scaling!$E$10/8760)-(M53+M61))*$C$49*M23/1000000</f>
        <v>-6.51</v>
      </c>
      <c r="N66" s="120">
        <f>(24*(Scaling!$E$10/8760)-(N53+N61))*$C$49*N23/1000000</f>
        <v>-6.7270000000000003</v>
      </c>
      <c r="O66" s="120">
        <f>SUM(C66:N66)</f>
        <v>-212.00900000000001</v>
      </c>
      <c r="P66" s="125" t="s">
        <v>20</v>
      </c>
    </row>
    <row r="68" spans="1:16">
      <c r="C68" s="149" t="s">
        <v>110</v>
      </c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16" t="s">
        <v>103</v>
      </c>
      <c r="P68"/>
    </row>
    <row r="69" spans="1:16">
      <c r="B69" s="115" t="s">
        <v>111</v>
      </c>
      <c r="C69" s="120">
        <f>C58+C63</f>
        <v>37.788671351091097</v>
      </c>
      <c r="D69" s="120">
        <f t="shared" ref="D69:N69" si="11">D58+D63</f>
        <v>38.159459427928446</v>
      </c>
      <c r="E69" s="120">
        <f t="shared" si="11"/>
        <v>53.519781498016911</v>
      </c>
      <c r="F69" s="120">
        <f t="shared" si="11"/>
        <v>58.218137068413725</v>
      </c>
      <c r="G69" s="120">
        <f t="shared" si="11"/>
        <v>61.940247221674042</v>
      </c>
      <c r="H69" s="120">
        <f t="shared" si="11"/>
        <v>63.644006741508335</v>
      </c>
      <c r="I69" s="120">
        <f t="shared" si="11"/>
        <v>62.679938120845875</v>
      </c>
      <c r="J69" s="120">
        <f t="shared" si="11"/>
        <v>56.291114247931262</v>
      </c>
      <c r="K69" s="120">
        <f t="shared" si="11"/>
        <v>56.183547156587032</v>
      </c>
      <c r="L69" s="120">
        <f t="shared" si="11"/>
        <v>49.230288061078703</v>
      </c>
      <c r="M69" s="120">
        <f t="shared" si="11"/>
        <v>39.639221209730238</v>
      </c>
      <c r="N69" s="120">
        <f t="shared" si="11"/>
        <v>33.251469545201225</v>
      </c>
      <c r="O69" s="120">
        <f>SUM(C69:N69)</f>
        <v>610.545881650007</v>
      </c>
      <c r="P69" s="125" t="s">
        <v>20</v>
      </c>
    </row>
    <row r="70" spans="1:1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>
      <c r="A71" s="113"/>
      <c r="B71" s="113"/>
      <c r="C71" s="120"/>
      <c r="D71" s="129"/>
      <c r="E71" s="126"/>
      <c r="F71" s="126"/>
      <c r="G71" s="126"/>
      <c r="H71" s="126"/>
      <c r="I71" s="34"/>
      <c r="J71" s="34"/>
      <c r="K71" s="34"/>
      <c r="L71" s="34"/>
      <c r="M71" s="34"/>
      <c r="N71" s="34"/>
    </row>
    <row r="72" spans="1:1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</sheetData>
  <mergeCells count="7">
    <mergeCell ref="C60:N60"/>
    <mergeCell ref="C68:N68"/>
    <mergeCell ref="C6:N6"/>
    <mergeCell ref="B5:N5"/>
    <mergeCell ref="B29:N29"/>
    <mergeCell ref="C30:N30"/>
    <mergeCell ref="C52:N52"/>
  </mergeCells>
  <phoneticPr fontId="5" type="noConversion"/>
  <conditionalFormatting sqref="H49:N49 C32:N45 C48:N48">
    <cfRule type="cellIs" dxfId="1" priority="1" operator="greaterThan">
      <formula>$C$49</formula>
    </cfRule>
  </conditionalFormatting>
  <pageMargins left="0.33" right="0.31" top="0.48" bottom="1" header="0.5" footer="0.5"/>
  <pageSetup scale="5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X211"/>
  <sheetViews>
    <sheetView topLeftCell="A62" zoomScale="75" workbookViewId="0">
      <selection activeCell="A89" sqref="A89:XFD89"/>
    </sheetView>
  </sheetViews>
  <sheetFormatPr defaultRowHeight="15.6"/>
  <cols>
    <col min="2" max="2" width="17" customWidth="1"/>
    <col min="5" max="6" width="11.109375" customWidth="1"/>
    <col min="7" max="7" width="14.21875" customWidth="1"/>
    <col min="8" max="8" width="8.33203125" customWidth="1"/>
    <col min="9" max="9" width="7.44140625" customWidth="1"/>
    <col min="10" max="10" width="11" customWidth="1"/>
    <col min="12" max="12" width="13.5546875" customWidth="1"/>
    <col min="13" max="13" width="10.109375" customWidth="1"/>
    <col min="14" max="14" width="11.88671875" customWidth="1"/>
    <col min="15" max="15" width="10.5546875" customWidth="1"/>
    <col min="16" max="17" width="10.88671875" customWidth="1"/>
    <col min="19" max="19" width="13.44140625" customWidth="1"/>
    <col min="20" max="20" width="10.44140625" customWidth="1"/>
    <col min="21" max="21" width="10.88671875" customWidth="1"/>
    <col min="22" max="22" width="12.44140625" bestFit="1" customWidth="1"/>
    <col min="32" max="33" width="11.5546875" customWidth="1"/>
    <col min="34" max="34" width="13.88671875" customWidth="1"/>
    <col min="35" max="35" width="9" customWidth="1"/>
    <col min="36" max="36" width="10.33203125" bestFit="1" customWidth="1"/>
    <col min="37" max="37" width="11.21875" customWidth="1"/>
    <col min="38" max="38" width="12" customWidth="1"/>
    <col min="39" max="39" width="12.6640625" customWidth="1"/>
    <col min="40" max="40" width="13.109375" customWidth="1"/>
    <col min="41" max="41" width="11.6640625" customWidth="1"/>
    <col min="42" max="42" width="10.5546875" customWidth="1"/>
    <col min="43" max="43" width="11.6640625" customWidth="1"/>
    <col min="46" max="46" width="8.77734375" bestFit="1" customWidth="1"/>
    <col min="53" max="54" width="9" bestFit="1" customWidth="1"/>
    <col min="55" max="55" width="11.5546875" customWidth="1"/>
    <col min="56" max="56" width="9.5546875" customWidth="1"/>
    <col min="57" max="58" width="10.5546875" customWidth="1"/>
    <col min="59" max="59" width="14.33203125" bestFit="1" customWidth="1"/>
    <col min="60" max="60" width="11.5546875" customWidth="1"/>
    <col min="61" max="61" width="13.44140625" customWidth="1"/>
    <col min="62" max="62" width="12.33203125" customWidth="1"/>
    <col min="63" max="63" width="11.6640625" customWidth="1"/>
    <col min="64" max="64" width="12.21875" customWidth="1"/>
    <col min="65" max="65" width="11.33203125" customWidth="1"/>
    <col min="66" max="66" width="13.109375" customWidth="1"/>
    <col min="67" max="67" width="11.77734375" customWidth="1"/>
    <col min="68" max="68" width="11.44140625" customWidth="1"/>
    <col min="69" max="69" width="11.77734375" customWidth="1"/>
    <col min="78" max="78" width="15.44140625" customWidth="1"/>
    <col min="79" max="79" width="10.109375" customWidth="1"/>
    <col min="80" max="80" width="10.77734375" bestFit="1" customWidth="1"/>
    <col min="82" max="82" width="10.33203125" bestFit="1" customWidth="1"/>
    <col min="84" max="84" width="14" bestFit="1" customWidth="1"/>
    <col min="87" max="87" width="12.5546875" customWidth="1"/>
    <col min="95" max="95" width="10.44140625" customWidth="1"/>
  </cols>
  <sheetData>
    <row r="1" spans="1:59" ht="24.95">
      <c r="A1" s="71" t="s">
        <v>112</v>
      </c>
    </row>
    <row r="4" spans="1:59">
      <c r="A4" s="44"/>
      <c r="B4" s="59" t="s">
        <v>113</v>
      </c>
      <c r="C4" s="49">
        <v>200</v>
      </c>
      <c r="AB4" s="44"/>
      <c r="AC4" s="44"/>
      <c r="AD4" s="59" t="s">
        <v>113</v>
      </c>
      <c r="AE4" s="49">
        <v>200</v>
      </c>
      <c r="AI4" s="2"/>
      <c r="AJ4" s="2"/>
      <c r="AK4" s="2"/>
      <c r="BD4" s="44"/>
      <c r="BE4" s="44"/>
      <c r="BF4" s="59" t="s">
        <v>113</v>
      </c>
      <c r="BG4" s="49">
        <v>200</v>
      </c>
    </row>
    <row r="5" spans="1:59" ht="17.25" customHeight="1">
      <c r="G5" s="154" t="s">
        <v>114</v>
      </c>
      <c r="H5" s="154">
        <f>Scaling!E19</f>
        <v>1350</v>
      </c>
      <c r="L5" s="13"/>
      <c r="M5" s="4"/>
      <c r="AH5" s="3"/>
      <c r="AI5" s="67"/>
    </row>
    <row r="6" spans="1:59">
      <c r="A6" s="44"/>
      <c r="B6" s="59" t="s">
        <v>115</v>
      </c>
      <c r="C6" s="49">
        <v>10</v>
      </c>
      <c r="G6" s="154"/>
      <c r="H6" s="154"/>
      <c r="L6" s="13"/>
      <c r="M6" s="4"/>
      <c r="AB6" s="44"/>
      <c r="AC6" s="44"/>
      <c r="AD6" s="59" t="s">
        <v>115</v>
      </c>
      <c r="AE6" s="49">
        <v>10</v>
      </c>
      <c r="AH6" s="2"/>
      <c r="AI6" s="4"/>
      <c r="AJ6" s="4"/>
      <c r="AK6" s="4"/>
      <c r="AR6" s="2"/>
      <c r="AS6" s="4"/>
      <c r="AT6" s="2"/>
      <c r="AU6" s="8"/>
      <c r="BD6" s="44"/>
      <c r="BE6" s="44"/>
      <c r="BF6" s="59" t="s">
        <v>115</v>
      </c>
      <c r="BG6" s="49">
        <v>10</v>
      </c>
    </row>
    <row r="7" spans="1:59" ht="18">
      <c r="A7" s="44"/>
      <c r="B7" s="59" t="s">
        <v>116</v>
      </c>
      <c r="C7" s="45">
        <f>C4/C6</f>
        <v>20</v>
      </c>
      <c r="G7" s="1" t="s">
        <v>117</v>
      </c>
      <c r="H7" s="66">
        <f>5.6705*10^-8</f>
        <v>5.6704999999999997E-8</v>
      </c>
      <c r="L7" s="13"/>
      <c r="M7" s="4"/>
      <c r="R7" s="2"/>
      <c r="S7" s="67"/>
      <c r="T7" s="67"/>
      <c r="U7" s="67"/>
      <c r="AB7" s="44"/>
      <c r="AC7" s="44"/>
      <c r="AD7" s="59" t="s">
        <v>116</v>
      </c>
      <c r="AE7" s="45">
        <f>AE4/AE6</f>
        <v>20</v>
      </c>
      <c r="AH7" s="2"/>
      <c r="AI7" s="4"/>
      <c r="AJ7" s="4"/>
      <c r="AK7" s="4"/>
      <c r="AR7" s="2"/>
      <c r="AS7" s="4"/>
      <c r="AT7" s="2"/>
      <c r="AU7" s="8"/>
      <c r="BD7" s="44"/>
      <c r="BE7" s="44"/>
      <c r="BF7" s="59" t="s">
        <v>116</v>
      </c>
      <c r="BG7" s="45">
        <f>BG4/BG6</f>
        <v>20</v>
      </c>
    </row>
    <row r="8" spans="1:59">
      <c r="A8" s="44"/>
      <c r="B8" s="60" t="s">
        <v>118</v>
      </c>
      <c r="C8" s="49">
        <v>0.92</v>
      </c>
      <c r="G8" s="2"/>
      <c r="H8" s="3"/>
      <c r="I8" s="8"/>
      <c r="L8" s="13"/>
      <c r="M8" s="4"/>
      <c r="R8" s="2"/>
      <c r="S8" s="4"/>
      <c r="T8" s="4"/>
      <c r="U8" s="4"/>
      <c r="AB8" s="44"/>
      <c r="AC8" s="44"/>
      <c r="AD8" s="60" t="s">
        <v>118</v>
      </c>
      <c r="AE8" s="49">
        <v>0.92</v>
      </c>
      <c r="AH8" s="2"/>
      <c r="AI8" s="4"/>
      <c r="AJ8" s="4"/>
      <c r="AK8" s="4"/>
      <c r="AR8" s="2"/>
      <c r="AS8" s="2"/>
      <c r="AT8" s="2"/>
      <c r="AU8" s="2"/>
      <c r="BD8" s="44"/>
      <c r="BE8" s="44"/>
      <c r="BF8" s="60" t="s">
        <v>118</v>
      </c>
      <c r="BG8" s="49">
        <v>0.92</v>
      </c>
    </row>
    <row r="9" spans="1:59">
      <c r="A9" s="44"/>
      <c r="B9" s="61" t="s">
        <v>119</v>
      </c>
      <c r="C9" s="49">
        <v>358</v>
      </c>
      <c r="L9" s="13"/>
      <c r="M9" s="4"/>
      <c r="R9" s="2"/>
      <c r="S9" s="4"/>
      <c r="T9" s="4"/>
      <c r="U9" s="4"/>
      <c r="AB9" s="44"/>
      <c r="AC9" s="44"/>
      <c r="AD9" s="61" t="s">
        <v>119</v>
      </c>
      <c r="AE9" s="49">
        <v>358</v>
      </c>
      <c r="AH9" s="2"/>
      <c r="AI9" s="4"/>
      <c r="AJ9" s="4"/>
      <c r="AK9" s="4"/>
      <c r="AR9" s="2"/>
      <c r="AS9" s="2"/>
      <c r="AT9" s="2"/>
      <c r="AU9" s="2"/>
      <c r="BD9" s="44"/>
      <c r="BE9" s="44"/>
      <c r="BF9" s="61" t="s">
        <v>119</v>
      </c>
      <c r="BG9" s="49">
        <v>358</v>
      </c>
    </row>
    <row r="10" spans="1:59" ht="18.600000000000001">
      <c r="A10" s="44"/>
      <c r="B10" s="61" t="s">
        <v>120</v>
      </c>
      <c r="C10" s="52">
        <v>35800</v>
      </c>
      <c r="G10" s="58"/>
      <c r="I10" s="68"/>
      <c r="J10" s="68" t="s">
        <v>121</v>
      </c>
      <c r="N10" s="10"/>
      <c r="O10" s="2"/>
      <c r="R10" s="2"/>
      <c r="S10" s="4"/>
      <c r="T10" s="4"/>
      <c r="U10" s="4"/>
      <c r="AB10" s="44"/>
      <c r="AC10" s="44"/>
      <c r="AD10" s="61" t="s">
        <v>120</v>
      </c>
      <c r="AE10" s="52">
        <v>35800</v>
      </c>
      <c r="AH10" s="2"/>
      <c r="AI10" s="4"/>
      <c r="AJ10" s="4"/>
      <c r="AK10" s="4"/>
      <c r="BD10" s="44"/>
      <c r="BE10" s="44"/>
      <c r="BF10" s="61" t="s">
        <v>120</v>
      </c>
      <c r="BG10" s="52">
        <v>35800</v>
      </c>
    </row>
    <row r="11" spans="1:59" ht="18.600000000000001">
      <c r="A11" s="44"/>
      <c r="B11" s="61" t="s">
        <v>122</v>
      </c>
      <c r="C11" s="55">
        <v>71571</v>
      </c>
      <c r="I11" t="s">
        <v>123</v>
      </c>
      <c r="N11" s="10"/>
      <c r="O11" s="2"/>
      <c r="R11" s="2"/>
      <c r="S11" s="4"/>
      <c r="T11" s="4"/>
      <c r="U11" s="4"/>
      <c r="AB11" s="44"/>
      <c r="AC11" s="44"/>
      <c r="AD11" s="61" t="s">
        <v>122</v>
      </c>
      <c r="AE11" s="55">
        <v>71571</v>
      </c>
      <c r="AH11" s="2"/>
      <c r="AI11" s="4"/>
      <c r="AJ11" s="4"/>
      <c r="AK11" s="4"/>
      <c r="BD11" s="44"/>
      <c r="BE11" s="44"/>
      <c r="BF11" s="61" t="s">
        <v>122</v>
      </c>
      <c r="BG11" s="55">
        <v>71571</v>
      </c>
    </row>
    <row r="12" spans="1:59" ht="15" customHeight="1">
      <c r="A12" s="44"/>
      <c r="B12" s="61" t="s">
        <v>124</v>
      </c>
      <c r="C12" s="54">
        <f>C10/C11</f>
        <v>0.50020259602352912</v>
      </c>
      <c r="I12" s="3" t="s">
        <v>125</v>
      </c>
      <c r="J12" s="4">
        <f>AVERAGE(E64,AF64,BG64)/(C10)</f>
        <v>0.91173184357541903</v>
      </c>
      <c r="K12" s="156" t="s">
        <v>126</v>
      </c>
      <c r="N12" s="10"/>
      <c r="O12" s="2"/>
      <c r="R12" s="2"/>
      <c r="S12" s="4"/>
      <c r="T12" s="4"/>
      <c r="U12" s="4"/>
      <c r="AB12" s="44"/>
      <c r="AC12" s="44"/>
      <c r="AD12" s="61" t="s">
        <v>124</v>
      </c>
      <c r="AE12" s="54">
        <f>AE10/AE11</f>
        <v>0.50020259602352912</v>
      </c>
      <c r="AH12" s="2"/>
      <c r="AI12" s="4"/>
      <c r="AJ12" s="4"/>
      <c r="AK12" s="4"/>
      <c r="BD12" s="44"/>
      <c r="BE12" s="44"/>
      <c r="BF12" s="61" t="s">
        <v>124</v>
      </c>
      <c r="BG12" s="54">
        <f>BG10/BG11</f>
        <v>0.50020259602352912</v>
      </c>
    </row>
    <row r="13" spans="1:59" ht="20.45">
      <c r="A13" s="44"/>
      <c r="B13" s="61" t="s">
        <v>127</v>
      </c>
      <c r="C13" s="57">
        <v>22.82</v>
      </c>
      <c r="I13" s="3" t="s">
        <v>128</v>
      </c>
      <c r="J13" s="4">
        <f>1-AVERAGE(I64,AJ64,BK64)</f>
        <v>0.940061119920648</v>
      </c>
      <c r="K13" s="156"/>
      <c r="M13" s="67" t="s">
        <v>129</v>
      </c>
      <c r="N13" s="67" t="s">
        <v>130</v>
      </c>
      <c r="O13" s="67" t="s">
        <v>131</v>
      </c>
      <c r="R13" s="2"/>
      <c r="S13" s="4"/>
      <c r="T13" s="4"/>
      <c r="U13" s="4"/>
      <c r="AB13" s="44"/>
      <c r="AC13" s="44"/>
      <c r="AD13" s="61" t="s">
        <v>127</v>
      </c>
      <c r="AE13" s="57">
        <v>22.82</v>
      </c>
      <c r="AH13" s="2"/>
      <c r="AI13" s="4"/>
      <c r="AJ13" s="4"/>
      <c r="AK13" s="4"/>
      <c r="BD13" s="44"/>
      <c r="BE13" s="44"/>
      <c r="BF13" s="61" t="s">
        <v>127</v>
      </c>
      <c r="BG13" s="57">
        <v>22.82</v>
      </c>
    </row>
    <row r="14" spans="1:59">
      <c r="A14" s="44"/>
      <c r="B14" s="61" t="s">
        <v>132</v>
      </c>
      <c r="C14" s="49">
        <v>3</v>
      </c>
      <c r="I14" s="3" t="s">
        <v>133</v>
      </c>
      <c r="J14" s="4">
        <f>C8</f>
        <v>0.92</v>
      </c>
      <c r="K14" s="156"/>
      <c r="L14" s="3" t="s">
        <v>22</v>
      </c>
      <c r="M14" s="4">
        <f>AVERAGE(P64,AQ64,BR64)</f>
        <v>0.6649627560521415</v>
      </c>
      <c r="N14" s="4">
        <f>AVERAGE(T64,AU64,BV64)</f>
        <v>0.94658306094944467</v>
      </c>
      <c r="O14" s="4">
        <f>N14*M14</f>
        <v>0.62944248104121492</v>
      </c>
      <c r="R14" s="2"/>
      <c r="S14" s="4"/>
      <c r="T14" s="4"/>
      <c r="U14" s="4"/>
      <c r="AB14" s="44"/>
      <c r="AC14" s="61"/>
      <c r="AD14" s="61" t="s">
        <v>132</v>
      </c>
      <c r="AE14" s="49">
        <v>3</v>
      </c>
      <c r="AH14" s="2"/>
      <c r="AI14" s="4"/>
      <c r="AJ14" s="4"/>
      <c r="AK14" s="4"/>
      <c r="BD14" s="44"/>
      <c r="BE14" s="61"/>
      <c r="BF14" s="61" t="s">
        <v>132</v>
      </c>
      <c r="BG14" s="49">
        <v>3</v>
      </c>
    </row>
    <row r="15" spans="1:59">
      <c r="I15" s="3" t="s">
        <v>134</v>
      </c>
      <c r="J15" s="4">
        <f>AVERAGE(K64,AL64,BM64)</f>
        <v>0.92953375910758107</v>
      </c>
      <c r="K15" s="156"/>
      <c r="L15" s="3"/>
      <c r="N15" s="10"/>
      <c r="O15" s="4"/>
      <c r="R15" s="2"/>
      <c r="S15" s="4"/>
      <c r="T15" s="4"/>
      <c r="U15" s="4"/>
      <c r="AH15" s="2"/>
      <c r="AI15" s="4"/>
      <c r="AJ15" s="4"/>
      <c r="AK15" s="4"/>
    </row>
    <row r="16" spans="1:59" ht="16.5">
      <c r="A16" s="44"/>
      <c r="B16" s="60" t="s">
        <v>135</v>
      </c>
      <c r="C16" s="49">
        <v>23.54</v>
      </c>
      <c r="I16" s="3" t="s">
        <v>72</v>
      </c>
      <c r="J16" s="4">
        <f>AVERAGE(N64,AO64,BP64)</f>
        <v>0.90810026620963924</v>
      </c>
      <c r="K16" s="156"/>
      <c r="L16" s="3" t="s">
        <v>26</v>
      </c>
      <c r="M16" s="4">
        <f>AVERAGE(P201,AQ201,BR201)</f>
        <v>0.54625225500465546</v>
      </c>
      <c r="N16" s="4">
        <f>AVERAGE(T201,AU201,BV201)</f>
        <v>0.92652887898085046</v>
      </c>
      <c r="O16" s="4">
        <f>N16*M16</f>
        <v>0.50611848947022509</v>
      </c>
      <c r="R16" s="2"/>
      <c r="S16" s="4"/>
      <c r="T16" s="4"/>
      <c r="U16" s="4"/>
      <c r="AB16" s="44"/>
      <c r="AC16" s="60"/>
      <c r="AD16" s="60" t="s">
        <v>135</v>
      </c>
      <c r="AE16" s="49">
        <v>23.54</v>
      </c>
      <c r="AH16" s="2"/>
      <c r="AI16" s="4"/>
      <c r="AJ16" s="4"/>
      <c r="AK16" s="4"/>
      <c r="BD16" s="44"/>
      <c r="BE16" s="60"/>
      <c r="BF16" s="60" t="s">
        <v>135</v>
      </c>
      <c r="BG16" s="49">
        <v>23.54</v>
      </c>
    </row>
    <row r="17" spans="1:75">
      <c r="A17" s="44"/>
      <c r="B17" s="62" t="s">
        <v>136</v>
      </c>
      <c r="C17" s="49">
        <v>40</v>
      </c>
      <c r="I17" s="3" t="s">
        <v>137</v>
      </c>
      <c r="J17" s="4">
        <f>PRODUCT(J12:J16)</f>
        <v>0.66559494053509116</v>
      </c>
      <c r="K17" s="156"/>
      <c r="N17" s="10"/>
      <c r="O17" s="2"/>
      <c r="R17" s="2"/>
      <c r="S17" s="4"/>
      <c r="T17" s="4"/>
      <c r="U17" s="4"/>
      <c r="AB17" s="44"/>
      <c r="AC17" s="62"/>
      <c r="AD17" s="62" t="s">
        <v>136</v>
      </c>
      <c r="AE17" s="49">
        <v>40</v>
      </c>
      <c r="AH17" s="2"/>
      <c r="AI17" s="4"/>
      <c r="AJ17" s="4"/>
      <c r="AK17" s="4"/>
      <c r="BD17" s="44"/>
      <c r="BE17" s="62"/>
      <c r="BF17" s="62" t="s">
        <v>136</v>
      </c>
      <c r="BG17" s="49">
        <v>40</v>
      </c>
    </row>
    <row r="18" spans="1:75">
      <c r="A18" s="44"/>
      <c r="B18" s="61" t="s">
        <v>138</v>
      </c>
      <c r="C18" s="49">
        <v>2.5</v>
      </c>
      <c r="I18" s="3" t="s">
        <v>139</v>
      </c>
      <c r="J18" s="4">
        <f>AVERAGE(R64,AS64,BT64)</f>
        <v>0.92752111390698067</v>
      </c>
      <c r="K18" t="str">
        <f>"@"&amp;H5&amp;"C"</f>
        <v>@1350C</v>
      </c>
      <c r="N18" s="10"/>
      <c r="O18" s="2"/>
      <c r="R18" s="2"/>
      <c r="S18" s="4"/>
      <c r="T18" s="4"/>
      <c r="U18" s="4"/>
      <c r="AB18" s="44"/>
      <c r="AC18" s="61"/>
      <c r="AD18" s="61" t="s">
        <v>138</v>
      </c>
      <c r="AE18" s="49">
        <v>2.5</v>
      </c>
      <c r="AH18" s="2"/>
      <c r="AI18" s="4"/>
      <c r="AJ18" s="4"/>
      <c r="AK18" s="4"/>
      <c r="BD18" s="44"/>
      <c r="BE18" s="61"/>
      <c r="BF18" s="61" t="s">
        <v>138</v>
      </c>
      <c r="BG18" s="49">
        <v>2.5</v>
      </c>
    </row>
    <row r="19" spans="1:75">
      <c r="A19" s="44"/>
      <c r="B19" s="61" t="s">
        <v>140</v>
      </c>
      <c r="C19" s="49">
        <v>1.0109999999999999</v>
      </c>
      <c r="I19" s="3" t="s">
        <v>141</v>
      </c>
      <c r="J19" s="4">
        <f>PRODUCT(J17:J18)</f>
        <v>0.61735336065595836</v>
      </c>
      <c r="N19" s="10"/>
      <c r="O19" s="2"/>
      <c r="R19" s="2"/>
      <c r="S19" s="4"/>
      <c r="T19" s="4"/>
      <c r="U19" s="4"/>
      <c r="AB19" s="44"/>
      <c r="AC19" s="61"/>
      <c r="AD19" s="61" t="s">
        <v>140</v>
      </c>
      <c r="AE19" s="49">
        <v>1.0109999999999999</v>
      </c>
      <c r="AH19" s="2"/>
      <c r="AI19" s="4"/>
      <c r="AJ19" s="4"/>
      <c r="AK19" s="4"/>
      <c r="BD19" s="44"/>
      <c r="BE19" s="61"/>
      <c r="BF19" s="61" t="s">
        <v>140</v>
      </c>
      <c r="BG19" s="49">
        <v>1.0109999999999999</v>
      </c>
    </row>
    <row r="20" spans="1:75">
      <c r="A20" s="44"/>
      <c r="B20" s="61" t="s">
        <v>142</v>
      </c>
      <c r="C20" s="49">
        <v>6.508</v>
      </c>
      <c r="G20" s="40"/>
      <c r="H20" s="43"/>
      <c r="N20" s="10"/>
      <c r="O20" s="2"/>
      <c r="R20" s="2"/>
      <c r="S20" s="4"/>
      <c r="T20" s="4"/>
      <c r="U20" s="4"/>
      <c r="AB20" s="44"/>
      <c r="AC20" s="61"/>
      <c r="AD20" s="61" t="s">
        <v>142</v>
      </c>
      <c r="AE20" s="49">
        <v>6.508</v>
      </c>
      <c r="AH20" s="2"/>
      <c r="AI20" s="4"/>
      <c r="AJ20" s="4"/>
      <c r="AK20" s="4"/>
      <c r="BD20" s="44"/>
      <c r="BE20" s="61"/>
      <c r="BF20" s="61" t="s">
        <v>142</v>
      </c>
      <c r="BG20" s="49">
        <v>6.508</v>
      </c>
    </row>
    <row r="21" spans="1:75">
      <c r="A21" s="44"/>
      <c r="B21" s="61" t="s">
        <v>82</v>
      </c>
      <c r="C21" s="54">
        <f>(C18/C19)^2</f>
        <v>6.1147359265683825</v>
      </c>
      <c r="G21" s="40"/>
      <c r="H21" s="43"/>
      <c r="N21" s="10"/>
      <c r="O21" s="2"/>
      <c r="AB21" s="44"/>
      <c r="AC21" s="61"/>
      <c r="AD21" s="61" t="s">
        <v>82</v>
      </c>
      <c r="AE21" s="54">
        <f>(AE18/AE19)^2</f>
        <v>6.1147359265683825</v>
      </c>
      <c r="AH21" s="2"/>
      <c r="AI21" s="4"/>
      <c r="AJ21" s="4"/>
      <c r="AK21" s="4"/>
      <c r="BD21" s="44"/>
      <c r="BE21" s="61"/>
      <c r="BF21" s="61" t="s">
        <v>82</v>
      </c>
      <c r="BG21" s="54">
        <f>(BG18/BG19)^2</f>
        <v>6.1147359265683825</v>
      </c>
    </row>
    <row r="22" spans="1:75" ht="18.600000000000001">
      <c r="A22" s="44"/>
      <c r="B22" s="61" t="s">
        <v>143</v>
      </c>
      <c r="C22" s="54">
        <f>PI()*SQRT($C$20^2-($C$18-$C$19)^2)*($C$19+$C$18)</f>
        <v>69.87999222802469</v>
      </c>
      <c r="H22" s="43"/>
      <c r="N22" s="10"/>
      <c r="O22" s="2"/>
      <c r="AB22" s="44"/>
      <c r="AC22" s="61"/>
      <c r="AD22" s="61" t="s">
        <v>143</v>
      </c>
      <c r="AE22" s="54">
        <f>PI()*SQRT($C$20^2-($C$18-$C$19)^2)*($C$19+$C$18)</f>
        <v>69.87999222802469</v>
      </c>
      <c r="AH22" s="2"/>
      <c r="AI22" s="4"/>
      <c r="AJ22" s="4"/>
      <c r="AK22" s="4"/>
      <c r="BD22" s="44"/>
      <c r="BE22" s="61"/>
      <c r="BF22" s="61" t="s">
        <v>143</v>
      </c>
      <c r="BG22" s="54">
        <f>PI()*SQRT($C$20^2-($C$18-$C$19)^2)*($C$19+$C$18)</f>
        <v>69.87999222802469</v>
      </c>
    </row>
    <row r="23" spans="1:75">
      <c r="G23" s="40"/>
      <c r="H23" s="43"/>
      <c r="N23" s="10"/>
      <c r="O23" s="2"/>
      <c r="AH23" s="2"/>
      <c r="AI23" s="4"/>
      <c r="AJ23" s="4"/>
      <c r="AK23" s="4"/>
    </row>
    <row r="24" spans="1:75">
      <c r="A24" s="44"/>
      <c r="B24" s="59" t="s">
        <v>144</v>
      </c>
      <c r="C24" s="49">
        <v>30</v>
      </c>
      <c r="N24" s="10"/>
      <c r="O24" s="2"/>
      <c r="AB24" s="44"/>
      <c r="AC24" s="59"/>
      <c r="AD24" s="59" t="s">
        <v>144</v>
      </c>
      <c r="AE24" s="49">
        <v>30</v>
      </c>
      <c r="AH24" s="2"/>
      <c r="AI24" s="4"/>
      <c r="AJ24" s="4"/>
      <c r="AK24" s="4"/>
      <c r="BD24" s="44"/>
      <c r="BE24" s="59"/>
      <c r="BF24" s="59" t="s">
        <v>144</v>
      </c>
      <c r="BG24" s="49">
        <v>30</v>
      </c>
    </row>
    <row r="25" spans="1:75" ht="20.100000000000001">
      <c r="A25" s="44"/>
      <c r="B25" s="65" t="s">
        <v>145</v>
      </c>
      <c r="C25" s="44"/>
      <c r="N25" s="10"/>
      <c r="O25" s="2"/>
      <c r="AB25" s="44"/>
      <c r="AC25" s="65"/>
      <c r="AD25" s="65" t="s">
        <v>146</v>
      </c>
      <c r="AE25" s="44"/>
      <c r="AH25" s="2"/>
      <c r="AI25" s="4"/>
      <c r="AJ25" s="4"/>
      <c r="AK25" s="4"/>
      <c r="BD25" s="44"/>
      <c r="BE25" s="65"/>
      <c r="BF25" s="65" t="s">
        <v>147</v>
      </c>
      <c r="BG25" s="44"/>
    </row>
    <row r="26" spans="1:75" ht="35.25" customHeight="1">
      <c r="AK26" s="4"/>
    </row>
    <row r="27" spans="1:75">
      <c r="A27" s="34"/>
      <c r="M27" s="7"/>
      <c r="N27" s="3"/>
      <c r="O27" s="5"/>
      <c r="P27" s="4"/>
      <c r="Q27" s="4"/>
      <c r="R27" s="4"/>
      <c r="S27" s="4"/>
      <c r="T27" s="4"/>
      <c r="U27" s="4"/>
      <c r="AK27" s="4"/>
    </row>
    <row r="28" spans="1:75">
      <c r="P28" s="4"/>
      <c r="Q28" s="4"/>
      <c r="W28" s="2"/>
      <c r="AK28" s="4"/>
    </row>
    <row r="29" spans="1:75">
      <c r="M29" s="7"/>
      <c r="R29" s="7"/>
      <c r="S29" s="4"/>
      <c r="T29" s="4"/>
      <c r="U29" s="4"/>
      <c r="AK29" s="4"/>
    </row>
    <row r="30" spans="1:75">
      <c r="R30" s="4"/>
      <c r="AK30" s="4"/>
    </row>
    <row r="31" spans="1:75" ht="22.15" customHeight="1">
      <c r="AK31" s="4"/>
    </row>
    <row r="32" spans="1:75" ht="16.149999999999999" customHeight="1">
      <c r="E32" s="151" t="s">
        <v>148</v>
      </c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5" t="s">
        <v>149</v>
      </c>
      <c r="R32" s="155"/>
      <c r="S32" s="155"/>
      <c r="T32" s="153" t="s">
        <v>150</v>
      </c>
      <c r="U32" s="153"/>
      <c r="V32" s="41"/>
      <c r="W32" s="37"/>
      <c r="X32" s="4"/>
      <c r="Y32" s="50"/>
      <c r="Z32" s="37"/>
      <c r="AA32" s="41"/>
      <c r="AF32" s="151" t="s">
        <v>148</v>
      </c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5" t="s">
        <v>149</v>
      </c>
      <c r="AS32" s="155"/>
      <c r="AT32" s="155"/>
      <c r="AU32" s="153" t="s">
        <v>150</v>
      </c>
      <c r="AV32" s="153"/>
      <c r="BE32" s="37"/>
      <c r="BF32" s="37"/>
      <c r="BG32" s="152" t="s">
        <v>148</v>
      </c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5" t="s">
        <v>149</v>
      </c>
      <c r="BT32" s="155"/>
      <c r="BU32" s="155"/>
      <c r="BV32" s="153" t="s">
        <v>150</v>
      </c>
      <c r="BW32" s="153"/>
    </row>
    <row r="33" spans="2:86">
      <c r="B33" s="64"/>
      <c r="C33" s="64"/>
      <c r="D33" s="64"/>
      <c r="E33" s="97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9"/>
      <c r="Q33" s="98"/>
      <c r="R33" s="98"/>
      <c r="S33" s="99"/>
      <c r="T33" s="97"/>
      <c r="U33" s="99"/>
      <c r="AC33" s="64"/>
      <c r="AD33" s="64"/>
      <c r="AE33" s="64"/>
      <c r="AF33" s="97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9"/>
      <c r="AR33" s="98"/>
      <c r="AS33" s="98"/>
      <c r="AT33" s="99"/>
      <c r="AU33" s="97"/>
      <c r="AV33" s="99"/>
      <c r="BB33" s="4"/>
      <c r="BD33" s="64"/>
      <c r="BE33" s="64"/>
      <c r="BF33" s="64"/>
      <c r="BG33" s="97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9"/>
      <c r="BS33" s="97"/>
      <c r="BT33" s="98"/>
      <c r="BU33" s="99"/>
      <c r="BV33" s="97"/>
      <c r="BW33" s="99"/>
    </row>
    <row r="34" spans="2:86" ht="33" customHeight="1">
      <c r="B34" s="34"/>
      <c r="C34" s="63" t="s">
        <v>151</v>
      </c>
      <c r="D34" s="63" t="s">
        <v>89</v>
      </c>
      <c r="E34" s="89" t="s">
        <v>152</v>
      </c>
      <c r="F34" s="34" t="s">
        <v>125</v>
      </c>
      <c r="G34" s="63" t="s">
        <v>153</v>
      </c>
      <c r="H34" s="33" t="s">
        <v>154</v>
      </c>
      <c r="I34" s="34" t="s">
        <v>155</v>
      </c>
      <c r="J34" s="85" t="s">
        <v>156</v>
      </c>
      <c r="K34" s="35" t="s">
        <v>157</v>
      </c>
      <c r="L34" s="35" t="s">
        <v>158</v>
      </c>
      <c r="M34" s="85" t="s">
        <v>159</v>
      </c>
      <c r="N34" s="35" t="s">
        <v>72</v>
      </c>
      <c r="O34" s="35" t="s">
        <v>160</v>
      </c>
      <c r="P34" s="100" t="s">
        <v>129</v>
      </c>
      <c r="Q34" s="138" t="s">
        <v>161</v>
      </c>
      <c r="R34" s="67" t="s">
        <v>130</v>
      </c>
      <c r="S34" s="100" t="s">
        <v>131</v>
      </c>
      <c r="T34" s="107" t="s">
        <v>130</v>
      </c>
      <c r="U34" s="100" t="s">
        <v>131</v>
      </c>
      <c r="AC34" s="34"/>
      <c r="AD34" s="63" t="s">
        <v>151</v>
      </c>
      <c r="AE34" s="63" t="s">
        <v>89</v>
      </c>
      <c r="AF34" s="89" t="s">
        <v>152</v>
      </c>
      <c r="AG34" s="34" t="s">
        <v>125</v>
      </c>
      <c r="AH34" s="63" t="s">
        <v>153</v>
      </c>
      <c r="AI34" s="33" t="s">
        <v>154</v>
      </c>
      <c r="AJ34" s="34" t="s">
        <v>155</v>
      </c>
      <c r="AK34" s="85" t="s">
        <v>156</v>
      </c>
      <c r="AL34" s="35" t="s">
        <v>157</v>
      </c>
      <c r="AM34" s="35" t="s">
        <v>158</v>
      </c>
      <c r="AN34" s="85" t="s">
        <v>159</v>
      </c>
      <c r="AO34" s="35" t="s">
        <v>72</v>
      </c>
      <c r="AP34" s="35" t="s">
        <v>160</v>
      </c>
      <c r="AQ34" s="100" t="s">
        <v>129</v>
      </c>
      <c r="AR34" s="138" t="s">
        <v>161</v>
      </c>
      <c r="AS34" s="67" t="s">
        <v>130</v>
      </c>
      <c r="AT34" s="100" t="s">
        <v>131</v>
      </c>
      <c r="AU34" s="107" t="s">
        <v>130</v>
      </c>
      <c r="AV34" s="100" t="s">
        <v>131</v>
      </c>
      <c r="BD34" s="34"/>
      <c r="BE34" s="63" t="s">
        <v>151</v>
      </c>
      <c r="BF34" s="63" t="s">
        <v>89</v>
      </c>
      <c r="BG34" s="89" t="s">
        <v>152</v>
      </c>
      <c r="BH34" s="34" t="s">
        <v>125</v>
      </c>
      <c r="BI34" s="63" t="s">
        <v>153</v>
      </c>
      <c r="BJ34" s="33" t="s">
        <v>154</v>
      </c>
      <c r="BK34" s="34" t="s">
        <v>155</v>
      </c>
      <c r="BL34" s="85" t="s">
        <v>156</v>
      </c>
      <c r="BM34" s="35" t="s">
        <v>157</v>
      </c>
      <c r="BN34" s="35" t="s">
        <v>158</v>
      </c>
      <c r="BO34" s="85" t="s">
        <v>159</v>
      </c>
      <c r="BP34" s="35" t="s">
        <v>72</v>
      </c>
      <c r="BQ34" s="35" t="s">
        <v>160</v>
      </c>
      <c r="BR34" s="100" t="s">
        <v>129</v>
      </c>
      <c r="BS34" s="144" t="s">
        <v>161</v>
      </c>
      <c r="BT34" s="67" t="s">
        <v>130</v>
      </c>
      <c r="BU34" s="100" t="s">
        <v>131</v>
      </c>
      <c r="BV34" s="107" t="s">
        <v>130</v>
      </c>
      <c r="BW34" s="100" t="s">
        <v>131</v>
      </c>
      <c r="CG34" s="35"/>
    </row>
    <row r="35" spans="2:86" ht="19.899999999999999" customHeight="1">
      <c r="B35" s="2" t="s">
        <v>88</v>
      </c>
      <c r="C35" s="7">
        <v>22</v>
      </c>
      <c r="D35" s="38">
        <v>8</v>
      </c>
      <c r="E35" s="86">
        <v>31229</v>
      </c>
      <c r="F35" s="37">
        <f>E35/$C$10</f>
        <v>0.87231843575418999</v>
      </c>
      <c r="G35" s="38">
        <v>15288</v>
      </c>
      <c r="H35" s="37">
        <f>G35/$C$10</f>
        <v>0.42703910614525142</v>
      </c>
      <c r="I35" s="37">
        <f>1-G35/(E35*$C$8)</f>
        <v>0.46788589758404608</v>
      </c>
      <c r="J35" s="38">
        <v>14076</v>
      </c>
      <c r="K35" s="37">
        <f>J35/G35</f>
        <v>0.92072213500784927</v>
      </c>
      <c r="L35" s="7">
        <f>J35/(PI()*$C$18^2)</f>
        <v>716.88479326768595</v>
      </c>
      <c r="M35" s="41">
        <v>12588</v>
      </c>
      <c r="N35" s="37">
        <f>M35/J35</f>
        <v>0.89428815004262574</v>
      </c>
      <c r="O35" s="50">
        <f>M35/(PI()*$C$19^2)</f>
        <v>3920.1668366872</v>
      </c>
      <c r="P35" s="91">
        <f>M35/$C$10</f>
        <v>0.3516201117318436</v>
      </c>
      <c r="Q35" s="7">
        <f>INDEX(Daggett!$B$7:$M$21, MATCH(D35,Daggett!$A$7:$A$21,0), MATCH(B$36,Daggett!$B$6:$M$6,0))</f>
        <v>264</v>
      </c>
      <c r="R35" s="4">
        <f>IF(1-$H$7*(($H$5+273)^4-298^4)*(PI()*$C$19^2)*1000/(M35*Q35*1000)&lt;0,NA(),1-$H$7*(($H$5+273)^4-298^4)*(PI()*$C$19^2)*1000/(M35*Q35*1000))</f>
        <v>0.62025411542345643</v>
      </c>
      <c r="S35" s="91">
        <f>R35*P35</f>
        <v>0.21809382136733158</v>
      </c>
      <c r="T35" s="104">
        <f>IF(1-$H$7*(($H$5+273)^4-298^4)/(O35*1000)&lt;0,#N/A,1-$H$7*(($H$5+273)^4-298^4)/(O35*1000))</f>
        <v>0.89974708647179247</v>
      </c>
      <c r="U35" s="91">
        <f>T35*P35</f>
        <v>0.31636917107561241</v>
      </c>
      <c r="AC35" s="2" t="s">
        <v>88</v>
      </c>
      <c r="AD35" s="7">
        <v>22</v>
      </c>
      <c r="AE35" s="38">
        <v>8</v>
      </c>
      <c r="AF35" s="86">
        <v>22297</v>
      </c>
      <c r="AG35" s="37">
        <f>AF35/$C$10</f>
        <v>0.62282122905027937</v>
      </c>
      <c r="AH35" s="38">
        <v>14202</v>
      </c>
      <c r="AI35" s="37">
        <f>AH35/$C$10</f>
        <v>0.39670391061452515</v>
      </c>
      <c r="AJ35" s="37">
        <f>1-AH35/(AF35*$C$8)</f>
        <v>0.30766665821683947</v>
      </c>
      <c r="AK35" s="38">
        <v>10672</v>
      </c>
      <c r="AL35" s="37">
        <f>AK35/AH35</f>
        <v>0.75144345866779327</v>
      </c>
      <c r="AM35" s="7">
        <f t="shared" ref="AM35:AM43" si="0">AK35/(PI()*$C$18^2)</f>
        <v>543.52049685654629</v>
      </c>
      <c r="AN35" s="41">
        <v>9637</v>
      </c>
      <c r="AO35" s="37">
        <f>AN35/AK35</f>
        <v>0.90301724137931039</v>
      </c>
      <c r="AP35" s="50">
        <f t="shared" ref="AP35:AP43" si="1">AN35/(PI()*$C$19^2)</f>
        <v>3001.1636324399865</v>
      </c>
      <c r="AQ35" s="91">
        <f>AN35/$C$10</f>
        <v>0.26918994413407821</v>
      </c>
      <c r="AR35" s="7">
        <f>INDEX(Daggett!$B$7:$M$21, MATCH(AE35,Daggett!$A$7:$A$21,0), MATCH(AC$36,Daggett!$B$6:$M$6,0))</f>
        <v>264</v>
      </c>
      <c r="AS35" s="4">
        <f t="shared" ref="AS35:AS43" si="2">IF(1-$H$7*(($H$5+273)^4-298^4)*(PI()*$C$19^2)*1000/(AN35*AR35*1000)&lt;0,#N/A,1-$H$7*(($H$5+273)^4-298^4)*(PI()*$C$19^2)*1000/(AN35*AR35*1000))</f>
        <v>0.5039699911746881</v>
      </c>
      <c r="AT35" s="91">
        <f>AS35*AQ35</f>
        <v>0.13566365376956618</v>
      </c>
      <c r="AU35" s="104">
        <f>IF(1-$H$7*(($H$5+273)^4-298^4)/(AP35*1000)&lt;0,#N/A,1-$H$7*(($H$5+273)^4-298^4)/(AP35*1000))</f>
        <v>0.86904807767011771</v>
      </c>
      <c r="AV35" s="91">
        <f>AU35*AQ35</f>
        <v>0.23393900347784705</v>
      </c>
      <c r="BD35" s="2" t="s">
        <v>88</v>
      </c>
      <c r="BE35" s="7">
        <v>22</v>
      </c>
      <c r="BF35" s="38">
        <v>8</v>
      </c>
      <c r="BG35" s="86">
        <f>AF43</f>
        <v>34200</v>
      </c>
      <c r="BH35" s="37">
        <f>BG35/$C$10</f>
        <v>0.95530726256983245</v>
      </c>
      <c r="BI35" s="38">
        <f t="shared" ref="BI35:BQ35" si="3">AH43</f>
        <v>15314</v>
      </c>
      <c r="BJ35" s="37">
        <f t="shared" si="3"/>
        <v>0.42776536312849162</v>
      </c>
      <c r="BK35" s="37">
        <f t="shared" si="3"/>
        <v>0.51328502415458943</v>
      </c>
      <c r="BL35" s="38">
        <f t="shared" si="3"/>
        <v>14479</v>
      </c>
      <c r="BM35" s="37">
        <f t="shared" si="3"/>
        <v>0.94547472900613816</v>
      </c>
      <c r="BN35" s="7">
        <f t="shared" si="3"/>
        <v>737.40941472881684</v>
      </c>
      <c r="BO35" s="38">
        <f t="shared" si="3"/>
        <v>12867</v>
      </c>
      <c r="BP35" s="37">
        <f t="shared" si="3"/>
        <v>0.88866634436079839</v>
      </c>
      <c r="BQ35" s="50">
        <f t="shared" si="3"/>
        <v>4007.0532799216876</v>
      </c>
      <c r="BR35" s="91">
        <f>BO35/$C$10</f>
        <v>0.35941340782122905</v>
      </c>
      <c r="BS35" s="103">
        <f>INDEX(Daggett!$B$7:$M$21, MATCH(BF35,Daggett!$A$7:$A$21,0), MATCH(BD$36,Daggett!$B$6:$M$6,0))</f>
        <v>264</v>
      </c>
      <c r="BT35" s="4">
        <f t="shared" ref="BT35:BT43" si="4">IF(1-$H$7*(($H$5+273)^4-298^4)*(PI()*$C$19^2)*1000/(BO35*BS35*1000)&lt;0,#N/A,1-$H$7*(($H$5+273)^4-298^4)*(PI()*$C$19^2)*1000/(BO35*BS35*1000))</f>
        <v>0.62848828825293146</v>
      </c>
      <c r="BU35" s="91">
        <f>BT35*BR35</f>
        <v>0.22588711745671702</v>
      </c>
      <c r="BV35" s="104">
        <f>IF(1-$H$7*(($H$5+273)^4-298^4)/(BQ35*1000)&lt;0,#N/A,1-$H$7*(($H$5+273)^4-298^4)/(BQ35*1000))</f>
        <v>0.9019209080987739</v>
      </c>
      <c r="BW35" s="91">
        <f>BV35*BR35</f>
        <v>0.32416246716499786</v>
      </c>
      <c r="CG35" s="35"/>
      <c r="CH35">
        <f>SUM(BS35:BS43)*31/1000</f>
        <v>169.54300000000001</v>
      </c>
    </row>
    <row r="36" spans="2:86" ht="16.149999999999999" customHeight="1">
      <c r="B36" s="2">
        <v>1</v>
      </c>
      <c r="D36" s="38">
        <v>9</v>
      </c>
      <c r="E36" s="86">
        <v>33034</v>
      </c>
      <c r="F36" s="37">
        <f t="shared" ref="F36:F43" si="5">E36/$C$10</f>
        <v>0.92273743016759779</v>
      </c>
      <c r="G36" s="38">
        <v>22107</v>
      </c>
      <c r="H36" s="37">
        <f>G36/$C$10</f>
        <v>0.61751396648044687</v>
      </c>
      <c r="I36" s="37">
        <f>1-G36/(E36*$C$8)</f>
        <v>0.27258740007002014</v>
      </c>
      <c r="J36" s="38">
        <v>20751</v>
      </c>
      <c r="K36" s="37">
        <f>J36/G36</f>
        <v>0.93866196227439269</v>
      </c>
      <c r="L36" s="7">
        <f>J36/(PI()*$C$18^2)</f>
        <v>1056.8397517119745</v>
      </c>
      <c r="M36" s="41">
        <v>18727</v>
      </c>
      <c r="N36" s="37">
        <f>M36/J36</f>
        <v>0.90246253192617221</v>
      </c>
      <c r="O36" s="50">
        <f>M36/(PI()*$C$19^2)</f>
        <v>5831.9800087894182</v>
      </c>
      <c r="P36" s="91">
        <f>M36/$C$10</f>
        <v>0.5231005586592179</v>
      </c>
      <c r="Q36" s="7">
        <f>INDEX(Daggett!$B$7:$M$21, MATCH(D36,Daggett!$A$7:$A$21,0), MATCH(B$36,Daggett!$B$6:$M$6,0))</f>
        <v>518.41935483870964</v>
      </c>
      <c r="R36" s="4">
        <f t="shared" ref="R36:R43" si="6">IF(1-$H$7*(($H$5+273)^4-298^4)*(PI()*$C$19^2)*1000/(M36*Q36*1000)&lt;0,#N/A,1-$H$7*(($H$5+273)^4-298^4)*(PI()*$C$19^2)*1000/(M36*Q36*1000))</f>
        <v>0.87001168344903812</v>
      </c>
      <c r="S36" s="91">
        <f t="shared" ref="S36:S43" si="7">R36*P36</f>
        <v>0.45510359765223846</v>
      </c>
      <c r="T36" s="104">
        <f t="shared" ref="T36:T43" si="8">IF(1-$H$7*(($H$5+273)^4-298^4)/(O36*1000)&lt;0,#N/A,1-$H$7*(($H$5+273)^4-298^4)/(O36*1000))</f>
        <v>0.93261154079708031</v>
      </c>
      <c r="U36" s="91">
        <f t="shared" ref="U36:U43" si="9">T36*P36</f>
        <v>0.48784961800298671</v>
      </c>
      <c r="AC36" s="2">
        <v>1</v>
      </c>
      <c r="AE36" s="38">
        <v>9</v>
      </c>
      <c r="AF36" s="86">
        <v>25472</v>
      </c>
      <c r="AG36" s="37">
        <f t="shared" ref="AG36:AG43" si="10">AF36/$C$10</f>
        <v>0.71150837988826821</v>
      </c>
      <c r="AH36" s="38">
        <v>17759</v>
      </c>
      <c r="AI36" s="37">
        <f t="shared" ref="AI36:AI43" si="11">AH36/$C$10</f>
        <v>0.49606145251396649</v>
      </c>
      <c r="AJ36" s="37">
        <f t="shared" ref="AJ36:AJ43" si="12">1-AH36/(AF36*$C$8)</f>
        <v>0.24217725857548622</v>
      </c>
      <c r="AK36" s="38">
        <v>14746</v>
      </c>
      <c r="AL36" s="37">
        <f t="shared" ref="AL36:AL43" si="13">AK36/AH36</f>
        <v>0.83033954614561634</v>
      </c>
      <c r="AM36" s="7">
        <f t="shared" si="0"/>
        <v>751.00761306658831</v>
      </c>
      <c r="AN36" s="41">
        <v>13346</v>
      </c>
      <c r="AO36" s="37">
        <f t="shared" ref="AO36:AO43" si="14">AN36/AK36</f>
        <v>0.90505899905058995</v>
      </c>
      <c r="AP36" s="50">
        <f t="shared" si="1"/>
        <v>4156.2239118547323</v>
      </c>
      <c r="AQ36" s="91">
        <f t="shared" ref="AQ36:AQ43" si="15">AN36/$C$10</f>
        <v>0.3727932960893855</v>
      </c>
      <c r="AR36" s="7">
        <f>INDEX(Daggett!$B$7:$M$21, MATCH(AE36,Daggett!$A$7:$A$21,0), MATCH(AC$36,Daggett!$B$6:$M$6,0))</f>
        <v>518.41935483870964</v>
      </c>
      <c r="AS36" s="4">
        <f t="shared" si="2"/>
        <v>0.81760143832984689</v>
      </c>
      <c r="AT36" s="91">
        <f t="shared" ref="AT36:AT43" si="16">AS36*AQ36</f>
        <v>0.30479633508240606</v>
      </c>
      <c r="AU36" s="104">
        <f t="shared" ref="AU36:AU43" si="17">IF(1-$H$7*(($H$5+273)^4-298^4)/(AP36*1000)&lt;0,#N/A,1-$H$7*(($H$5+273)^4-298^4)/(AP36*1000))</f>
        <v>0.90544105533545061</v>
      </c>
      <c r="AV36" s="91">
        <f t="shared" ref="AV36:AV43" si="18">AU36*AQ36</f>
        <v>0.33754235543315431</v>
      </c>
      <c r="BD36" s="2">
        <v>1</v>
      </c>
      <c r="BF36" s="38">
        <v>9</v>
      </c>
      <c r="BG36" s="86">
        <f>AF42</f>
        <v>34611</v>
      </c>
      <c r="BH36" s="37">
        <f t="shared" ref="BH36:BH43" si="19">BG36/$C$10</f>
        <v>0.96678770949720672</v>
      </c>
      <c r="BI36" s="38">
        <f t="shared" ref="BI36:BQ36" si="20">AH42</f>
        <v>22748</v>
      </c>
      <c r="BJ36" s="37">
        <f t="shared" si="20"/>
        <v>0.63541899441340777</v>
      </c>
      <c r="BK36" s="37">
        <f t="shared" si="20"/>
        <v>0.28560033063125201</v>
      </c>
      <c r="BL36" s="38">
        <f t="shared" si="20"/>
        <v>21547</v>
      </c>
      <c r="BM36" s="37">
        <f t="shared" si="20"/>
        <v>0.94720414981536838</v>
      </c>
      <c r="BN36" s="7">
        <f t="shared" si="20"/>
        <v>1097.3796988163419</v>
      </c>
      <c r="BO36" s="38">
        <f t="shared" si="20"/>
        <v>19418</v>
      </c>
      <c r="BP36" s="37">
        <f t="shared" si="20"/>
        <v>0.90119274144892558</v>
      </c>
      <c r="BQ36" s="50">
        <f t="shared" si="20"/>
        <v>6047.1718807429343</v>
      </c>
      <c r="BR36" s="91">
        <f t="shared" ref="BR36:BR43" si="21">BO36/$C$10</f>
        <v>0.54240223463687154</v>
      </c>
      <c r="BS36" s="103">
        <f>INDEX(Daggett!$B$7:$M$21, MATCH(BF36,Daggett!$A$7:$A$21,0), MATCH(BD$36,Daggett!$B$6:$M$6,0))</f>
        <v>518.41935483870964</v>
      </c>
      <c r="BT36" s="4">
        <f t="shared" si="4"/>
        <v>0.87463738778196187</v>
      </c>
      <c r="BU36" s="91">
        <f t="shared" ref="BU36:BU43" si="22">BT36*BR36</f>
        <v>0.4744052736298921</v>
      </c>
      <c r="BV36" s="104">
        <f t="shared" ref="BV36:BV43" si="23">IF(1-$H$7*(($H$5+273)^4-298^4)/(BQ36*1000)&lt;0,#N/A,1-$H$7*(($H$5+273)^4-298^4)/(BQ36*1000))</f>
        <v>0.93500959545302931</v>
      </c>
      <c r="BW36" s="91">
        <f t="shared" ref="BW36:BW43" si="24">BV36*BR36</f>
        <v>0.50715129398064029</v>
      </c>
      <c r="CG36" s="35"/>
    </row>
    <row r="37" spans="2:86">
      <c r="D37" s="38">
        <v>10</v>
      </c>
      <c r="E37" s="86">
        <v>34355</v>
      </c>
      <c r="F37" s="37">
        <f t="shared" si="5"/>
        <v>0.95963687150837984</v>
      </c>
      <c r="G37" s="38">
        <v>24891</v>
      </c>
      <c r="H37" s="37">
        <f>G37/$C$10</f>
        <v>0.69527932960893857</v>
      </c>
      <c r="I37" s="37">
        <f>1-G37/(E37*$C$8)</f>
        <v>0.21247460973341015</v>
      </c>
      <c r="J37" s="38">
        <v>23524</v>
      </c>
      <c r="K37" s="37">
        <f>J37/G37</f>
        <v>0.94508055120324619</v>
      </c>
      <c r="L37" s="7">
        <f>J37/(PI()*$C$18^2)</f>
        <v>1198.0674820139986</v>
      </c>
      <c r="M37" s="41">
        <v>21291</v>
      </c>
      <c r="N37" s="37">
        <f>M37/J37</f>
        <v>0.90507566740350276</v>
      </c>
      <c r="O37" s="50">
        <f>M37/(PI()*$C$19^2)</f>
        <v>6630.4633079049236</v>
      </c>
      <c r="P37" s="91">
        <f>M37/$C$10</f>
        <v>0.59472067039106147</v>
      </c>
      <c r="Q37" s="7">
        <f>INDEX(Daggett!$B$7:$M$21, MATCH(D37,Daggett!$A$7:$A$21,0), MATCH(B$36,Daggett!$B$6:$M$6,0))</f>
        <v>655.22580645161293</v>
      </c>
      <c r="R37" s="4">
        <f t="shared" si="6"/>
        <v>0.90953789629077419</v>
      </c>
      <c r="S37" s="91">
        <f t="shared" si="7"/>
        <v>0.540920987428125</v>
      </c>
      <c r="T37" s="104">
        <f t="shared" si="8"/>
        <v>0.94072689514381302</v>
      </c>
      <c r="U37" s="91">
        <f t="shared" si="9"/>
        <v>0.55946972973483022</v>
      </c>
      <c r="AE37" s="38">
        <v>10</v>
      </c>
      <c r="AF37" s="86">
        <v>28254</v>
      </c>
      <c r="AG37" s="37">
        <f t="shared" si="10"/>
        <v>0.78921787709497204</v>
      </c>
      <c r="AH37" s="38">
        <v>22170</v>
      </c>
      <c r="AI37" s="37">
        <f t="shared" si="11"/>
        <v>0.61927374301675975</v>
      </c>
      <c r="AJ37" s="37">
        <f t="shared" si="12"/>
        <v>0.14710037209044657</v>
      </c>
      <c r="AK37" s="38">
        <v>19559</v>
      </c>
      <c r="AL37" s="37">
        <f t="shared" si="13"/>
        <v>0.88222823635543524</v>
      </c>
      <c r="AM37" s="7">
        <f t="shared" si="0"/>
        <v>996.13169021900183</v>
      </c>
      <c r="AN37" s="41">
        <v>17775</v>
      </c>
      <c r="AO37" s="37">
        <f t="shared" si="14"/>
        <v>0.90878879288307168</v>
      </c>
      <c r="AP37" s="50">
        <f t="shared" si="1"/>
        <v>5535.5072705842849</v>
      </c>
      <c r="AQ37" s="91">
        <f t="shared" si="15"/>
        <v>0.49650837988826818</v>
      </c>
      <c r="AR37" s="7">
        <f>INDEX(Daggett!$B$7:$M$21, MATCH(AE37,Daggett!$A$7:$A$21,0), MATCH(AC$36,Daggett!$B$6:$M$6,0))</f>
        <v>655.22580645161293</v>
      </c>
      <c r="AS37" s="4">
        <f t="shared" si="2"/>
        <v>0.89164395780179317</v>
      </c>
      <c r="AT37" s="91">
        <f t="shared" si="16"/>
        <v>0.44270869692533171</v>
      </c>
      <c r="AU37" s="104">
        <f t="shared" si="17"/>
        <v>0.92900232486677492</v>
      </c>
      <c r="AV37" s="91">
        <f t="shared" si="18"/>
        <v>0.46125743923203699</v>
      </c>
      <c r="BF37" s="38">
        <v>10</v>
      </c>
      <c r="BG37" s="86">
        <f>AF41</f>
        <v>34446</v>
      </c>
      <c r="BH37" s="37">
        <f t="shared" si="19"/>
        <v>0.96217877094972071</v>
      </c>
      <c r="BI37" s="38">
        <f t="shared" ref="BI37:BQ37" si="25">AH41</f>
        <v>24731</v>
      </c>
      <c r="BJ37" s="37">
        <f t="shared" si="25"/>
        <v>0.69081005586592181</v>
      </c>
      <c r="BK37" s="37">
        <f t="shared" si="25"/>
        <v>0.21960396739445986</v>
      </c>
      <c r="BL37" s="38">
        <f t="shared" si="25"/>
        <v>23408</v>
      </c>
      <c r="BM37" s="37">
        <f t="shared" si="25"/>
        <v>0.94650438720634023</v>
      </c>
      <c r="BN37" s="7">
        <f t="shared" si="25"/>
        <v>1192.1596505264274</v>
      </c>
      <c r="BO37" s="38">
        <f t="shared" si="25"/>
        <v>21174</v>
      </c>
      <c r="BP37" s="37">
        <f t="shared" si="25"/>
        <v>0.90456254272043746</v>
      </c>
      <c r="BQ37" s="50">
        <f t="shared" si="25"/>
        <v>6594.0270575162676</v>
      </c>
      <c r="BR37" s="91">
        <f t="shared" si="21"/>
        <v>0.59145251396648046</v>
      </c>
      <c r="BS37" s="103">
        <f>INDEX(Daggett!$B$7:$M$21, MATCH(BF37,Daggett!$A$7:$A$21,0), MATCH(BD$36,Daggett!$B$6:$M$6,0))</f>
        <v>655.22580645161293</v>
      </c>
      <c r="BT37" s="4">
        <f t="shared" si="4"/>
        <v>0.90903803485061263</v>
      </c>
      <c r="BU37" s="91">
        <f t="shared" si="22"/>
        <v>0.53765283100354389</v>
      </c>
      <c r="BV37" s="104">
        <f t="shared" si="23"/>
        <v>0.94039937302856913</v>
      </c>
      <c r="BW37" s="91">
        <f t="shared" si="24"/>
        <v>0.55620157331024922</v>
      </c>
    </row>
    <row r="38" spans="2:86">
      <c r="D38" s="38">
        <v>11</v>
      </c>
      <c r="E38" s="86">
        <v>35160</v>
      </c>
      <c r="F38" s="37">
        <f t="shared" si="5"/>
        <v>0.98212290502793298</v>
      </c>
      <c r="G38" s="38">
        <v>27603</v>
      </c>
      <c r="H38" s="37">
        <f>G38/$C$10</f>
        <v>0.77103351955307264</v>
      </c>
      <c r="I38" s="37">
        <f>1-G38/(E38*$C$8)</f>
        <v>0.14666493545036352</v>
      </c>
      <c r="J38" s="38">
        <v>26110</v>
      </c>
      <c r="K38" s="37">
        <f>J38/G38</f>
        <v>0.9459116762670724</v>
      </c>
      <c r="L38" s="7">
        <f>J38/(PI()*$C$18^2)</f>
        <v>1329.7713805214039</v>
      </c>
      <c r="M38" s="41">
        <v>23685</v>
      </c>
      <c r="N38" s="37">
        <f>M38/J38</f>
        <v>0.90712370739180392</v>
      </c>
      <c r="O38" s="50">
        <f>M38/(PI()*$C$19^2)</f>
        <v>7376.0050466266557</v>
      </c>
      <c r="P38" s="91">
        <f>M38/$C$10</f>
        <v>0.66159217877094967</v>
      </c>
      <c r="Q38" s="7">
        <f>INDEX(Daggett!$B$7:$M$21, MATCH(D38,Daggett!$A$7:$A$21,0), MATCH(B$36,Daggett!$B$6:$M$6,0))</f>
        <v>692.29032258064512</v>
      </c>
      <c r="R38" s="4">
        <f t="shared" si="6"/>
        <v>0.92303521025269297</v>
      </c>
      <c r="S38" s="91">
        <f t="shared" si="7"/>
        <v>0.61067287583338081</v>
      </c>
      <c r="T38" s="104">
        <f t="shared" si="8"/>
        <v>0.94671802087848533</v>
      </c>
      <c r="U38" s="91">
        <f t="shared" si="9"/>
        <v>0.62634123811471853</v>
      </c>
      <c r="V38" s="41"/>
      <c r="W38" s="37"/>
      <c r="X38" s="4"/>
      <c r="Y38" s="50"/>
      <c r="Z38" s="37"/>
      <c r="AA38" s="41"/>
      <c r="AE38" s="38">
        <v>11</v>
      </c>
      <c r="AF38" s="86">
        <v>30583</v>
      </c>
      <c r="AG38" s="37">
        <f t="shared" si="10"/>
        <v>0.85427374301675973</v>
      </c>
      <c r="AH38" s="38">
        <v>25691</v>
      </c>
      <c r="AI38" s="37">
        <f t="shared" si="11"/>
        <v>0.71762569832402234</v>
      </c>
      <c r="AJ38" s="37">
        <f t="shared" si="12"/>
        <v>8.6911029003040929E-2</v>
      </c>
      <c r="AK38" s="38">
        <v>23513</v>
      </c>
      <c r="AL38" s="37">
        <f t="shared" si="13"/>
        <v>0.91522322992487637</v>
      </c>
      <c r="AM38" s="7">
        <f t="shared" si="0"/>
        <v>1197.5072566143151</v>
      </c>
      <c r="AN38" s="41">
        <v>21405</v>
      </c>
      <c r="AO38" s="37">
        <f t="shared" si="14"/>
        <v>0.91034746735848249</v>
      </c>
      <c r="AP38" s="50">
        <f t="shared" si="1"/>
        <v>6665.965295463101</v>
      </c>
      <c r="AQ38" s="91">
        <f t="shared" si="15"/>
        <v>0.59790502793296085</v>
      </c>
      <c r="AR38" s="7">
        <f>INDEX(Daggett!$B$7:$M$21, MATCH(AE38,Daggett!$A$7:$A$21,0), MATCH(AC$36,Daggett!$B$6:$M$6,0))</f>
        <v>692.29032258064512</v>
      </c>
      <c r="AS38" s="4">
        <f t="shared" si="2"/>
        <v>0.9148371387449209</v>
      </c>
      <c r="AT38" s="91">
        <f t="shared" si="16"/>
        <v>0.54698572499539189</v>
      </c>
      <c r="AU38" s="104">
        <f t="shared" si="17"/>
        <v>0.9410425753098306</v>
      </c>
      <c r="AV38" s="91">
        <f t="shared" si="18"/>
        <v>0.56265408727672972</v>
      </c>
      <c r="BF38" s="38">
        <v>11</v>
      </c>
      <c r="BG38" s="86">
        <f>AF40</f>
        <v>33709</v>
      </c>
      <c r="BH38" s="37">
        <f t="shared" si="19"/>
        <v>0.94159217877094969</v>
      </c>
      <c r="BI38" s="38">
        <f t="shared" ref="BI38:BQ38" si="26">AH40</f>
        <v>27509</v>
      </c>
      <c r="BJ38" s="37">
        <f t="shared" si="26"/>
        <v>0.76840782122905027</v>
      </c>
      <c r="BK38" s="37">
        <f t="shared" si="26"/>
        <v>0.11296428382563306</v>
      </c>
      <c r="BL38" s="38">
        <f t="shared" si="26"/>
        <v>25885</v>
      </c>
      <c r="BM38" s="37">
        <f t="shared" si="26"/>
        <v>0.94096477516449162</v>
      </c>
      <c r="BN38" s="7">
        <f t="shared" si="26"/>
        <v>1318.3122246187875</v>
      </c>
      <c r="BO38" s="38">
        <f t="shared" si="26"/>
        <v>23511</v>
      </c>
      <c r="BP38" s="37">
        <f t="shared" si="26"/>
        <v>0.90828665250144869</v>
      </c>
      <c r="BQ38" s="50">
        <f t="shared" si="26"/>
        <v>7321.8178024589106</v>
      </c>
      <c r="BR38" s="91">
        <f t="shared" si="21"/>
        <v>0.65673184357541903</v>
      </c>
      <c r="BS38" s="103">
        <f>INDEX(Daggett!$B$7:$M$21, MATCH(BF38,Daggett!$A$7:$A$21,0), MATCH(BD$36,Daggett!$B$6:$M$6,0))</f>
        <v>692.29032258064512</v>
      </c>
      <c r="BT38" s="4">
        <f t="shared" si="4"/>
        <v>0.92246560992025151</v>
      </c>
      <c r="BU38" s="91">
        <f t="shared" si="22"/>
        <v>0.60581254063785017</v>
      </c>
      <c r="BV38" s="104">
        <f t="shared" si="23"/>
        <v>0.9463236920805973</v>
      </c>
      <c r="BW38" s="91">
        <f t="shared" si="24"/>
        <v>0.62148090291918778</v>
      </c>
    </row>
    <row r="39" spans="2:86">
      <c r="D39" s="38">
        <v>12</v>
      </c>
      <c r="E39" s="86">
        <v>35430</v>
      </c>
      <c r="F39" s="37">
        <f t="shared" si="5"/>
        <v>0.98966480446927374</v>
      </c>
      <c r="G39" s="38">
        <v>28116</v>
      </c>
      <c r="H39" s="37">
        <f>G39/$C$10</f>
        <v>0.78536312849162015</v>
      </c>
      <c r="I39" s="37">
        <f>1-G39/(E39*$C$8)</f>
        <v>0.13742959172403646</v>
      </c>
      <c r="J39" s="38">
        <v>26615</v>
      </c>
      <c r="K39" s="37">
        <f>J39/G39</f>
        <v>0.94661402759994306</v>
      </c>
      <c r="L39" s="7">
        <f>J39/(PI()*$C$18^2)</f>
        <v>1355.4908193250542</v>
      </c>
      <c r="M39" s="41">
        <v>24106</v>
      </c>
      <c r="N39" s="37">
        <f>M39/J39</f>
        <v>0.90572985158745067</v>
      </c>
      <c r="O39" s="50">
        <f>M39/(PI()*$C$19^2)</f>
        <v>7507.1132638371182</v>
      </c>
      <c r="P39" s="91">
        <f>M39/$C$10</f>
        <v>0.67335195530726255</v>
      </c>
      <c r="Q39" s="7">
        <f>INDEX(Daggett!$B$7:$M$21, MATCH(D39,Daggett!$A$7:$A$21,0), MATCH(B$36,Daggett!$B$6:$M$6,0))</f>
        <v>722.54838709677415</v>
      </c>
      <c r="R39" s="4">
        <f t="shared" si="6"/>
        <v>0.92754611975396872</v>
      </c>
      <c r="S39" s="91">
        <f t="shared" si="7"/>
        <v>0.62456499337399918</v>
      </c>
      <c r="T39" s="104">
        <f t="shared" si="8"/>
        <v>0.94764856568932732</v>
      </c>
      <c r="U39" s="91">
        <f t="shared" si="9"/>
        <v>0.63810101465103142</v>
      </c>
      <c r="AE39" s="38">
        <v>12</v>
      </c>
      <c r="AF39" s="86">
        <v>32413</v>
      </c>
      <c r="AG39" s="37">
        <f t="shared" si="10"/>
        <v>0.90539106145251391</v>
      </c>
      <c r="AH39" s="38">
        <v>28046</v>
      </c>
      <c r="AI39" s="37">
        <f t="shared" si="11"/>
        <v>0.78340782122905028</v>
      </c>
      <c r="AJ39" s="37">
        <f t="shared" si="12"/>
        <v>5.9489013399079083E-2</v>
      </c>
      <c r="AK39" s="38">
        <v>26223</v>
      </c>
      <c r="AL39" s="37">
        <f t="shared" si="13"/>
        <v>0.9349996434429152</v>
      </c>
      <c r="AM39" s="7">
        <f t="shared" si="0"/>
        <v>1335.5264232636068</v>
      </c>
      <c r="AN39" s="41">
        <v>23858</v>
      </c>
      <c r="AO39" s="37">
        <f t="shared" si="14"/>
        <v>0.90981199710178084</v>
      </c>
      <c r="AP39" s="50">
        <f t="shared" si="1"/>
        <v>7429.8808698509074</v>
      </c>
      <c r="AQ39" s="91">
        <f t="shared" si="15"/>
        <v>0.66642458100558655</v>
      </c>
      <c r="AR39" s="7">
        <f>INDEX(Daggett!$B$7:$M$21, MATCH(AE39,Daggett!$A$7:$A$21,0), MATCH(AC$36,Daggett!$B$6:$M$6,0))</f>
        <v>722.54838709677415</v>
      </c>
      <c r="AS39" s="4">
        <f t="shared" si="2"/>
        <v>0.9267929735430116</v>
      </c>
      <c r="AT39" s="91">
        <f t="shared" si="16"/>
        <v>0.61763761907232317</v>
      </c>
      <c r="AU39" s="104">
        <f t="shared" si="17"/>
        <v>0.94710438110935213</v>
      </c>
      <c r="AV39" s="91">
        <f t="shared" si="18"/>
        <v>0.6311736403493553</v>
      </c>
      <c r="BF39" s="38">
        <v>12</v>
      </c>
      <c r="BG39" s="86">
        <f>AF39</f>
        <v>32413</v>
      </c>
      <c r="BH39" s="37">
        <f t="shared" si="19"/>
        <v>0.90539106145251391</v>
      </c>
      <c r="BI39" s="38">
        <f t="shared" ref="BI39:BQ39" si="27">AH39</f>
        <v>28046</v>
      </c>
      <c r="BJ39" s="37">
        <f t="shared" si="27"/>
        <v>0.78340782122905028</v>
      </c>
      <c r="BK39" s="37">
        <f t="shared" si="27"/>
        <v>5.9489013399079083E-2</v>
      </c>
      <c r="BL39" s="38">
        <f t="shared" si="27"/>
        <v>26223</v>
      </c>
      <c r="BM39" s="37">
        <f t="shared" si="27"/>
        <v>0.9349996434429152</v>
      </c>
      <c r="BN39" s="7">
        <f t="shared" si="27"/>
        <v>1335.5264232636068</v>
      </c>
      <c r="BO39" s="38">
        <f t="shared" si="27"/>
        <v>23858</v>
      </c>
      <c r="BP39" s="37">
        <f t="shared" si="27"/>
        <v>0.90981199710178084</v>
      </c>
      <c r="BQ39" s="50">
        <f t="shared" si="27"/>
        <v>7429.8808698509074</v>
      </c>
      <c r="BR39" s="91">
        <f t="shared" si="21"/>
        <v>0.66642458100558655</v>
      </c>
      <c r="BS39" s="103">
        <f>INDEX(Daggett!$B$7:$M$21, MATCH(BF39,Daggett!$A$7:$A$21,0), MATCH(BD$36,Daggett!$B$6:$M$6,0))</f>
        <v>722.54838709677415</v>
      </c>
      <c r="BT39" s="4">
        <f t="shared" si="4"/>
        <v>0.9267929735430116</v>
      </c>
      <c r="BU39" s="91">
        <f t="shared" si="22"/>
        <v>0.61763761907232317</v>
      </c>
      <c r="BV39" s="104">
        <f t="shared" si="23"/>
        <v>0.94710438110935213</v>
      </c>
      <c r="BW39" s="91">
        <f t="shared" si="24"/>
        <v>0.6311736403493553</v>
      </c>
    </row>
    <row r="40" spans="2:86">
      <c r="D40" s="38">
        <v>13</v>
      </c>
      <c r="E40" s="86">
        <f>E38</f>
        <v>35160</v>
      </c>
      <c r="F40" s="37">
        <f t="shared" si="5"/>
        <v>0.98212290502793298</v>
      </c>
      <c r="G40" s="38">
        <f>G38</f>
        <v>27603</v>
      </c>
      <c r="H40" s="37">
        <f t="shared" ref="H40:P40" si="28">H38</f>
        <v>0.77103351955307264</v>
      </c>
      <c r="I40" s="37">
        <f t="shared" si="28"/>
        <v>0.14666493545036352</v>
      </c>
      <c r="J40" s="38">
        <f t="shared" si="28"/>
        <v>26110</v>
      </c>
      <c r="K40" s="37">
        <f t="shared" si="28"/>
        <v>0.9459116762670724</v>
      </c>
      <c r="L40" s="7">
        <f t="shared" si="28"/>
        <v>1329.7713805214039</v>
      </c>
      <c r="M40" s="41">
        <f t="shared" si="28"/>
        <v>23685</v>
      </c>
      <c r="N40" s="37">
        <f t="shared" si="28"/>
        <v>0.90712370739180392</v>
      </c>
      <c r="O40" s="50">
        <f t="shared" si="28"/>
        <v>7376.0050466266557</v>
      </c>
      <c r="P40" s="91">
        <f t="shared" si="28"/>
        <v>0.66159217877094967</v>
      </c>
      <c r="Q40" s="7">
        <f>INDEX(Daggett!$B$7:$M$21, MATCH(D40,Daggett!$A$7:$A$21,0), MATCH(B$36,Daggett!$B$6:$M$6,0))</f>
        <v>724.09677419354841</v>
      </c>
      <c r="R40" s="4">
        <f t="shared" si="6"/>
        <v>0.92641594187343712</v>
      </c>
      <c r="S40" s="91">
        <f t="shared" si="7"/>
        <v>0.61290954143218868</v>
      </c>
      <c r="T40" s="104">
        <f t="shared" si="8"/>
        <v>0.94671802087848533</v>
      </c>
      <c r="U40" s="91">
        <f t="shared" si="9"/>
        <v>0.62634123811471853</v>
      </c>
      <c r="AE40" s="38">
        <v>13</v>
      </c>
      <c r="AF40" s="86">
        <v>33709</v>
      </c>
      <c r="AG40" s="37">
        <f t="shared" si="10"/>
        <v>0.94159217877094969</v>
      </c>
      <c r="AH40" s="38">
        <v>27509</v>
      </c>
      <c r="AI40" s="37">
        <f t="shared" si="11"/>
        <v>0.76840782122905027</v>
      </c>
      <c r="AJ40" s="37">
        <f t="shared" si="12"/>
        <v>0.11296428382563306</v>
      </c>
      <c r="AK40" s="38">
        <v>25885</v>
      </c>
      <c r="AL40" s="37">
        <f t="shared" si="13"/>
        <v>0.94096477516449162</v>
      </c>
      <c r="AM40" s="7">
        <f t="shared" si="0"/>
        <v>1318.3122246187875</v>
      </c>
      <c r="AN40" s="41">
        <v>23511</v>
      </c>
      <c r="AO40" s="37">
        <f t="shared" si="14"/>
        <v>0.90828665250144869</v>
      </c>
      <c r="AP40" s="50">
        <f t="shared" si="1"/>
        <v>7321.8178024589106</v>
      </c>
      <c r="AQ40" s="91">
        <f t="shared" si="15"/>
        <v>0.65673184357541903</v>
      </c>
      <c r="AR40" s="7">
        <f>INDEX(Daggett!$B$7:$M$21, MATCH(AE40,Daggett!$A$7:$A$21,0), MATCH(AC$36,Daggett!$B$6:$M$6,0))</f>
        <v>724.09677419354841</v>
      </c>
      <c r="AS40" s="4">
        <f t="shared" si="2"/>
        <v>0.92587136162955042</v>
      </c>
      <c r="AT40" s="91">
        <f t="shared" si="16"/>
        <v>0.60804920623665815</v>
      </c>
      <c r="AU40" s="104">
        <f t="shared" si="17"/>
        <v>0.9463236920805973</v>
      </c>
      <c r="AV40" s="91">
        <f t="shared" si="18"/>
        <v>0.62148090291918778</v>
      </c>
      <c r="BF40" s="38">
        <v>13</v>
      </c>
      <c r="BG40" s="86">
        <f>AF38</f>
        <v>30583</v>
      </c>
      <c r="BH40" s="37">
        <f t="shared" si="19"/>
        <v>0.85427374301675973</v>
      </c>
      <c r="BI40" s="38">
        <f t="shared" ref="BI40:BQ40" si="29">AH38</f>
        <v>25691</v>
      </c>
      <c r="BJ40" s="37">
        <f t="shared" si="29"/>
        <v>0.71762569832402234</v>
      </c>
      <c r="BK40" s="37">
        <f t="shared" si="29"/>
        <v>8.6911029003040929E-2</v>
      </c>
      <c r="BL40" s="38">
        <f t="shared" si="29"/>
        <v>23513</v>
      </c>
      <c r="BM40" s="37">
        <f t="shared" si="29"/>
        <v>0.91522322992487637</v>
      </c>
      <c r="BN40" s="7">
        <f t="shared" si="29"/>
        <v>1197.5072566143151</v>
      </c>
      <c r="BO40" s="38">
        <f t="shared" si="29"/>
        <v>21405</v>
      </c>
      <c r="BP40" s="37">
        <f t="shared" si="29"/>
        <v>0.91034746735848249</v>
      </c>
      <c r="BQ40" s="50">
        <f t="shared" si="29"/>
        <v>6665.965295463101</v>
      </c>
      <c r="BR40" s="91">
        <f t="shared" si="21"/>
        <v>0.59790502793296085</v>
      </c>
      <c r="BS40" s="103">
        <f>INDEX(Daggett!$B$7:$M$21, MATCH(BF40,Daggett!$A$7:$A$21,0), MATCH(BD$36,Daggett!$B$6:$M$6,0))</f>
        <v>724.09677419354841</v>
      </c>
      <c r="BT40" s="4">
        <f t="shared" si="4"/>
        <v>0.91857797632666949</v>
      </c>
      <c r="BU40" s="91">
        <f t="shared" si="22"/>
        <v>0.54922239059419997</v>
      </c>
      <c r="BV40" s="104">
        <f t="shared" si="23"/>
        <v>0.9410425753098306</v>
      </c>
      <c r="BW40" s="91">
        <f t="shared" si="24"/>
        <v>0.56265408727672972</v>
      </c>
    </row>
    <row r="41" spans="2:86">
      <c r="D41" s="38">
        <v>14</v>
      </c>
      <c r="E41" s="86">
        <f>E37</f>
        <v>34355</v>
      </c>
      <c r="F41" s="37">
        <f t="shared" si="5"/>
        <v>0.95963687150837984</v>
      </c>
      <c r="G41" s="38">
        <f>G37</f>
        <v>24891</v>
      </c>
      <c r="H41" s="37">
        <f t="shared" ref="H41:P41" si="30">H37</f>
        <v>0.69527932960893857</v>
      </c>
      <c r="I41" s="37">
        <f t="shared" si="30"/>
        <v>0.21247460973341015</v>
      </c>
      <c r="J41" s="38">
        <f t="shared" si="30"/>
        <v>23524</v>
      </c>
      <c r="K41" s="37">
        <f t="shared" si="30"/>
        <v>0.94508055120324619</v>
      </c>
      <c r="L41" s="7">
        <f t="shared" si="30"/>
        <v>1198.0674820139986</v>
      </c>
      <c r="M41" s="41">
        <f t="shared" si="30"/>
        <v>21291</v>
      </c>
      <c r="N41" s="37">
        <f t="shared" si="30"/>
        <v>0.90507566740350276</v>
      </c>
      <c r="O41" s="50">
        <f t="shared" si="30"/>
        <v>6630.4633079049236</v>
      </c>
      <c r="P41" s="91">
        <f t="shared" si="30"/>
        <v>0.59472067039106147</v>
      </c>
      <c r="Q41" s="7">
        <f>INDEX(Daggett!$B$7:$M$21, MATCH(D41,Daggett!$A$7:$A$21,0), MATCH(B$36,Daggett!$B$6:$M$6,0))</f>
        <v>716.58064516129036</v>
      </c>
      <c r="R41" s="4">
        <f t="shared" si="6"/>
        <v>0.91728341358864707</v>
      </c>
      <c r="S41" s="91">
        <f t="shared" si="7"/>
        <v>0.54552740666804145</v>
      </c>
      <c r="T41" s="104">
        <f t="shared" si="8"/>
        <v>0.94072689514381302</v>
      </c>
      <c r="U41" s="91">
        <f t="shared" si="9"/>
        <v>0.55946972973483022</v>
      </c>
      <c r="AE41" s="38">
        <v>14</v>
      </c>
      <c r="AF41" s="86">
        <v>34446</v>
      </c>
      <c r="AG41" s="37">
        <f t="shared" si="10"/>
        <v>0.96217877094972071</v>
      </c>
      <c r="AH41" s="38">
        <v>24731</v>
      </c>
      <c r="AI41" s="37">
        <f t="shared" si="11"/>
        <v>0.69081005586592181</v>
      </c>
      <c r="AJ41" s="37">
        <f t="shared" si="12"/>
        <v>0.21960396739445986</v>
      </c>
      <c r="AK41" s="38">
        <v>23408</v>
      </c>
      <c r="AL41" s="37">
        <f t="shared" si="13"/>
        <v>0.94650438720634023</v>
      </c>
      <c r="AM41" s="7">
        <f t="shared" si="0"/>
        <v>1192.1596505264274</v>
      </c>
      <c r="AN41" s="41">
        <v>21174</v>
      </c>
      <c r="AO41" s="37">
        <f t="shared" si="14"/>
        <v>0.90456254272043746</v>
      </c>
      <c r="AP41" s="50">
        <f t="shared" si="1"/>
        <v>6594.0270575162676</v>
      </c>
      <c r="AQ41" s="91">
        <f t="shared" si="15"/>
        <v>0.59145251396648046</v>
      </c>
      <c r="AR41" s="7">
        <f>INDEX(Daggett!$B$7:$M$21, MATCH(AE41,Daggett!$A$7:$A$21,0), MATCH(AC$36,Daggett!$B$6:$M$6,0))</f>
        <v>716.58064516129036</v>
      </c>
      <c r="AS41" s="4">
        <f t="shared" si="2"/>
        <v>0.91682635112477018</v>
      </c>
      <c r="AT41" s="91">
        <f t="shared" si="16"/>
        <v>0.54225925024346044</v>
      </c>
      <c r="AU41" s="104">
        <f t="shared" si="17"/>
        <v>0.94039937302856913</v>
      </c>
      <c r="AV41" s="91">
        <f t="shared" si="18"/>
        <v>0.55620157331024922</v>
      </c>
      <c r="BF41" s="38">
        <v>14</v>
      </c>
      <c r="BG41" s="86">
        <f>AF37</f>
        <v>28254</v>
      </c>
      <c r="BH41" s="37">
        <f t="shared" si="19"/>
        <v>0.78921787709497204</v>
      </c>
      <c r="BI41" s="38">
        <f t="shared" ref="BI41:BQ41" si="31">AH37</f>
        <v>22170</v>
      </c>
      <c r="BJ41" s="37">
        <f t="shared" si="31"/>
        <v>0.61927374301675975</v>
      </c>
      <c r="BK41" s="37">
        <f t="shared" si="31"/>
        <v>0.14710037209044657</v>
      </c>
      <c r="BL41" s="38">
        <f t="shared" si="31"/>
        <v>19559</v>
      </c>
      <c r="BM41" s="37">
        <f t="shared" si="31"/>
        <v>0.88222823635543524</v>
      </c>
      <c r="BN41" s="7">
        <f t="shared" si="31"/>
        <v>996.13169021900183</v>
      </c>
      <c r="BO41" s="38">
        <f t="shared" si="31"/>
        <v>17775</v>
      </c>
      <c r="BP41" s="37">
        <f t="shared" si="31"/>
        <v>0.90878879288307168</v>
      </c>
      <c r="BQ41" s="50">
        <f t="shared" si="31"/>
        <v>5535.5072705842849</v>
      </c>
      <c r="BR41" s="91">
        <f t="shared" si="21"/>
        <v>0.49650837988826818</v>
      </c>
      <c r="BS41" s="103">
        <f>INDEX(Daggett!$B$7:$M$21, MATCH(BF41,Daggett!$A$7:$A$21,0), MATCH(BD$36,Daggett!$B$6:$M$6,0))</f>
        <v>716.58064516129036</v>
      </c>
      <c r="BT41" s="4">
        <f t="shared" si="4"/>
        <v>0.90092158417529589</v>
      </c>
      <c r="BU41" s="91">
        <f t="shared" si="22"/>
        <v>0.44731511616524822</v>
      </c>
      <c r="BV41" s="104">
        <f t="shared" si="23"/>
        <v>0.92900232486677492</v>
      </c>
      <c r="BW41" s="91">
        <f t="shared" si="24"/>
        <v>0.46125743923203699</v>
      </c>
    </row>
    <row r="42" spans="2:86">
      <c r="C42" s="7" t="s">
        <v>162</v>
      </c>
      <c r="D42" s="38">
        <v>15</v>
      </c>
      <c r="E42" s="86">
        <f>E36</f>
        <v>33034</v>
      </c>
      <c r="F42" s="37">
        <f t="shared" si="5"/>
        <v>0.92273743016759779</v>
      </c>
      <c r="G42" s="38">
        <f>G36</f>
        <v>22107</v>
      </c>
      <c r="H42" s="37">
        <f t="shared" ref="H42:P42" si="32">H36</f>
        <v>0.61751396648044687</v>
      </c>
      <c r="I42" s="37">
        <f t="shared" si="32"/>
        <v>0.27258740007002014</v>
      </c>
      <c r="J42" s="38">
        <f t="shared" si="32"/>
        <v>20751</v>
      </c>
      <c r="K42" s="37">
        <f t="shared" si="32"/>
        <v>0.93866196227439269</v>
      </c>
      <c r="L42" s="7">
        <f t="shared" si="32"/>
        <v>1056.8397517119745</v>
      </c>
      <c r="M42" s="41">
        <f t="shared" si="32"/>
        <v>18727</v>
      </c>
      <c r="N42" s="37">
        <f t="shared" si="32"/>
        <v>0.90246253192617221</v>
      </c>
      <c r="O42" s="50">
        <f t="shared" si="32"/>
        <v>5831.9800087894182</v>
      </c>
      <c r="P42" s="91">
        <f t="shared" si="32"/>
        <v>0.5231005586592179</v>
      </c>
      <c r="Q42" s="7">
        <f>INDEX(Daggett!$B$7:$M$21, MATCH(D42,Daggett!$A$7:$A$21,0), MATCH(B$36,Daggett!$B$6:$M$6,0))</f>
        <v>652.64516129032256</v>
      </c>
      <c r="R42" s="4">
        <f t="shared" si="6"/>
        <v>0.89674563882510339</v>
      </c>
      <c r="S42" s="91">
        <f t="shared" si="7"/>
        <v>0.46908814464462883</v>
      </c>
      <c r="T42" s="104">
        <f t="shared" si="8"/>
        <v>0.93261154079708031</v>
      </c>
      <c r="U42" s="91">
        <f t="shared" si="9"/>
        <v>0.48784961800298671</v>
      </c>
      <c r="AD42" s="7" t="s">
        <v>162</v>
      </c>
      <c r="AE42" s="38">
        <v>15</v>
      </c>
      <c r="AF42" s="86">
        <v>34611</v>
      </c>
      <c r="AG42" s="37">
        <f t="shared" si="10"/>
        <v>0.96678770949720672</v>
      </c>
      <c r="AH42" s="38">
        <v>22748</v>
      </c>
      <c r="AI42" s="37">
        <f t="shared" si="11"/>
        <v>0.63541899441340777</v>
      </c>
      <c r="AJ42" s="37">
        <f t="shared" si="12"/>
        <v>0.28560033063125201</v>
      </c>
      <c r="AK42" s="38">
        <v>21547</v>
      </c>
      <c r="AL42" s="37">
        <f t="shared" si="13"/>
        <v>0.94720414981536838</v>
      </c>
      <c r="AM42" s="7">
        <f t="shared" si="0"/>
        <v>1097.3796988163419</v>
      </c>
      <c r="AN42" s="41">
        <v>19418</v>
      </c>
      <c r="AO42" s="37">
        <f t="shared" si="14"/>
        <v>0.90119274144892558</v>
      </c>
      <c r="AP42" s="50">
        <f t="shared" si="1"/>
        <v>6047.1718807429343</v>
      </c>
      <c r="AQ42" s="91">
        <f t="shared" si="15"/>
        <v>0.54240223463687154</v>
      </c>
      <c r="AR42" s="7">
        <f>INDEX(Daggett!$B$7:$M$21, MATCH(AE42,Daggett!$A$7:$A$21,0), MATCH(AC$36,Daggett!$B$6:$M$6,0))</f>
        <v>652.64516129032256</v>
      </c>
      <c r="AS42" s="4">
        <f t="shared" si="2"/>
        <v>0.90042000094127672</v>
      </c>
      <c r="AT42" s="91">
        <f t="shared" si="16"/>
        <v>0.48838982062228248</v>
      </c>
      <c r="AU42" s="104">
        <f t="shared" si="17"/>
        <v>0.93500959545302931</v>
      </c>
      <c r="AV42" s="91">
        <f t="shared" si="18"/>
        <v>0.50715129398064029</v>
      </c>
      <c r="BE42" s="7" t="s">
        <v>162</v>
      </c>
      <c r="BF42" s="38">
        <v>15</v>
      </c>
      <c r="BG42" s="86">
        <f>AF36</f>
        <v>25472</v>
      </c>
      <c r="BH42" s="37">
        <f t="shared" si="19"/>
        <v>0.71150837988826821</v>
      </c>
      <c r="BI42" s="38">
        <f t="shared" ref="BI42:BQ42" si="33">AH36</f>
        <v>17759</v>
      </c>
      <c r="BJ42" s="37">
        <f t="shared" si="33"/>
        <v>0.49606145251396649</v>
      </c>
      <c r="BK42" s="37">
        <f t="shared" si="33"/>
        <v>0.24217725857548622</v>
      </c>
      <c r="BL42" s="38">
        <f t="shared" si="33"/>
        <v>14746</v>
      </c>
      <c r="BM42" s="37">
        <f t="shared" si="33"/>
        <v>0.83033954614561634</v>
      </c>
      <c r="BN42" s="7">
        <f t="shared" si="33"/>
        <v>751.00761306658831</v>
      </c>
      <c r="BO42" s="38">
        <f t="shared" si="33"/>
        <v>13346</v>
      </c>
      <c r="BP42" s="37">
        <f t="shared" si="33"/>
        <v>0.90505899905058995</v>
      </c>
      <c r="BQ42" s="50">
        <f t="shared" si="33"/>
        <v>4156.2239118547323</v>
      </c>
      <c r="BR42" s="91">
        <f t="shared" si="21"/>
        <v>0.3727932960893855</v>
      </c>
      <c r="BS42" s="103">
        <f>INDEX(Daggett!$B$7:$M$21, MATCH(BF42,Daggett!$A$7:$A$21,0), MATCH(BD$36,Daggett!$B$6:$M$6,0))</f>
        <v>652.64516129032256</v>
      </c>
      <c r="BT42" s="4">
        <f t="shared" si="4"/>
        <v>0.85511430977654057</v>
      </c>
      <c r="BU42" s="91">
        <f t="shared" si="22"/>
        <v>0.31878088207479638</v>
      </c>
      <c r="BV42" s="104">
        <f t="shared" si="23"/>
        <v>0.90544105533545061</v>
      </c>
      <c r="BW42" s="91">
        <f t="shared" si="24"/>
        <v>0.33754235543315431</v>
      </c>
    </row>
    <row r="43" spans="2:86">
      <c r="C43" s="7">
        <f>ROW(D43)-ROW(D35)+1</f>
        <v>9</v>
      </c>
      <c r="D43" s="38">
        <v>16</v>
      </c>
      <c r="E43" s="86">
        <f>E35</f>
        <v>31229</v>
      </c>
      <c r="F43" s="37">
        <f t="shared" si="5"/>
        <v>0.87231843575418999</v>
      </c>
      <c r="G43" s="38">
        <f>G35</f>
        <v>15288</v>
      </c>
      <c r="H43" s="37">
        <f t="shared" ref="H43:P43" si="34">H35</f>
        <v>0.42703910614525142</v>
      </c>
      <c r="I43" s="37">
        <f t="shared" si="34"/>
        <v>0.46788589758404608</v>
      </c>
      <c r="J43" s="38">
        <f t="shared" si="34"/>
        <v>14076</v>
      </c>
      <c r="K43" s="37">
        <f t="shared" si="34"/>
        <v>0.92072213500784927</v>
      </c>
      <c r="L43" s="7">
        <f t="shared" si="34"/>
        <v>716.88479326768595</v>
      </c>
      <c r="M43" s="41">
        <f t="shared" si="34"/>
        <v>12588</v>
      </c>
      <c r="N43" s="37">
        <f t="shared" si="34"/>
        <v>0.89428815004262574</v>
      </c>
      <c r="O43" s="50">
        <f t="shared" si="34"/>
        <v>3920.1668366872</v>
      </c>
      <c r="P43" s="91">
        <f t="shared" si="34"/>
        <v>0.3516201117318436</v>
      </c>
      <c r="Q43" s="7">
        <f>INDEX(Daggett!$B$7:$M$21, MATCH(D43,Daggett!$A$7:$A$21,0), MATCH(B$36,Daggett!$B$6:$M$6,0))</f>
        <v>523.32258064516134</v>
      </c>
      <c r="R43" s="4">
        <f t="shared" si="6"/>
        <v>0.80842998709397573</v>
      </c>
      <c r="S43" s="91">
        <f t="shared" si="7"/>
        <v>0.2842602423893566</v>
      </c>
      <c r="T43" s="104">
        <f t="shared" si="8"/>
        <v>0.89974708647179247</v>
      </c>
      <c r="U43" s="91">
        <f t="shared" si="9"/>
        <v>0.31636917107561241</v>
      </c>
      <c r="AD43" s="7">
        <f>ROW(AE43)-ROW(AE35)+1</f>
        <v>9</v>
      </c>
      <c r="AE43" s="38">
        <v>16</v>
      </c>
      <c r="AF43" s="86">
        <v>34200</v>
      </c>
      <c r="AG43" s="37">
        <f t="shared" si="10"/>
        <v>0.95530726256983245</v>
      </c>
      <c r="AH43" s="38">
        <v>15314</v>
      </c>
      <c r="AI43" s="37">
        <f t="shared" si="11"/>
        <v>0.42776536312849162</v>
      </c>
      <c r="AJ43" s="37">
        <f t="shared" si="12"/>
        <v>0.51328502415458943</v>
      </c>
      <c r="AK43" s="38">
        <v>14479</v>
      </c>
      <c r="AL43" s="37">
        <f t="shared" si="13"/>
        <v>0.94547472900613816</v>
      </c>
      <c r="AM43" s="7">
        <f t="shared" si="0"/>
        <v>737.40941472881684</v>
      </c>
      <c r="AN43" s="41">
        <v>12867</v>
      </c>
      <c r="AO43" s="37">
        <f t="shared" si="14"/>
        <v>0.88866634436079839</v>
      </c>
      <c r="AP43" s="50">
        <f t="shared" si="1"/>
        <v>4007.0532799216876</v>
      </c>
      <c r="AQ43" s="91">
        <f t="shared" si="15"/>
        <v>0.35941340782122905</v>
      </c>
      <c r="AR43" s="7">
        <f>INDEX(Daggett!$B$7:$M$21, MATCH(AE43,Daggett!$A$7:$A$21,0), MATCH(AC$36,Daggett!$B$6:$M$6,0))</f>
        <v>523.32258064516134</v>
      </c>
      <c r="AS43" s="4">
        <f t="shared" si="2"/>
        <v>0.81258387172914948</v>
      </c>
      <c r="AT43" s="91">
        <f t="shared" si="16"/>
        <v>0.29205353847874205</v>
      </c>
      <c r="AU43" s="104">
        <f t="shared" si="17"/>
        <v>0.9019209080987739</v>
      </c>
      <c r="AV43" s="91">
        <f t="shared" si="18"/>
        <v>0.32416246716499786</v>
      </c>
      <c r="BE43" s="7">
        <f>ROW(BF43)-ROW(BF35)+1</f>
        <v>9</v>
      </c>
      <c r="BF43" s="38">
        <v>16</v>
      </c>
      <c r="BG43" s="86">
        <f>AF35</f>
        <v>22297</v>
      </c>
      <c r="BH43" s="37">
        <f t="shared" si="19"/>
        <v>0.62282122905027937</v>
      </c>
      <c r="BI43" s="38">
        <f t="shared" ref="BI43:BQ43" si="35">AH35</f>
        <v>14202</v>
      </c>
      <c r="BJ43" s="37">
        <f t="shared" si="35"/>
        <v>0.39670391061452515</v>
      </c>
      <c r="BK43" s="37">
        <f t="shared" si="35"/>
        <v>0.30766665821683947</v>
      </c>
      <c r="BL43" s="38">
        <f t="shared" si="35"/>
        <v>10672</v>
      </c>
      <c r="BM43" s="37">
        <f t="shared" si="35"/>
        <v>0.75144345866779327</v>
      </c>
      <c r="BN43" s="7">
        <f t="shared" si="35"/>
        <v>543.52049685654629</v>
      </c>
      <c r="BO43" s="38">
        <f t="shared" si="35"/>
        <v>9637</v>
      </c>
      <c r="BP43" s="37">
        <f t="shared" si="35"/>
        <v>0.90301724137931039</v>
      </c>
      <c r="BQ43" s="50">
        <f t="shared" si="35"/>
        <v>3001.1636324399865</v>
      </c>
      <c r="BR43" s="91">
        <f t="shared" si="21"/>
        <v>0.26918994413407821</v>
      </c>
      <c r="BS43" s="103">
        <f>INDEX(Daggett!$B$7:$M$21, MATCH(BF43,Daggett!$A$7:$A$21,0), MATCH(BD$36,Daggett!$B$6:$M$6,0))</f>
        <v>523.32258064516134</v>
      </c>
      <c r="BT43" s="4">
        <f t="shared" si="4"/>
        <v>0.74976825542585512</v>
      </c>
      <c r="BU43" s="91">
        <f t="shared" si="22"/>
        <v>0.20183007479159121</v>
      </c>
      <c r="BV43" s="104">
        <f t="shared" si="23"/>
        <v>0.86904807767011771</v>
      </c>
      <c r="BW43" s="91">
        <f t="shared" si="24"/>
        <v>0.23393900347784705</v>
      </c>
    </row>
    <row r="44" spans="2:86">
      <c r="E44" s="87"/>
      <c r="P44" s="88"/>
      <c r="S44" s="88"/>
      <c r="T44" s="87"/>
      <c r="U44" s="88"/>
      <c r="AF44" s="87"/>
      <c r="AQ44" s="88"/>
      <c r="AT44" s="88"/>
      <c r="AU44" s="87"/>
      <c r="AV44" s="88"/>
      <c r="BG44" s="87"/>
      <c r="BR44" s="88"/>
      <c r="BS44" s="87"/>
      <c r="BU44" s="88"/>
      <c r="BV44" s="87"/>
      <c r="BW44" s="88"/>
    </row>
    <row r="45" spans="2:86">
      <c r="E45" s="87"/>
      <c r="P45" s="88"/>
      <c r="S45" s="88"/>
      <c r="T45" s="87"/>
      <c r="U45" s="88"/>
      <c r="AF45" s="87"/>
      <c r="AQ45" s="88"/>
      <c r="AT45" s="88"/>
      <c r="AU45" s="87"/>
      <c r="AV45" s="88"/>
      <c r="BG45" s="87"/>
      <c r="BR45" s="88"/>
      <c r="BS45" s="87"/>
      <c r="BU45" s="88"/>
      <c r="BV45" s="87"/>
      <c r="BW45" s="88"/>
    </row>
    <row r="46" spans="2:86" ht="49.5">
      <c r="B46" s="34"/>
      <c r="C46" s="63" t="s">
        <v>151</v>
      </c>
      <c r="D46" s="63" t="s">
        <v>89</v>
      </c>
      <c r="E46" s="89" t="s">
        <v>152</v>
      </c>
      <c r="F46" s="34" t="s">
        <v>125</v>
      </c>
      <c r="G46" s="63" t="s">
        <v>153</v>
      </c>
      <c r="H46" s="33" t="s">
        <v>154</v>
      </c>
      <c r="I46" s="34" t="s">
        <v>155</v>
      </c>
      <c r="J46" s="85" t="s">
        <v>156</v>
      </c>
      <c r="K46" s="35" t="s">
        <v>157</v>
      </c>
      <c r="L46" s="35" t="s">
        <v>158</v>
      </c>
      <c r="M46" s="85" t="s">
        <v>159</v>
      </c>
      <c r="N46" s="35" t="s">
        <v>72</v>
      </c>
      <c r="O46" s="35" t="s">
        <v>160</v>
      </c>
      <c r="P46" s="100" t="s">
        <v>129</v>
      </c>
      <c r="Q46" s="138" t="s">
        <v>161</v>
      </c>
      <c r="R46" s="67" t="s">
        <v>130</v>
      </c>
      <c r="S46" s="100" t="s">
        <v>131</v>
      </c>
      <c r="T46" s="107" t="s">
        <v>130</v>
      </c>
      <c r="U46" s="100" t="s">
        <v>131</v>
      </c>
      <c r="AC46" s="34"/>
      <c r="AD46" s="63" t="s">
        <v>151</v>
      </c>
      <c r="AE46" s="63" t="s">
        <v>89</v>
      </c>
      <c r="AF46" s="89" t="s">
        <v>152</v>
      </c>
      <c r="AG46" s="34" t="s">
        <v>125</v>
      </c>
      <c r="AH46" s="63" t="s">
        <v>153</v>
      </c>
      <c r="AI46" s="33" t="s">
        <v>154</v>
      </c>
      <c r="AJ46" s="34" t="s">
        <v>155</v>
      </c>
      <c r="AK46" s="85" t="s">
        <v>156</v>
      </c>
      <c r="AL46" s="35" t="s">
        <v>157</v>
      </c>
      <c r="AM46" s="35" t="s">
        <v>158</v>
      </c>
      <c r="AN46" s="85" t="s">
        <v>159</v>
      </c>
      <c r="AO46" s="35" t="s">
        <v>72</v>
      </c>
      <c r="AP46" s="35" t="s">
        <v>160</v>
      </c>
      <c r="AQ46" s="100" t="s">
        <v>129</v>
      </c>
      <c r="AR46" s="138" t="s">
        <v>161</v>
      </c>
      <c r="AS46" s="67" t="s">
        <v>130</v>
      </c>
      <c r="AT46" s="100" t="s">
        <v>131</v>
      </c>
      <c r="AU46" s="107" t="s">
        <v>130</v>
      </c>
      <c r="AV46" s="100" t="s">
        <v>131</v>
      </c>
      <c r="BD46" s="34"/>
      <c r="BE46" s="63" t="s">
        <v>151</v>
      </c>
      <c r="BF46" s="63" t="s">
        <v>89</v>
      </c>
      <c r="BG46" s="89" t="s">
        <v>152</v>
      </c>
      <c r="BH46" s="34" t="s">
        <v>125</v>
      </c>
      <c r="BI46" s="63" t="s">
        <v>153</v>
      </c>
      <c r="BJ46" s="33" t="s">
        <v>154</v>
      </c>
      <c r="BK46" s="34" t="s">
        <v>155</v>
      </c>
      <c r="BL46" s="85" t="s">
        <v>156</v>
      </c>
      <c r="BM46" s="35" t="s">
        <v>157</v>
      </c>
      <c r="BN46" s="35" t="s">
        <v>158</v>
      </c>
      <c r="BO46" s="85" t="s">
        <v>159</v>
      </c>
      <c r="BP46" s="35" t="s">
        <v>72</v>
      </c>
      <c r="BQ46" s="35" t="s">
        <v>160</v>
      </c>
      <c r="BR46" s="100" t="s">
        <v>129</v>
      </c>
      <c r="BS46" s="144" t="s">
        <v>161</v>
      </c>
      <c r="BT46" s="67" t="s">
        <v>130</v>
      </c>
      <c r="BU46" s="100" t="s">
        <v>131</v>
      </c>
      <c r="BV46" s="107" t="s">
        <v>130</v>
      </c>
      <c r="BW46" s="100" t="s">
        <v>131</v>
      </c>
    </row>
    <row r="47" spans="2:86">
      <c r="B47" s="2" t="s">
        <v>88</v>
      </c>
      <c r="C47" s="7">
        <v>53</v>
      </c>
      <c r="D47" s="38">
        <v>8</v>
      </c>
      <c r="E47" s="86">
        <v>30994</v>
      </c>
      <c r="F47" s="37">
        <f t="shared" ref="F47:F55" si="36">E47/$C$10</f>
        <v>0.86575418994413411</v>
      </c>
      <c r="G47" s="38">
        <v>20191</v>
      </c>
      <c r="H47" s="37">
        <f>G47/$C$10</f>
        <v>0.56399441340782119</v>
      </c>
      <c r="I47" s="37">
        <f>1-G47/(E47*$C$8)</f>
        <v>0.29190362229996825</v>
      </c>
      <c r="J47" s="38">
        <v>18605</v>
      </c>
      <c r="K47" s="37">
        <f>J47/G47</f>
        <v>0.9214501510574018</v>
      </c>
      <c r="L47" s="7">
        <f>J47/(PI()*$C$18^2)</f>
        <v>947.54486919190811</v>
      </c>
      <c r="M47" s="41">
        <v>16897</v>
      </c>
      <c r="N47" s="37">
        <f>M47/J47</f>
        <v>0.90819672131147544</v>
      </c>
      <c r="O47" s="50">
        <f>M47/(PI()*$C$19^2)</f>
        <v>5262.0796821976182</v>
      </c>
      <c r="P47" s="91">
        <f>M47/$C$10</f>
        <v>0.47198324022346366</v>
      </c>
      <c r="Q47" s="7">
        <f>INDEX(Daggett!$B$7:$M$21, MATCH(D47,Daggett!$A$7:$A$21,0), MATCH(B$48,Daggett!$B$6:$M$6,0))</f>
        <v>387.35714285714283</v>
      </c>
      <c r="R47" s="4">
        <f t="shared" ref="R47:R55" si="37">IF(1-$H$7*(($H$5+273)^4-298^4)*(PI()*$C$19^2)*1000/(M47*Q47*1000)&lt;0,#N/A,1-$H$7*(($H$5+273)^4-298^4)*(PI()*$C$19^2)*1000/(M47*Q47*1000))</f>
        <v>0.80718866383777299</v>
      </c>
      <c r="S47" s="91">
        <f>R47*P47</f>
        <v>0.38097952102980026</v>
      </c>
      <c r="T47" s="104">
        <f>IF(1-$H$7*(($H$5+273)^4-298^4)/(O47*1000)&lt;0,#N/A,1-$H$7*(($H$5+273)^4-298^4)/(O47*1000))</f>
        <v>0.92531315171373163</v>
      </c>
      <c r="U47" s="91">
        <f>T47*P47</f>
        <v>0.43673229956723247</v>
      </c>
      <c r="AC47" s="2" t="s">
        <v>88</v>
      </c>
      <c r="AD47" s="7">
        <v>53</v>
      </c>
      <c r="AE47" s="38">
        <v>8</v>
      </c>
      <c r="AF47" s="86">
        <v>22360</v>
      </c>
      <c r="AG47" s="37">
        <f>AF47/$C$10</f>
        <v>0.62458100558659213</v>
      </c>
      <c r="AH47" s="38">
        <v>17952</v>
      </c>
      <c r="AI47" s="37">
        <f>AH47/$C$10</f>
        <v>0.5014525139664805</v>
      </c>
      <c r="AJ47" s="37">
        <f>1-AH47/(AF47*$C$8)</f>
        <v>0.12732363692929927</v>
      </c>
      <c r="AK47" s="38">
        <v>13514</v>
      </c>
      <c r="AL47" s="37">
        <f>AK47/AH47</f>
        <v>0.75278520499108736</v>
      </c>
      <c r="AM47" s="7">
        <f t="shared" ref="AM47:AM55" si="38">AK47/(PI()*$C$18^2)</f>
        <v>688.26236830203959</v>
      </c>
      <c r="AN47" s="41">
        <v>12306</v>
      </c>
      <c r="AO47" s="37">
        <f>AN47/AK47</f>
        <v>0.91061121799615219</v>
      </c>
      <c r="AP47" s="50">
        <f t="shared" ref="AP47:AP55" si="39">AN47/(PI()*$C$19^2)</f>
        <v>3832.3461306222343</v>
      </c>
      <c r="AQ47" s="91">
        <f>AN47/$C$10</f>
        <v>0.34374301675977653</v>
      </c>
      <c r="AR47" s="7">
        <f>INDEX(Daggett!$B$7:$M$21, MATCH(AE47,Daggett!$A$7:$A$21,0), MATCH(AC$48,Daggett!$B$6:$M$6,0))</f>
        <v>387.35714285714283</v>
      </c>
      <c r="AS47" s="4">
        <f t="shared" ref="AS47:AS55" si="40">IF(1-$H$7*(($H$5+273)^4-298^4)*(PI()*$C$19^2)*1000/(AN47*AR47*1000)&lt;0,#N/A,1-$H$7*(($H$5+273)^4-298^4)*(PI()*$C$19^2)*1000/(AN47*AR47*1000))</f>
        <v>0.73525652956824739</v>
      </c>
      <c r="AT47" s="91">
        <f>AS47*AQ47</f>
        <v>0.25273929756611319</v>
      </c>
      <c r="AU47" s="104">
        <f>IF(1-$H$7*(($H$5+273)^4-298^4)/(AP47*1000)&lt;0,#N/A,1-$H$7*(($H$5+273)^4-298^4)/(AP47*1000))</f>
        <v>0.89744972570347181</v>
      </c>
      <c r="AV47" s="91">
        <f>AU47*AQ47</f>
        <v>0.30849207610354534</v>
      </c>
      <c r="BD47" s="2" t="s">
        <v>88</v>
      </c>
      <c r="BE47" s="7">
        <v>53</v>
      </c>
      <c r="BF47" s="38">
        <v>8</v>
      </c>
      <c r="BG47" s="86">
        <f>AF55</f>
        <v>34675</v>
      </c>
      <c r="BH47" s="37">
        <f>BG47/$C$10</f>
        <v>0.96857541899441346</v>
      </c>
      <c r="BI47" s="38">
        <f t="shared" ref="BI47:BQ47" si="41">AH55</f>
        <v>20286</v>
      </c>
      <c r="BJ47" s="37">
        <f t="shared" si="41"/>
        <v>0.56664804469273744</v>
      </c>
      <c r="BK47" s="37">
        <f t="shared" si="41"/>
        <v>0.36409516943042541</v>
      </c>
      <c r="BL47" s="38">
        <f t="shared" si="41"/>
        <v>19199</v>
      </c>
      <c r="BM47" s="37">
        <f t="shared" si="41"/>
        <v>0.94641624765848364</v>
      </c>
      <c r="BN47" s="7">
        <f t="shared" si="41"/>
        <v>977.79704077481551</v>
      </c>
      <c r="BO47" s="38">
        <f t="shared" si="41"/>
        <v>17248</v>
      </c>
      <c r="BP47" s="37">
        <f t="shared" si="41"/>
        <v>0.89838012396478983</v>
      </c>
      <c r="BQ47" s="50">
        <f t="shared" si="41"/>
        <v>5371.388433363587</v>
      </c>
      <c r="BR47" s="91">
        <f>BO47/$C$10</f>
        <v>0.48178770949720673</v>
      </c>
      <c r="BS47" s="103">
        <f>INDEX(Daggett!$B$7:$M$21, MATCH(BF47,Daggett!$A$7:$A$21,0), MATCH(BD$48,Daggett!$B$6:$M$6,0))</f>
        <v>387.35714285714283</v>
      </c>
      <c r="BT47" s="4">
        <f t="shared" ref="BT47:BT55" si="42">IF(1-$H$7*(($H$5+273)^4-298^4)*(PI()*$C$19^2)*1000/(BO47*BS47*1000)&lt;0,#N/A,1-$H$7*(($H$5+273)^4-298^4)*(PI()*$C$19^2)*1000/(BO47*BS47*1000))</f>
        <v>0.8111124103007219</v>
      </c>
      <c r="BU47" s="91">
        <f>BT47*BR47</f>
        <v>0.39078399030354333</v>
      </c>
      <c r="BV47" s="104">
        <f>IF(1-$H$7*(($H$5+273)^4-298^4)/(BQ47*1000)&lt;0,#N/A,1-$H$7*(($H$5+273)^4-298^4)/(BQ47*1000))</f>
        <v>0.92683304293291535</v>
      </c>
      <c r="BW47" s="91">
        <f>BV47*BR47</f>
        <v>0.44653676884097554</v>
      </c>
    </row>
    <row r="48" spans="2:86">
      <c r="B48" s="2">
        <v>2</v>
      </c>
      <c r="D48" s="38">
        <v>9</v>
      </c>
      <c r="E48" s="86">
        <v>32891</v>
      </c>
      <c r="F48" s="37">
        <f t="shared" si="36"/>
        <v>0.91874301675977654</v>
      </c>
      <c r="G48" s="38">
        <v>25468</v>
      </c>
      <c r="H48" s="37">
        <f>G48/$C$10</f>
        <v>0.71139664804469271</v>
      </c>
      <c r="I48" s="37">
        <f>1-G48/(E48*$C$8)</f>
        <v>0.15835308456258024</v>
      </c>
      <c r="J48" s="38">
        <v>23821</v>
      </c>
      <c r="K48" s="37">
        <f>J48/G48</f>
        <v>0.93533061096277681</v>
      </c>
      <c r="L48" s="7">
        <f>J48/(PI()*$C$18^2)</f>
        <v>1213.1935678054524</v>
      </c>
      <c r="M48" s="41">
        <v>21632</v>
      </c>
      <c r="N48" s="37">
        <f>M48/J48</f>
        <v>0.90810629276688637</v>
      </c>
      <c r="O48" s="50">
        <f>M48/(PI()*$C$19^2)</f>
        <v>6736.6578496359643</v>
      </c>
      <c r="P48" s="91">
        <f>M48/$C$10</f>
        <v>0.60424581005586597</v>
      </c>
      <c r="Q48" s="7">
        <f>INDEX(Daggett!$B$7:$M$21, MATCH(D48,Daggett!$A$7:$A$21,0), MATCH(B$48,Daggett!$B$6:$M$6,0))</f>
        <v>545.35714285714289</v>
      </c>
      <c r="R48" s="4">
        <f t="shared" si="37"/>
        <v>0.8930265365379344</v>
      </c>
      <c r="S48" s="91">
        <f t="shared" ref="S48:S55" si="43">R48*P48</f>
        <v>0.53960754297174851</v>
      </c>
      <c r="T48" s="104">
        <f t="shared" ref="T48:T55" si="44">IF(1-$H$7*(($H$5+273)^4-298^4)/(O48*1000)&lt;0,#N/A,1-$H$7*(($H$5+273)^4-298^4)/(O48*1000))</f>
        <v>0.94166125760479491</v>
      </c>
      <c r="U48" s="91">
        <f t="shared" ref="U48:U55" si="45">T48*P48</f>
        <v>0.56899486939963473</v>
      </c>
      <c r="AC48" s="2">
        <v>2</v>
      </c>
      <c r="AE48" s="38">
        <v>9</v>
      </c>
      <c r="AF48" s="86">
        <v>25659</v>
      </c>
      <c r="AG48" s="37">
        <f t="shared" ref="AG48:AG55" si="46">AF48/$C$10</f>
        <v>0.71673184357541897</v>
      </c>
      <c r="AH48" s="38">
        <v>21551</v>
      </c>
      <c r="AI48" s="37">
        <f t="shared" ref="AI48:AI55" si="47">AH48/$C$10</f>
        <v>0.60198324022346372</v>
      </c>
      <c r="AJ48" s="37">
        <f t="shared" ref="AJ48:AJ54" si="48">1-AH48/(AF48*$C$8)</f>
        <v>8.7064967457812115E-2</v>
      </c>
      <c r="AK48" s="38">
        <v>17994</v>
      </c>
      <c r="AL48" s="37">
        <f t="shared" ref="AL48:AL55" si="49">AK48/AH48</f>
        <v>0.83494965430838475</v>
      </c>
      <c r="AM48" s="7">
        <f t="shared" si="38"/>
        <v>916.42689471858068</v>
      </c>
      <c r="AN48" s="41">
        <v>16379</v>
      </c>
      <c r="AO48" s="37">
        <f t="shared" ref="AO48:AO55" si="50">AN48/AK48</f>
        <v>0.91024786039791039</v>
      </c>
      <c r="AP48" s="50">
        <f t="shared" si="39"/>
        <v>5100.7636334683548</v>
      </c>
      <c r="AQ48" s="91">
        <f t="shared" ref="AQ48:AQ55" si="51">AN48/$C$10</f>
        <v>0.45751396648044695</v>
      </c>
      <c r="AR48" s="7">
        <f>INDEX(Daggett!$B$7:$M$21, MATCH(AE48,Daggett!$A$7:$A$21,0), MATCH(AC$48,Daggett!$B$6:$M$6,0))</f>
        <v>545.35714285714289</v>
      </c>
      <c r="AS48" s="4">
        <f t="shared" si="40"/>
        <v>0.85871848332551415</v>
      </c>
      <c r="AT48" s="91">
        <f t="shared" ref="AT48:AT55" si="52">AS48*AQ48</f>
        <v>0.39287569939632955</v>
      </c>
      <c r="AU48" s="104">
        <f t="shared" ref="AU48:AU55" si="53">IF(1-$H$7*(($H$5+273)^4-298^4)/(AP48*1000)&lt;0,#N/A,1-$H$7*(($H$5+273)^4-298^4)/(AP48*1000))</f>
        <v>0.92295111572787858</v>
      </c>
      <c r="AV48" s="91">
        <f t="shared" ref="AV48:AV55" si="54">AU48*AQ48</f>
        <v>0.42226302582421577</v>
      </c>
      <c r="BD48" s="2">
        <v>2</v>
      </c>
      <c r="BF48" s="38">
        <v>9</v>
      </c>
      <c r="BG48" s="86">
        <f>AF54</f>
        <v>35098</v>
      </c>
      <c r="BH48" s="37">
        <f t="shared" ref="BH48:BH55" si="55">BG48/$C$10</f>
        <v>0.98039106145251398</v>
      </c>
      <c r="BI48" s="38">
        <f t="shared" ref="BI48:BQ48" si="56">AH54</f>
        <v>25454</v>
      </c>
      <c r="BJ48" s="37">
        <f t="shared" si="56"/>
        <v>0.71100558659217872</v>
      </c>
      <c r="BK48" s="37">
        <f t="shared" si="56"/>
        <v>0.21171031670329288</v>
      </c>
      <c r="BL48" s="38">
        <f t="shared" si="56"/>
        <v>24068</v>
      </c>
      <c r="BM48" s="37">
        <f t="shared" si="56"/>
        <v>0.94554883318928262</v>
      </c>
      <c r="BN48" s="7">
        <f t="shared" si="56"/>
        <v>1225.7731745074359</v>
      </c>
      <c r="BO48" s="38">
        <f t="shared" si="56"/>
        <v>21729</v>
      </c>
      <c r="BP48" s="37">
        <f t="shared" si="56"/>
        <v>0.90281701844773143</v>
      </c>
      <c r="BQ48" s="50">
        <f t="shared" si="56"/>
        <v>6766.8656811547644</v>
      </c>
      <c r="BR48" s="91">
        <f t="shared" ref="BR48:BR55" si="57">BO48/$C$10</f>
        <v>0.60695530726256985</v>
      </c>
      <c r="BS48" s="103">
        <f>INDEX(Daggett!$B$7:$M$21, MATCH(BF48,Daggett!$A$7:$A$21,0), MATCH(BD$48,Daggett!$B$6:$M$6,0))</f>
        <v>545.35714285714289</v>
      </c>
      <c r="BT48" s="4">
        <f t="shared" si="42"/>
        <v>0.89350407466466919</v>
      </c>
      <c r="BU48" s="91">
        <f t="shared" ref="BU48:BU55" si="58">BT48*BR48</f>
        <v>0.54231704017845239</v>
      </c>
      <c r="BV48" s="104">
        <f t="shared" ref="BV48:BV54" si="59">IF(1-$H$7*(($H$5+273)^4-298^4)/(BQ48*1000)&lt;0,#N/A,1-$H$7*(($H$5+273)^4-298^4)/(BQ48*1000))</f>
        <v>0.9419216864331964</v>
      </c>
      <c r="BW48" s="91">
        <f t="shared" ref="BW48:BW55" si="60">BV48*BR48</f>
        <v>0.57170436660633872</v>
      </c>
    </row>
    <row r="49" spans="2:102" ht="17.45" customHeight="1">
      <c r="D49" s="38">
        <v>10</v>
      </c>
      <c r="E49" s="86">
        <v>34275</v>
      </c>
      <c r="F49" s="37">
        <f t="shared" si="36"/>
        <v>0.95740223463687146</v>
      </c>
      <c r="G49" s="38">
        <v>28305</v>
      </c>
      <c r="H49" s="37">
        <f>G49/$C$10</f>
        <v>0.79064245810055866</v>
      </c>
      <c r="I49" s="37">
        <f>1-G49/(E49*$C$8)</f>
        <v>0.10236894681761965</v>
      </c>
      <c r="J49" s="38">
        <v>26734</v>
      </c>
      <c r="K49" s="37">
        <f>J49/G49</f>
        <v>0.94449743861508573</v>
      </c>
      <c r="L49" s="7">
        <f>J49/(PI()*$C$18^2)</f>
        <v>1361.5514395579935</v>
      </c>
      <c r="M49" s="41">
        <v>24331</v>
      </c>
      <c r="N49" s="37">
        <f>M49/J49</f>
        <v>0.91011446098601034</v>
      </c>
      <c r="O49" s="50">
        <f>M49/(PI()*$C$19^2)</f>
        <v>7577.1829761229956</v>
      </c>
      <c r="P49" s="91">
        <f>M49/$C$10</f>
        <v>0.67963687150837993</v>
      </c>
      <c r="Q49" s="7">
        <f>INDEX(Daggett!$B$7:$M$21, MATCH(D49,Daggett!$A$7:$A$21,0), MATCH(B$48,Daggett!$B$6:$M$6,0))</f>
        <v>628.78571428571433</v>
      </c>
      <c r="R49" s="4">
        <f t="shared" si="37"/>
        <v>0.91751193573841261</v>
      </c>
      <c r="S49" s="91">
        <f t="shared" si="43"/>
        <v>0.62357494157685245</v>
      </c>
      <c r="T49" s="104">
        <f t="shared" si="44"/>
        <v>0.94813268359323188</v>
      </c>
      <c r="U49" s="91">
        <f t="shared" si="45"/>
        <v>0.64438593085214879</v>
      </c>
      <c r="AE49" s="38">
        <v>10</v>
      </c>
      <c r="AF49" s="86">
        <v>28540</v>
      </c>
      <c r="AG49" s="37">
        <f t="shared" si="46"/>
        <v>0.79720670391061454</v>
      </c>
      <c r="AH49" s="38">
        <v>24830</v>
      </c>
      <c r="AI49" s="37">
        <f t="shared" si="47"/>
        <v>0.69357541899441344</v>
      </c>
      <c r="AJ49" s="37">
        <f t="shared" si="48"/>
        <v>5.4340209012522567E-2</v>
      </c>
      <c r="AK49" s="38">
        <v>22057</v>
      </c>
      <c r="AL49" s="37">
        <f t="shared" si="49"/>
        <v>0.88832057994361657</v>
      </c>
      <c r="AM49" s="7">
        <f t="shared" si="38"/>
        <v>1123.3537855289394</v>
      </c>
      <c r="AN49" s="41">
        <v>20059</v>
      </c>
      <c r="AO49" s="37">
        <f t="shared" si="50"/>
        <v>0.90941651176497262</v>
      </c>
      <c r="AP49" s="50">
        <f t="shared" si="39"/>
        <v>6246.7927055218106</v>
      </c>
      <c r="AQ49" s="91">
        <f t="shared" si="51"/>
        <v>0.56030726256983243</v>
      </c>
      <c r="AR49" s="7">
        <f>INDEX(Daggett!$B$7:$M$21, MATCH(AE49,Daggett!$A$7:$A$21,0), MATCH(AC$48,Daggett!$B$6:$M$6,0))</f>
        <v>628.78571428571433</v>
      </c>
      <c r="AS49" s="4">
        <f t="shared" si="40"/>
        <v>0.89994430970892447</v>
      </c>
      <c r="AT49" s="91">
        <f t="shared" si="52"/>
        <v>0.50424533263830495</v>
      </c>
      <c r="AU49" s="104">
        <f t="shared" si="53"/>
        <v>0.9370864113119759</v>
      </c>
      <c r="AV49" s="91">
        <f t="shared" si="54"/>
        <v>0.5250563219136013</v>
      </c>
      <c r="BF49" s="38">
        <v>10</v>
      </c>
      <c r="BG49" s="86">
        <f>AF53</f>
        <v>34929</v>
      </c>
      <c r="BH49" s="37">
        <f t="shared" si="55"/>
        <v>0.97567039106145248</v>
      </c>
      <c r="BI49" s="38">
        <f t="shared" ref="BI49:BQ49" si="61">AH53</f>
        <v>27814</v>
      </c>
      <c r="BJ49" s="37">
        <f t="shared" si="61"/>
        <v>0.77692737430167602</v>
      </c>
      <c r="BK49" s="37">
        <f t="shared" si="61"/>
        <v>0.13445536099939381</v>
      </c>
      <c r="BL49" s="38">
        <f t="shared" si="61"/>
        <v>26350</v>
      </c>
      <c r="BM49" s="37">
        <f t="shared" si="61"/>
        <v>0.94736463651398573</v>
      </c>
      <c r="BN49" s="7">
        <f t="shared" si="61"/>
        <v>1341.9944801508614</v>
      </c>
      <c r="BO49" s="38">
        <f t="shared" si="61"/>
        <v>23876</v>
      </c>
      <c r="BP49" s="37">
        <f t="shared" si="61"/>
        <v>0.90611005692599622</v>
      </c>
      <c r="BQ49" s="50">
        <f t="shared" si="61"/>
        <v>7435.4864468337773</v>
      </c>
      <c r="BR49" s="91">
        <f t="shared" si="57"/>
        <v>0.66692737430167592</v>
      </c>
      <c r="BS49" s="103">
        <f>INDEX(Daggett!$B$7:$M$21, MATCH(BF49,Daggett!$A$7:$A$21,0), MATCH(BD$48,Daggett!$B$6:$M$6,0))</f>
        <v>628.78571428571433</v>
      </c>
      <c r="BT49" s="4">
        <f t="shared" si="42"/>
        <v>0.91593997773711322</v>
      </c>
      <c r="BU49" s="91">
        <f t="shared" si="58"/>
        <v>0.61086544437014845</v>
      </c>
      <c r="BV49" s="104">
        <f t="shared" si="59"/>
        <v>0.94714425885855769</v>
      </c>
      <c r="BW49" s="91">
        <f t="shared" si="60"/>
        <v>0.63167643364544468</v>
      </c>
      <c r="CG49" s="35"/>
    </row>
    <row r="50" spans="2:102">
      <c r="D50" s="38">
        <v>11</v>
      </c>
      <c r="E50" s="86">
        <v>35117</v>
      </c>
      <c r="F50" s="37">
        <f t="shared" si="36"/>
        <v>0.98092178770949723</v>
      </c>
      <c r="G50" s="38">
        <v>29383</v>
      </c>
      <c r="H50" s="37">
        <f>G50/$C$10</f>
        <v>0.82075418994413407</v>
      </c>
      <c r="I50" s="37">
        <f>1-G50/(E50*$C$8)</f>
        <v>9.0524717992400694E-2</v>
      </c>
      <c r="J50" s="38">
        <v>27845</v>
      </c>
      <c r="K50" s="37">
        <f>J50/G50</f>
        <v>0.94765680835857469</v>
      </c>
      <c r="L50" s="7">
        <f>J50/(PI()*$C$18^2)</f>
        <v>1418.1342049260243</v>
      </c>
      <c r="M50" s="41">
        <v>25289</v>
      </c>
      <c r="N50" s="37">
        <f>M50/J50</f>
        <v>0.908206141138445</v>
      </c>
      <c r="O50" s="50">
        <f>M50/(PI()*$C$19^2)</f>
        <v>7875.5242399890849</v>
      </c>
      <c r="P50" s="91">
        <f>M50/$C$10</f>
        <v>0.70639664804469271</v>
      </c>
      <c r="Q50" s="7">
        <f>INDEX(Daggett!$B$7:$M$21, MATCH(D50,Daggett!$A$7:$A$21,0), MATCH(B$48,Daggett!$B$6:$M$6,0))</f>
        <v>664.60714285714289</v>
      </c>
      <c r="R50" s="4">
        <f t="shared" si="37"/>
        <v>0.92491432728070055</v>
      </c>
      <c r="S50" s="91">
        <f t="shared" si="43"/>
        <v>0.65335638051959877</v>
      </c>
      <c r="T50" s="104">
        <f t="shared" si="44"/>
        <v>0.95009752558451988</v>
      </c>
      <c r="U50" s="91">
        <f t="shared" si="45"/>
        <v>0.67114570738846147</v>
      </c>
      <c r="AE50" s="38">
        <v>11</v>
      </c>
      <c r="AF50" s="86">
        <v>30946</v>
      </c>
      <c r="AG50" s="37">
        <f t="shared" si="46"/>
        <v>0.864413407821229</v>
      </c>
      <c r="AH50" s="38">
        <v>26874</v>
      </c>
      <c r="AI50" s="37">
        <f t="shared" si="47"/>
        <v>0.7506703910614525</v>
      </c>
      <c r="AJ50" s="37">
        <f t="shared" si="48"/>
        <v>5.6069619168312768E-2</v>
      </c>
      <c r="AK50" s="38">
        <v>24725</v>
      </c>
      <c r="AL50" s="37">
        <f t="shared" si="49"/>
        <v>0.92003423383195648</v>
      </c>
      <c r="AM50" s="7">
        <f t="shared" si="38"/>
        <v>1259.2339097430759</v>
      </c>
      <c r="AN50" s="41">
        <v>22480</v>
      </c>
      <c r="AO50" s="37">
        <f t="shared" si="50"/>
        <v>0.90920121334681492</v>
      </c>
      <c r="AP50" s="50">
        <f t="shared" si="39"/>
        <v>7000.7428097178472</v>
      </c>
      <c r="AQ50" s="91">
        <f t="shared" si="51"/>
        <v>0.62793296089385475</v>
      </c>
      <c r="AR50" s="7">
        <f>INDEX(Daggett!$B$7:$M$21, MATCH(AE50,Daggett!$A$7:$A$21,0), MATCH(AC$48,Daggett!$B$6:$M$6,0))</f>
        <v>664.60714285714289</v>
      </c>
      <c r="AS50" s="4">
        <f t="shared" si="40"/>
        <v>0.9155319583007846</v>
      </c>
      <c r="AT50" s="91">
        <f t="shared" si="52"/>
        <v>0.57489269336876081</v>
      </c>
      <c r="AU50" s="104">
        <f t="shared" si="53"/>
        <v>0.94386193614354641</v>
      </c>
      <c r="AV50" s="91">
        <f t="shared" si="54"/>
        <v>0.59268202023762351</v>
      </c>
      <c r="BF50" s="38">
        <v>11</v>
      </c>
      <c r="BG50" s="86">
        <f>AF52</f>
        <v>34169</v>
      </c>
      <c r="BH50" s="37">
        <f t="shared" si="55"/>
        <v>0.95444134078212295</v>
      </c>
      <c r="BI50" s="38">
        <f t="shared" ref="BI50:BQ50" si="62">AH52</f>
        <v>29241</v>
      </c>
      <c r="BJ50" s="37">
        <f t="shared" si="62"/>
        <v>0.81678770949720669</v>
      </c>
      <c r="BK50" s="37">
        <f t="shared" si="62"/>
        <v>6.9809018344876517E-2</v>
      </c>
      <c r="BL50" s="38">
        <f t="shared" si="62"/>
        <v>27666</v>
      </c>
      <c r="BM50" s="37">
        <f t="shared" si="62"/>
        <v>0.94613727300707906</v>
      </c>
      <c r="BN50" s="7">
        <f t="shared" si="62"/>
        <v>1409.0178097857204</v>
      </c>
      <c r="BO50" s="38">
        <f t="shared" si="62"/>
        <v>25159</v>
      </c>
      <c r="BP50" s="37">
        <f t="shared" si="62"/>
        <v>0.90938335863514785</v>
      </c>
      <c r="BQ50" s="50">
        <f t="shared" si="62"/>
        <v>7835.0395173350234</v>
      </c>
      <c r="BR50" s="91">
        <f t="shared" si="57"/>
        <v>0.70276536312849158</v>
      </c>
      <c r="BS50" s="103">
        <f>INDEX(Daggett!$B$7:$M$21, MATCH(BF50,Daggett!$A$7:$A$21,0), MATCH(BD$48,Daggett!$B$6:$M$6,0))</f>
        <v>664.60714285714289</v>
      </c>
      <c r="BT50" s="4">
        <f t="shared" si="42"/>
        <v>0.92452634932237521</v>
      </c>
      <c r="BU50" s="91">
        <f t="shared" si="58"/>
        <v>0.64972509560339764</v>
      </c>
      <c r="BV50" s="104">
        <f t="shared" si="59"/>
        <v>0.94983967266214575</v>
      </c>
      <c r="BW50" s="91">
        <f t="shared" si="60"/>
        <v>0.66751442247226045</v>
      </c>
    </row>
    <row r="51" spans="2:102">
      <c r="D51" s="38">
        <v>12</v>
      </c>
      <c r="E51" s="86">
        <v>35400</v>
      </c>
      <c r="F51" s="37">
        <f t="shared" si="36"/>
        <v>0.98882681564245811</v>
      </c>
      <c r="G51" s="38">
        <v>29225</v>
      </c>
      <c r="H51" s="37">
        <f>G51/$C$10</f>
        <v>0.81634078212290506</v>
      </c>
      <c r="I51" s="37">
        <f>1-G51/(E51*$C$8)</f>
        <v>0.10264676983542131</v>
      </c>
      <c r="J51" s="38">
        <v>27749</v>
      </c>
      <c r="K51" s="37">
        <f>J51/G51</f>
        <v>0.94949529512403763</v>
      </c>
      <c r="L51" s="7">
        <f>J51/(PI()*$C$18^2)</f>
        <v>1413.2449650742412</v>
      </c>
      <c r="M51" s="41">
        <v>25283</v>
      </c>
      <c r="N51" s="37">
        <f>M51/J51</f>
        <v>0.91113193268225878</v>
      </c>
      <c r="O51" s="50">
        <f>M51/(PI()*$C$19^2)</f>
        <v>7873.6557143281289</v>
      </c>
      <c r="P51" s="91">
        <f>M51/$C$10</f>
        <v>0.70622905027932958</v>
      </c>
      <c r="Q51" s="7">
        <f>INDEX(Daggett!$B$7:$M$21, MATCH(D51,Daggett!$A$7:$A$21,0), MATCH(B$48,Daggett!$B$6:$M$6,0))</f>
        <v>683.75</v>
      </c>
      <c r="R51" s="4">
        <f t="shared" si="37"/>
        <v>0.92699917081999517</v>
      </c>
      <c r="S51" s="91">
        <f t="shared" si="43"/>
        <v>0.65467374401793121</v>
      </c>
      <c r="T51" s="104">
        <f t="shared" si="44"/>
        <v>0.95008568304817165</v>
      </c>
      <c r="U51" s="91">
        <f t="shared" si="45"/>
        <v>0.67097810962309845</v>
      </c>
      <c r="AE51" s="38">
        <v>12</v>
      </c>
      <c r="AF51" s="86">
        <v>32834</v>
      </c>
      <c r="AG51" s="37">
        <f t="shared" si="46"/>
        <v>0.91715083798882679</v>
      </c>
      <c r="AH51" s="38">
        <v>28817</v>
      </c>
      <c r="AI51" s="37">
        <f t="shared" si="47"/>
        <v>0.8049441340782123</v>
      </c>
      <c r="AJ51" s="37">
        <f t="shared" si="48"/>
        <v>4.6024666901488764E-2</v>
      </c>
      <c r="AK51" s="38">
        <v>27012</v>
      </c>
      <c r="AL51" s="37">
        <f t="shared" si="49"/>
        <v>0.93736336190443137</v>
      </c>
      <c r="AM51" s="7">
        <f t="shared" si="38"/>
        <v>1375.7098632954485</v>
      </c>
      <c r="AN51" s="41">
        <v>24555</v>
      </c>
      <c r="AO51" s="37">
        <f t="shared" si="50"/>
        <v>0.90904042647712124</v>
      </c>
      <c r="AP51" s="50">
        <f t="shared" si="39"/>
        <v>7646.9412674653795</v>
      </c>
      <c r="AQ51" s="91">
        <f t="shared" si="51"/>
        <v>0.68589385474860332</v>
      </c>
      <c r="AR51" s="7">
        <f>INDEX(Daggett!$B$7:$M$21, MATCH(AE51,Daggett!$A$7:$A$21,0), MATCH(AC$48,Daggett!$B$6:$M$6,0))</f>
        <v>683.75</v>
      </c>
      <c r="AS51" s="4">
        <f t="shared" si="40"/>
        <v>0.9248348619768656</v>
      </c>
      <c r="AT51" s="91">
        <f t="shared" si="52"/>
        <v>0.63433854848720483</v>
      </c>
      <c r="AU51" s="104">
        <f t="shared" si="53"/>
        <v>0.94860583687668187</v>
      </c>
      <c r="AV51" s="91">
        <f t="shared" si="54"/>
        <v>0.65064291409237218</v>
      </c>
      <c r="BF51" s="38">
        <v>12</v>
      </c>
      <c r="BG51" s="86">
        <f>AF51</f>
        <v>32834</v>
      </c>
      <c r="BH51" s="37">
        <f t="shared" si="55"/>
        <v>0.91715083798882679</v>
      </c>
      <c r="BI51" s="38">
        <f t="shared" ref="BI51:BQ51" si="63">AH51</f>
        <v>28817</v>
      </c>
      <c r="BJ51" s="37">
        <f t="shared" si="63"/>
        <v>0.8049441340782123</v>
      </c>
      <c r="BK51" s="37">
        <f t="shared" si="63"/>
        <v>4.6024666901488764E-2</v>
      </c>
      <c r="BL51" s="38">
        <f t="shared" si="63"/>
        <v>27012</v>
      </c>
      <c r="BM51" s="37">
        <f t="shared" si="63"/>
        <v>0.93736336190443137</v>
      </c>
      <c r="BN51" s="7">
        <f t="shared" si="63"/>
        <v>1375.7098632954485</v>
      </c>
      <c r="BO51" s="38">
        <f t="shared" si="63"/>
        <v>24555</v>
      </c>
      <c r="BP51" s="37">
        <f t="shared" si="63"/>
        <v>0.90904042647712124</v>
      </c>
      <c r="BQ51" s="50">
        <f t="shared" si="63"/>
        <v>7646.9412674653795</v>
      </c>
      <c r="BR51" s="91">
        <f t="shared" si="57"/>
        <v>0.68589385474860332</v>
      </c>
      <c r="BS51" s="103">
        <f>INDEX(Daggett!$B$7:$M$21, MATCH(BF51,Daggett!$A$7:$A$21,0), MATCH(BD$48,Daggett!$B$6:$M$6,0))</f>
        <v>683.75</v>
      </c>
      <c r="BT51" s="4">
        <f t="shared" si="42"/>
        <v>0.9248348619768656</v>
      </c>
      <c r="BU51" s="91">
        <f t="shared" si="58"/>
        <v>0.63433854848720483</v>
      </c>
      <c r="BV51" s="104">
        <f t="shared" si="59"/>
        <v>0.94860583687668187</v>
      </c>
      <c r="BW51" s="91">
        <f t="shared" si="60"/>
        <v>0.65064291409237218</v>
      </c>
    </row>
    <row r="52" spans="2:102">
      <c r="D52" s="38">
        <v>13</v>
      </c>
      <c r="E52" s="86">
        <f>E50</f>
        <v>35117</v>
      </c>
      <c r="F52" s="37">
        <f t="shared" si="36"/>
        <v>0.98092178770949723</v>
      </c>
      <c r="G52" s="38">
        <f>G50</f>
        <v>29383</v>
      </c>
      <c r="H52" s="37">
        <f t="shared" ref="H52:P52" si="64">H50</f>
        <v>0.82075418994413407</v>
      </c>
      <c r="I52" s="37">
        <f t="shared" si="64"/>
        <v>9.0524717992400694E-2</v>
      </c>
      <c r="J52" s="38">
        <f t="shared" si="64"/>
        <v>27845</v>
      </c>
      <c r="K52" s="37">
        <f t="shared" si="64"/>
        <v>0.94765680835857469</v>
      </c>
      <c r="L52" s="7">
        <f t="shared" si="64"/>
        <v>1418.1342049260243</v>
      </c>
      <c r="M52" s="41">
        <f t="shared" si="64"/>
        <v>25289</v>
      </c>
      <c r="N52" s="37">
        <f t="shared" si="64"/>
        <v>0.908206141138445</v>
      </c>
      <c r="O52" s="50">
        <f t="shared" si="64"/>
        <v>7875.5242399890849</v>
      </c>
      <c r="P52" s="91">
        <f t="shared" si="64"/>
        <v>0.70639664804469271</v>
      </c>
      <c r="Q52" s="7">
        <f>INDEX(Daggett!$B$7:$M$21, MATCH(D52,Daggett!$A$7:$A$21,0), MATCH(B$48,Daggett!$B$6:$M$6,0))</f>
        <v>667.85714285714289</v>
      </c>
      <c r="R52" s="4">
        <f t="shared" si="37"/>
        <v>0.92527971745275706</v>
      </c>
      <c r="S52" s="91">
        <f t="shared" si="43"/>
        <v>0.6536144909123679</v>
      </c>
      <c r="T52" s="104">
        <f t="shared" si="44"/>
        <v>0.95009752558451988</v>
      </c>
      <c r="U52" s="91">
        <f t="shared" si="45"/>
        <v>0.67114570738846147</v>
      </c>
      <c r="AE52" s="38">
        <v>13</v>
      </c>
      <c r="AF52" s="86">
        <v>34169</v>
      </c>
      <c r="AG52" s="37">
        <f t="shared" si="46"/>
        <v>0.95444134078212295</v>
      </c>
      <c r="AH52" s="38">
        <v>29241</v>
      </c>
      <c r="AI52" s="37">
        <f t="shared" si="47"/>
        <v>0.81678770949720669</v>
      </c>
      <c r="AJ52" s="37">
        <f t="shared" si="48"/>
        <v>6.9809018344876517E-2</v>
      </c>
      <c r="AK52" s="38">
        <v>27666</v>
      </c>
      <c r="AL52" s="37">
        <f t="shared" si="49"/>
        <v>0.94613727300707906</v>
      </c>
      <c r="AM52" s="7">
        <f t="shared" si="38"/>
        <v>1409.0178097857204</v>
      </c>
      <c r="AN52" s="41">
        <v>25159</v>
      </c>
      <c r="AO52" s="37">
        <f t="shared" si="50"/>
        <v>0.90938335863514785</v>
      </c>
      <c r="AP52" s="50">
        <f t="shared" si="39"/>
        <v>7835.0395173350234</v>
      </c>
      <c r="AQ52" s="91">
        <f t="shared" si="51"/>
        <v>0.70276536312849158</v>
      </c>
      <c r="AR52" s="7">
        <f>INDEX(Daggett!$B$7:$M$21, MATCH(AE52,Daggett!$A$7:$A$21,0), MATCH(AC$48,Daggett!$B$6:$M$6,0))</f>
        <v>667.85714285714289</v>
      </c>
      <c r="AS52" s="4">
        <f t="shared" si="40"/>
        <v>0.9248936275155123</v>
      </c>
      <c r="AT52" s="91">
        <f t="shared" si="52"/>
        <v>0.64998320599616688</v>
      </c>
      <c r="AU52" s="104">
        <f t="shared" si="53"/>
        <v>0.94983967266214575</v>
      </c>
      <c r="AV52" s="91">
        <f t="shared" si="54"/>
        <v>0.66751442247226045</v>
      </c>
      <c r="BF52" s="38">
        <v>13</v>
      </c>
      <c r="BG52" s="86">
        <f>AF50</f>
        <v>30946</v>
      </c>
      <c r="BH52" s="37">
        <f t="shared" si="55"/>
        <v>0.864413407821229</v>
      </c>
      <c r="BI52" s="38">
        <f t="shared" ref="BI52:BQ52" si="65">AH50</f>
        <v>26874</v>
      </c>
      <c r="BJ52" s="37">
        <f t="shared" si="65"/>
        <v>0.7506703910614525</v>
      </c>
      <c r="BK52" s="37">
        <f t="shared" si="65"/>
        <v>5.6069619168312768E-2</v>
      </c>
      <c r="BL52" s="38">
        <f t="shared" si="65"/>
        <v>24725</v>
      </c>
      <c r="BM52" s="37">
        <f t="shared" si="65"/>
        <v>0.92003423383195648</v>
      </c>
      <c r="BN52" s="7">
        <f t="shared" si="65"/>
        <v>1259.2339097430759</v>
      </c>
      <c r="BO52" s="38">
        <f t="shared" si="65"/>
        <v>22480</v>
      </c>
      <c r="BP52" s="37">
        <f t="shared" si="65"/>
        <v>0.90920121334681492</v>
      </c>
      <c r="BQ52" s="50">
        <f t="shared" si="65"/>
        <v>7000.7428097178472</v>
      </c>
      <c r="BR52" s="91">
        <f t="shared" si="57"/>
        <v>0.62793296089385475</v>
      </c>
      <c r="BS52" s="103">
        <f>INDEX(Daggett!$B$7:$M$21, MATCH(BF52,Daggett!$A$7:$A$21,0), MATCH(BD$48,Daggett!$B$6:$M$6,0))</f>
        <v>667.85714285714289</v>
      </c>
      <c r="BT52" s="4">
        <f t="shared" si="42"/>
        <v>0.91594300599033696</v>
      </c>
      <c r="BU52" s="91">
        <f t="shared" si="58"/>
        <v>0.57515080376153005</v>
      </c>
      <c r="BV52" s="104">
        <f t="shared" si="59"/>
        <v>0.94386193614354641</v>
      </c>
      <c r="BW52" s="91">
        <f t="shared" si="60"/>
        <v>0.59268202023762351</v>
      </c>
    </row>
    <row r="53" spans="2:102">
      <c r="D53" s="38">
        <v>14</v>
      </c>
      <c r="E53" s="86">
        <f>E49</f>
        <v>34275</v>
      </c>
      <c r="F53" s="37">
        <f t="shared" si="36"/>
        <v>0.95740223463687146</v>
      </c>
      <c r="G53" s="38">
        <f>G49</f>
        <v>28305</v>
      </c>
      <c r="H53" s="37">
        <f t="shared" ref="H53:P53" si="66">H49</f>
        <v>0.79064245810055866</v>
      </c>
      <c r="I53" s="37">
        <f t="shared" si="66"/>
        <v>0.10236894681761965</v>
      </c>
      <c r="J53" s="38">
        <f t="shared" si="66"/>
        <v>26734</v>
      </c>
      <c r="K53" s="37">
        <f t="shared" si="66"/>
        <v>0.94449743861508573</v>
      </c>
      <c r="L53" s="7">
        <f t="shared" si="66"/>
        <v>1361.5514395579935</v>
      </c>
      <c r="M53" s="41">
        <f t="shared" si="66"/>
        <v>24331</v>
      </c>
      <c r="N53" s="37">
        <f t="shared" si="66"/>
        <v>0.91011446098601034</v>
      </c>
      <c r="O53" s="50">
        <f t="shared" si="66"/>
        <v>7577.1829761229956</v>
      </c>
      <c r="P53" s="91">
        <f t="shared" si="66"/>
        <v>0.67963687150837993</v>
      </c>
      <c r="Q53" s="7">
        <f>INDEX(Daggett!$B$7:$M$21, MATCH(D53,Daggett!$A$7:$A$21,0), MATCH(B$48,Daggett!$B$6:$M$6,0))</f>
        <v>677.10714285714289</v>
      </c>
      <c r="R53" s="4">
        <f t="shared" si="37"/>
        <v>0.92339865713436842</v>
      </c>
      <c r="S53" s="91">
        <f t="shared" si="43"/>
        <v>0.62757577448984136</v>
      </c>
      <c r="T53" s="104">
        <f t="shared" si="44"/>
        <v>0.94813268359323188</v>
      </c>
      <c r="U53" s="91">
        <f t="shared" si="45"/>
        <v>0.64438593085214879</v>
      </c>
      <c r="AE53" s="38">
        <v>14</v>
      </c>
      <c r="AF53" s="86">
        <v>34929</v>
      </c>
      <c r="AG53" s="37">
        <f t="shared" si="46"/>
        <v>0.97567039106145248</v>
      </c>
      <c r="AH53" s="38">
        <v>27814</v>
      </c>
      <c r="AI53" s="37">
        <f t="shared" si="47"/>
        <v>0.77692737430167602</v>
      </c>
      <c r="AJ53" s="37">
        <f t="shared" si="48"/>
        <v>0.13445536099939381</v>
      </c>
      <c r="AK53" s="38">
        <v>26350</v>
      </c>
      <c r="AL53" s="37">
        <f t="shared" si="49"/>
        <v>0.94736463651398573</v>
      </c>
      <c r="AM53" s="7">
        <f t="shared" si="38"/>
        <v>1341.9944801508614</v>
      </c>
      <c r="AN53" s="41">
        <v>23876</v>
      </c>
      <c r="AO53" s="37">
        <f t="shared" si="50"/>
        <v>0.90611005692599622</v>
      </c>
      <c r="AP53" s="50">
        <f t="shared" si="39"/>
        <v>7435.4864468337773</v>
      </c>
      <c r="AQ53" s="91">
        <f t="shared" si="51"/>
        <v>0.66692737430167592</v>
      </c>
      <c r="AR53" s="7">
        <f>INDEX(Daggett!$B$7:$M$21, MATCH(AE53,Daggett!$A$7:$A$21,0), MATCH(AC$48,Daggett!$B$6:$M$6,0))</f>
        <v>677.10714285714289</v>
      </c>
      <c r="AS53" s="4">
        <f t="shared" si="40"/>
        <v>0.92193888116670797</v>
      </c>
      <c r="AT53" s="91">
        <f t="shared" si="52"/>
        <v>0.61486627728313736</v>
      </c>
      <c r="AU53" s="104">
        <f t="shared" si="53"/>
        <v>0.94714425885855769</v>
      </c>
      <c r="AV53" s="91">
        <f t="shared" si="54"/>
        <v>0.63167643364544468</v>
      </c>
      <c r="BF53" s="38">
        <v>14</v>
      </c>
      <c r="BG53" s="86">
        <f>AF49</f>
        <v>28540</v>
      </c>
      <c r="BH53" s="37">
        <f t="shared" si="55"/>
        <v>0.79720670391061454</v>
      </c>
      <c r="BI53" s="38">
        <f t="shared" ref="BI53:BQ53" si="67">AH49</f>
        <v>24830</v>
      </c>
      <c r="BJ53" s="37">
        <f t="shared" si="67"/>
        <v>0.69357541899441344</v>
      </c>
      <c r="BK53" s="37">
        <f t="shared" si="67"/>
        <v>5.4340209012522567E-2</v>
      </c>
      <c r="BL53" s="38">
        <f t="shared" si="67"/>
        <v>22057</v>
      </c>
      <c r="BM53" s="37">
        <f t="shared" si="67"/>
        <v>0.88832057994361657</v>
      </c>
      <c r="BN53" s="7">
        <f t="shared" si="67"/>
        <v>1123.3537855289394</v>
      </c>
      <c r="BO53" s="38">
        <f t="shared" si="67"/>
        <v>20059</v>
      </c>
      <c r="BP53" s="37">
        <f t="shared" si="67"/>
        <v>0.90941651176497262</v>
      </c>
      <c r="BQ53" s="50">
        <f t="shared" si="67"/>
        <v>6246.7927055218106</v>
      </c>
      <c r="BR53" s="91">
        <f t="shared" si="57"/>
        <v>0.56030726256983243</v>
      </c>
      <c r="BS53" s="103">
        <f>INDEX(Daggett!$B$7:$M$21, MATCH(BF53,Daggett!$A$7:$A$21,0), MATCH(BD$48,Daggett!$B$6:$M$6,0))</f>
        <v>677.10714285714289</v>
      </c>
      <c r="BT53" s="4">
        <f t="shared" si="42"/>
        <v>0.90708473636454057</v>
      </c>
      <c r="BU53" s="91">
        <f t="shared" si="58"/>
        <v>0.50824616555129387</v>
      </c>
      <c r="BV53" s="104">
        <f t="shared" si="59"/>
        <v>0.9370864113119759</v>
      </c>
      <c r="BW53" s="91">
        <f t="shared" si="60"/>
        <v>0.5250563219136013</v>
      </c>
    </row>
    <row r="54" spans="2:102">
      <c r="C54" s="7" t="s">
        <v>162</v>
      </c>
      <c r="D54" s="38">
        <v>15</v>
      </c>
      <c r="E54" s="86">
        <f>E48</f>
        <v>32891</v>
      </c>
      <c r="F54" s="37">
        <f t="shared" si="36"/>
        <v>0.91874301675977654</v>
      </c>
      <c r="G54" s="38">
        <f>G48</f>
        <v>25468</v>
      </c>
      <c r="H54" s="37">
        <f t="shared" ref="H54:P54" si="68">H48</f>
        <v>0.71139664804469271</v>
      </c>
      <c r="I54" s="37">
        <f t="shared" si="68"/>
        <v>0.15835308456258024</v>
      </c>
      <c r="J54" s="38">
        <f t="shared" si="68"/>
        <v>23821</v>
      </c>
      <c r="K54" s="37">
        <f t="shared" si="68"/>
        <v>0.93533061096277681</v>
      </c>
      <c r="L54" s="7">
        <f t="shared" si="68"/>
        <v>1213.1935678054524</v>
      </c>
      <c r="M54" s="41">
        <f t="shared" si="68"/>
        <v>21632</v>
      </c>
      <c r="N54" s="37">
        <f t="shared" si="68"/>
        <v>0.90810629276688637</v>
      </c>
      <c r="O54" s="50">
        <f t="shared" si="68"/>
        <v>6736.6578496359643</v>
      </c>
      <c r="P54" s="91">
        <f t="shared" si="68"/>
        <v>0.60424581005586597</v>
      </c>
      <c r="Q54" s="7">
        <f>INDEX(Daggett!$B$7:$M$21, MATCH(D54,Daggett!$A$7:$A$21,0), MATCH(B$48,Daggett!$B$6:$M$6,0))</f>
        <v>645.64285714285711</v>
      </c>
      <c r="R54" s="4">
        <f t="shared" si="37"/>
        <v>0.90964239478561004</v>
      </c>
      <c r="S54" s="91">
        <f t="shared" si="43"/>
        <v>0.54964760569838877</v>
      </c>
      <c r="T54" s="104">
        <f t="shared" si="44"/>
        <v>0.94166125760479491</v>
      </c>
      <c r="U54" s="91">
        <f t="shared" si="45"/>
        <v>0.56899486939963473</v>
      </c>
      <c r="AD54" s="7" t="s">
        <v>162</v>
      </c>
      <c r="AE54" s="38">
        <v>15</v>
      </c>
      <c r="AF54" s="86">
        <v>35098</v>
      </c>
      <c r="AG54" s="37">
        <f t="shared" si="46"/>
        <v>0.98039106145251398</v>
      </c>
      <c r="AH54" s="38">
        <v>25454</v>
      </c>
      <c r="AI54" s="37">
        <f t="shared" si="47"/>
        <v>0.71100558659217872</v>
      </c>
      <c r="AJ54" s="37">
        <f t="shared" si="48"/>
        <v>0.21171031670329288</v>
      </c>
      <c r="AK54" s="38">
        <v>24068</v>
      </c>
      <c r="AL54" s="37">
        <f t="shared" si="49"/>
        <v>0.94554883318928262</v>
      </c>
      <c r="AM54" s="7">
        <f t="shared" si="38"/>
        <v>1225.7731745074359</v>
      </c>
      <c r="AN54" s="41">
        <v>21729</v>
      </c>
      <c r="AO54" s="37">
        <f t="shared" si="50"/>
        <v>0.90281701844773143</v>
      </c>
      <c r="AP54" s="50">
        <f t="shared" si="39"/>
        <v>6766.8656811547644</v>
      </c>
      <c r="AQ54" s="91">
        <f t="shared" si="51"/>
        <v>0.60695530726256985</v>
      </c>
      <c r="AR54" s="7">
        <f>INDEX(Daggett!$B$7:$M$21, MATCH(AE54,Daggett!$A$7:$A$21,0), MATCH(AC$48,Daggett!$B$6:$M$6,0))</f>
        <v>645.64285714285711</v>
      </c>
      <c r="AS54" s="4">
        <f t="shared" si="40"/>
        <v>0.91004575838751511</v>
      </c>
      <c r="AT54" s="91">
        <f t="shared" si="52"/>
        <v>0.55235710290509266</v>
      </c>
      <c r="AU54" s="104">
        <f t="shared" si="53"/>
        <v>0.9419216864331964</v>
      </c>
      <c r="AV54" s="91">
        <f t="shared" si="54"/>
        <v>0.57170436660633872</v>
      </c>
      <c r="BE54" s="7" t="s">
        <v>162</v>
      </c>
      <c r="BF54" s="38">
        <v>15</v>
      </c>
      <c r="BG54" s="86">
        <f>AF48</f>
        <v>25659</v>
      </c>
      <c r="BH54" s="37">
        <f t="shared" si="55"/>
        <v>0.71673184357541897</v>
      </c>
      <c r="BI54" s="38">
        <f t="shared" ref="BI54:BQ54" si="69">AH48</f>
        <v>21551</v>
      </c>
      <c r="BJ54" s="37">
        <f t="shared" si="69"/>
        <v>0.60198324022346372</v>
      </c>
      <c r="BK54" s="37">
        <f t="shared" si="69"/>
        <v>8.7064967457812115E-2</v>
      </c>
      <c r="BL54" s="38">
        <f t="shared" si="69"/>
        <v>17994</v>
      </c>
      <c r="BM54" s="37">
        <f t="shared" si="69"/>
        <v>0.83494965430838475</v>
      </c>
      <c r="BN54" s="7">
        <f t="shared" si="69"/>
        <v>916.42689471858068</v>
      </c>
      <c r="BO54" s="38">
        <f t="shared" si="69"/>
        <v>16379</v>
      </c>
      <c r="BP54" s="37">
        <f t="shared" si="69"/>
        <v>0.91024786039791039</v>
      </c>
      <c r="BQ54" s="50">
        <f t="shared" si="69"/>
        <v>5100.7636334683548</v>
      </c>
      <c r="BR54" s="91">
        <f t="shared" si="57"/>
        <v>0.45751396648044695</v>
      </c>
      <c r="BS54" s="103">
        <f>INDEX(Daggett!$B$7:$M$21, MATCH(BF54,Daggett!$A$7:$A$21,0), MATCH(BD$48,Daggett!$B$6:$M$6,0))</f>
        <v>645.64285714285711</v>
      </c>
      <c r="BT54" s="4">
        <f t="shared" si="42"/>
        <v>0.8806633056964599</v>
      </c>
      <c r="BU54" s="91">
        <f t="shared" si="58"/>
        <v>0.40291576212296976</v>
      </c>
      <c r="BV54" s="104">
        <f t="shared" si="59"/>
        <v>0.92295111572787858</v>
      </c>
      <c r="BW54" s="91">
        <f t="shared" si="60"/>
        <v>0.42226302582421577</v>
      </c>
    </row>
    <row r="55" spans="2:102">
      <c r="C55" s="7">
        <f>ROW(D55)-ROW(D47)+1</f>
        <v>9</v>
      </c>
      <c r="D55" s="38">
        <v>16</v>
      </c>
      <c r="E55" s="86">
        <f>E47</f>
        <v>30994</v>
      </c>
      <c r="F55" s="37">
        <f t="shared" si="36"/>
        <v>0.86575418994413411</v>
      </c>
      <c r="G55" s="38">
        <f>G47</f>
        <v>20191</v>
      </c>
      <c r="H55" s="37">
        <f t="shared" ref="H55:P55" si="70">H47</f>
        <v>0.56399441340782119</v>
      </c>
      <c r="I55" s="37">
        <f t="shared" si="70"/>
        <v>0.29190362229996825</v>
      </c>
      <c r="J55" s="38">
        <f t="shared" si="70"/>
        <v>18605</v>
      </c>
      <c r="K55" s="37">
        <f t="shared" si="70"/>
        <v>0.9214501510574018</v>
      </c>
      <c r="L55" s="7">
        <f t="shared" si="70"/>
        <v>947.54486919190811</v>
      </c>
      <c r="M55" s="41">
        <f t="shared" si="70"/>
        <v>16897</v>
      </c>
      <c r="N55" s="37">
        <f t="shared" si="70"/>
        <v>0.90819672131147544</v>
      </c>
      <c r="O55" s="50">
        <f t="shared" si="70"/>
        <v>5262.0796821976182</v>
      </c>
      <c r="P55" s="91">
        <f t="shared" si="70"/>
        <v>0.47198324022346366</v>
      </c>
      <c r="Q55" s="7">
        <f>INDEX(Daggett!$B$7:$M$21, MATCH(D55,Daggett!$A$7:$A$21,0), MATCH(B$48,Daggett!$B$6:$M$6,0))</f>
        <v>581.07142857142856</v>
      </c>
      <c r="R55" s="4">
        <f t="shared" si="37"/>
        <v>0.87146700971017133</v>
      </c>
      <c r="S55" s="91">
        <f t="shared" si="43"/>
        <v>0.41131782299085934</v>
      </c>
      <c r="T55" s="104">
        <f t="shared" si="44"/>
        <v>0.92531315171373163</v>
      </c>
      <c r="U55" s="91">
        <f t="shared" si="45"/>
        <v>0.43673229956723247</v>
      </c>
      <c r="AD55" s="7">
        <f>ROW(AE55)-ROW(AE47)+1</f>
        <v>9</v>
      </c>
      <c r="AE55" s="38">
        <v>16</v>
      </c>
      <c r="AF55" s="86">
        <v>34675</v>
      </c>
      <c r="AG55" s="37">
        <f t="shared" si="46"/>
        <v>0.96857541899441346</v>
      </c>
      <c r="AH55" s="38">
        <v>20286</v>
      </c>
      <c r="AI55" s="37">
        <f t="shared" si="47"/>
        <v>0.56664804469273744</v>
      </c>
      <c r="AJ55" s="37">
        <f>1-AH55/(AF55*$C$8)</f>
        <v>0.36409516943042541</v>
      </c>
      <c r="AK55" s="38">
        <v>19199</v>
      </c>
      <c r="AL55" s="37">
        <f t="shared" si="49"/>
        <v>0.94641624765848364</v>
      </c>
      <c r="AM55" s="7">
        <f t="shared" si="38"/>
        <v>977.79704077481551</v>
      </c>
      <c r="AN55" s="41">
        <v>17248</v>
      </c>
      <c r="AO55" s="37">
        <f t="shared" si="50"/>
        <v>0.89838012396478983</v>
      </c>
      <c r="AP55" s="50">
        <f t="shared" si="39"/>
        <v>5371.388433363587</v>
      </c>
      <c r="AQ55" s="91">
        <f t="shared" si="51"/>
        <v>0.48178770949720673</v>
      </c>
      <c r="AR55" s="7">
        <f>INDEX(Daggett!$B$7:$M$21, MATCH(AE55,Daggett!$A$7:$A$21,0), MATCH(AC$48,Daggett!$B$6:$M$6,0))</f>
        <v>581.07142857142856</v>
      </c>
      <c r="AS55" s="4">
        <f t="shared" si="40"/>
        <v>0.87408267990913524</v>
      </c>
      <c r="AT55" s="91">
        <f t="shared" si="52"/>
        <v>0.4211222922646024</v>
      </c>
      <c r="AU55" s="104">
        <f t="shared" si="53"/>
        <v>0.92683304293291535</v>
      </c>
      <c r="AV55" s="91">
        <f t="shared" si="54"/>
        <v>0.44653676884097554</v>
      </c>
      <c r="BE55" s="7">
        <f>ROW(BF55)-ROW(BF47)+1</f>
        <v>9</v>
      </c>
      <c r="BF55" s="38">
        <v>16</v>
      </c>
      <c r="BG55" s="86">
        <f>AF47</f>
        <v>22360</v>
      </c>
      <c r="BH55" s="37">
        <f t="shared" si="55"/>
        <v>0.62458100558659213</v>
      </c>
      <c r="BI55" s="38">
        <f t="shared" ref="BI55:BQ55" si="71">AH47</f>
        <v>17952</v>
      </c>
      <c r="BJ55" s="37">
        <f t="shared" si="71"/>
        <v>0.5014525139664805</v>
      </c>
      <c r="BK55" s="37">
        <f t="shared" si="71"/>
        <v>0.12732363692929927</v>
      </c>
      <c r="BL55" s="38">
        <f t="shared" si="71"/>
        <v>13514</v>
      </c>
      <c r="BM55" s="37">
        <f t="shared" si="71"/>
        <v>0.75278520499108736</v>
      </c>
      <c r="BN55" s="7">
        <f t="shared" si="71"/>
        <v>688.26236830203959</v>
      </c>
      <c r="BO55" s="38">
        <f t="shared" si="71"/>
        <v>12306</v>
      </c>
      <c r="BP55" s="37">
        <f t="shared" si="71"/>
        <v>0.91061121799615219</v>
      </c>
      <c r="BQ55" s="50">
        <f t="shared" si="71"/>
        <v>3832.3461306222343</v>
      </c>
      <c r="BR55" s="91">
        <f t="shared" si="57"/>
        <v>0.34374301675977653</v>
      </c>
      <c r="BS55" s="103">
        <f>INDEX(Daggett!$B$7:$M$21, MATCH(BF55,Daggett!$A$7:$A$21,0), MATCH(BD$48,Daggett!$B$6:$M$6,0))</f>
        <v>581.07142857142856</v>
      </c>
      <c r="BT55" s="4">
        <f t="shared" si="42"/>
        <v>0.82351520096479469</v>
      </c>
      <c r="BU55" s="91">
        <f t="shared" si="58"/>
        <v>0.28307759952717215</v>
      </c>
      <c r="BV55" s="104">
        <f>IF(1-$H$7*(($H$5+273)^4-298^4)/(BQ55*1000)&lt;0,#N/A,1-$H$7*(($H$5+273)^4-298^4)/(BQ55*1000))</f>
        <v>0.89744972570347181</v>
      </c>
      <c r="BW55" s="91">
        <f t="shared" si="60"/>
        <v>0.30849207610354534</v>
      </c>
    </row>
    <row r="56" spans="2:102">
      <c r="E56" s="87"/>
      <c r="P56" s="88"/>
      <c r="S56" s="88"/>
      <c r="T56" s="87"/>
      <c r="U56" s="88"/>
      <c r="AF56" s="87"/>
      <c r="AQ56" s="88"/>
      <c r="AT56" s="88"/>
      <c r="AU56" s="87"/>
      <c r="AV56" s="88"/>
      <c r="BG56" s="87"/>
      <c r="BR56" s="88"/>
      <c r="BS56" s="87"/>
      <c r="BU56" s="88"/>
      <c r="BV56" s="87"/>
      <c r="BW56" s="88"/>
      <c r="CQ56" s="2" t="s">
        <v>163</v>
      </c>
      <c r="CR56" s="2" t="s">
        <v>164</v>
      </c>
      <c r="CS56" s="2" t="s">
        <v>165</v>
      </c>
      <c r="CT56" s="2"/>
      <c r="CU56" s="2"/>
      <c r="CV56" s="4"/>
    </row>
    <row r="57" spans="2:102">
      <c r="E57" s="87"/>
      <c r="P57" s="88"/>
      <c r="S57" s="88"/>
      <c r="T57" s="87"/>
      <c r="U57" s="88"/>
      <c r="AF57" s="87"/>
      <c r="AQ57" s="88"/>
      <c r="AT57" s="88"/>
      <c r="AU57" s="87"/>
      <c r="AV57" s="88"/>
      <c r="BG57" s="87"/>
      <c r="BR57" s="88"/>
      <c r="BS57" s="87"/>
      <c r="BU57" s="88"/>
      <c r="BV57" s="87"/>
      <c r="BW57" s="88"/>
      <c r="CQ57" s="2">
        <v>1300</v>
      </c>
      <c r="CR57" s="7">
        <v>1413.0357403609901</v>
      </c>
      <c r="CS57" s="4">
        <v>0.50698427978989635</v>
      </c>
      <c r="CT57" s="4"/>
      <c r="CU57" s="4"/>
      <c r="CV57" s="4"/>
    </row>
    <row r="58" spans="2:102">
      <c r="E58" s="87"/>
      <c r="P58" s="88"/>
      <c r="S58" s="88"/>
      <c r="T58" s="87"/>
      <c r="U58" s="88"/>
      <c r="AF58" s="87"/>
      <c r="AQ58" s="88"/>
      <c r="AT58" s="88"/>
      <c r="AU58" s="87"/>
      <c r="AV58" s="88"/>
      <c r="BG58" s="87"/>
      <c r="BR58" s="88"/>
      <c r="BS58" s="87"/>
      <c r="BU58" s="88"/>
      <c r="BV58" s="87"/>
      <c r="BW58" s="88"/>
      <c r="CQ58" s="2">
        <v>1400</v>
      </c>
      <c r="CR58" s="7">
        <v>1390.6556530000084</v>
      </c>
      <c r="CS58" s="4">
        <v>0.49895450945341252</v>
      </c>
      <c r="CT58" s="4"/>
      <c r="CU58" s="4"/>
      <c r="CV58" s="4"/>
    </row>
    <row r="59" spans="2:102" ht="19.899999999999999" customHeight="1">
      <c r="E59" s="87"/>
      <c r="P59" s="88"/>
      <c r="S59" s="88"/>
      <c r="T59" s="87"/>
      <c r="U59" s="88"/>
      <c r="AF59" s="87"/>
      <c r="AQ59" s="88"/>
      <c r="AT59" s="88"/>
      <c r="AU59" s="87"/>
      <c r="AV59" s="88"/>
      <c r="BG59" s="87"/>
      <c r="BR59" s="88"/>
      <c r="BS59" s="87"/>
      <c r="BU59" s="88"/>
      <c r="BV59" s="87"/>
      <c r="BW59" s="88"/>
      <c r="CQ59" s="2">
        <v>1500</v>
      </c>
      <c r="CR59" s="7">
        <v>1363.8815064736812</v>
      </c>
      <c r="CS59" s="4">
        <v>0.48934819093936599</v>
      </c>
      <c r="CT59" s="4"/>
      <c r="CU59" t="s">
        <v>166</v>
      </c>
    </row>
    <row r="60" spans="2:102" ht="49.5">
      <c r="B60" s="34"/>
      <c r="C60" s="63" t="s">
        <v>151</v>
      </c>
      <c r="D60" s="63" t="s">
        <v>89</v>
      </c>
      <c r="E60" s="89" t="s">
        <v>152</v>
      </c>
      <c r="F60" s="34" t="s">
        <v>125</v>
      </c>
      <c r="G60" s="63" t="s">
        <v>153</v>
      </c>
      <c r="H60" s="33" t="s">
        <v>154</v>
      </c>
      <c r="I60" s="34" t="s">
        <v>155</v>
      </c>
      <c r="J60" s="85" t="s">
        <v>156</v>
      </c>
      <c r="K60" s="35" t="s">
        <v>157</v>
      </c>
      <c r="L60" s="35" t="s">
        <v>158</v>
      </c>
      <c r="M60" s="85" t="s">
        <v>159</v>
      </c>
      <c r="N60" s="35" t="s">
        <v>72</v>
      </c>
      <c r="O60" s="35" t="s">
        <v>160</v>
      </c>
      <c r="P60" s="100" t="s">
        <v>129</v>
      </c>
      <c r="Q60" s="138" t="s">
        <v>161</v>
      </c>
      <c r="R60" s="67" t="s">
        <v>130</v>
      </c>
      <c r="S60" s="100" t="s">
        <v>131</v>
      </c>
      <c r="T60" s="107" t="s">
        <v>130</v>
      </c>
      <c r="U60" s="100" t="s">
        <v>131</v>
      </c>
      <c r="AC60" s="34"/>
      <c r="AD60" s="63" t="s">
        <v>151</v>
      </c>
      <c r="AE60" s="63" t="s">
        <v>89</v>
      </c>
      <c r="AF60" s="89" t="s">
        <v>152</v>
      </c>
      <c r="AG60" s="34" t="s">
        <v>125</v>
      </c>
      <c r="AH60" s="63" t="s">
        <v>153</v>
      </c>
      <c r="AI60" s="33" t="s">
        <v>154</v>
      </c>
      <c r="AJ60" s="34" t="s">
        <v>155</v>
      </c>
      <c r="AK60" s="85" t="s">
        <v>156</v>
      </c>
      <c r="AL60" s="35" t="s">
        <v>157</v>
      </c>
      <c r="AM60" s="35" t="s">
        <v>158</v>
      </c>
      <c r="AN60" s="85" t="s">
        <v>159</v>
      </c>
      <c r="AO60" s="35" t="s">
        <v>72</v>
      </c>
      <c r="AP60" s="35" t="s">
        <v>160</v>
      </c>
      <c r="AQ60" s="100" t="s">
        <v>129</v>
      </c>
      <c r="AR60" s="138" t="s">
        <v>161</v>
      </c>
      <c r="AS60" s="67" t="s">
        <v>130</v>
      </c>
      <c r="AT60" s="100" t="s">
        <v>131</v>
      </c>
      <c r="AU60" s="107" t="s">
        <v>130</v>
      </c>
      <c r="AV60" s="100" t="s">
        <v>131</v>
      </c>
      <c r="BD60" s="34"/>
      <c r="BE60" s="63" t="s">
        <v>151</v>
      </c>
      <c r="BF60" s="63" t="s">
        <v>89</v>
      </c>
      <c r="BG60" s="89" t="s">
        <v>152</v>
      </c>
      <c r="BH60" s="34" t="s">
        <v>125</v>
      </c>
      <c r="BI60" s="63" t="s">
        <v>153</v>
      </c>
      <c r="BJ60" s="33" t="s">
        <v>154</v>
      </c>
      <c r="BK60" s="34" t="s">
        <v>155</v>
      </c>
      <c r="BL60" s="85" t="s">
        <v>156</v>
      </c>
      <c r="BM60" s="35" t="s">
        <v>157</v>
      </c>
      <c r="BN60" s="35" t="s">
        <v>158</v>
      </c>
      <c r="BO60" s="85" t="s">
        <v>159</v>
      </c>
      <c r="BP60" s="35" t="s">
        <v>72</v>
      </c>
      <c r="BQ60" s="35" t="s">
        <v>160</v>
      </c>
      <c r="BR60" s="100" t="s">
        <v>129</v>
      </c>
      <c r="BS60" s="144" t="s">
        <v>161</v>
      </c>
      <c r="BT60" s="67" t="s">
        <v>130</v>
      </c>
      <c r="BU60" s="100" t="s">
        <v>131</v>
      </c>
      <c r="BV60" s="107" t="s">
        <v>130</v>
      </c>
      <c r="BW60" s="100" t="s">
        <v>131</v>
      </c>
      <c r="CQ60" s="2">
        <v>1600</v>
      </c>
      <c r="CR60" s="7">
        <v>1332.1726326640073</v>
      </c>
      <c r="CS60" s="4">
        <v>0.4779713374797081</v>
      </c>
      <c r="CT60" s="4"/>
      <c r="CU60" s="41"/>
    </row>
    <row r="61" spans="2:102" ht="19.149999999999999" customHeight="1">
      <c r="B61" s="2" t="s">
        <v>88</v>
      </c>
      <c r="C61" s="7">
        <v>82</v>
      </c>
      <c r="D61" s="38">
        <v>7</v>
      </c>
      <c r="E61" s="86">
        <v>28077</v>
      </c>
      <c r="F61" s="37">
        <f>E61/$C$10</f>
        <v>0.78427374301675978</v>
      </c>
      <c r="G61" s="38">
        <v>14217</v>
      </c>
      <c r="H61" s="37">
        <f t="shared" ref="H61:H66" si="72">G61/$C$10</f>
        <v>0.39712290502793296</v>
      </c>
      <c r="I61" s="37">
        <f t="shared" ref="I61:I66" si="73">1-G61/(E61*$C$8)</f>
        <v>0.44961139475139023</v>
      </c>
      <c r="J61" s="38">
        <v>12199</v>
      </c>
      <c r="K61" s="37">
        <f t="shared" ref="K61:K66" si="74">J61/G61</f>
        <v>0.85805725539846667</v>
      </c>
      <c r="L61" s="7">
        <f>J61/(PI()*$C$18^2)</f>
        <v>621.28996824897001</v>
      </c>
      <c r="M61" s="41">
        <v>10924</v>
      </c>
      <c r="N61" s="37">
        <f t="shared" ref="N61:N66" si="75">M61/J61</f>
        <v>0.89548323633084681</v>
      </c>
      <c r="O61" s="50">
        <f>M61/(PI()*$C$19^2)</f>
        <v>3401.9623867152031</v>
      </c>
      <c r="P61" s="91">
        <f t="shared" ref="P61:P66" si="76">M61/$C$10</f>
        <v>0.30513966480446925</v>
      </c>
      <c r="Q61" s="7">
        <f>INDEX(Daggett!$B$7:$M$21, MATCH(D61,Daggett!$A$7:$A$21,0), MATCH(B$62,Daggett!$B$6:$M$6,0))</f>
        <v>272.51612903225805</v>
      </c>
      <c r="R61" s="4">
        <f>IF(1-$H$7*(($H$5+273)^4-298^4)*(PI()*$C$19^2)*1000/(M61*Q61*1000)&lt;0,#N/A,1-$H$7*(($H$5+273)^4-298^4)*(PI()*$C$19^2)*1000/(M61*Q61*1000))</f>
        <v>0.57608397494468755</v>
      </c>
      <c r="S61" s="91">
        <f>R61*P61</f>
        <v>0.17578607101384822</v>
      </c>
      <c r="T61" s="104">
        <f>IF(1-$H$7*(($H$5+273)^4-298^4)/(O61*1000)&lt;0,#N/A,1-$H$7*(($H$5+273)^4-298^4)/(O61*1000))</f>
        <v>0.88447604581718453</v>
      </c>
      <c r="U61" s="91">
        <f>T61*P61</f>
        <v>0.26988872414823806</v>
      </c>
      <c r="AC61" s="2" t="s">
        <v>88</v>
      </c>
      <c r="AD61" s="7">
        <v>82</v>
      </c>
      <c r="AE61" s="38">
        <v>7</v>
      </c>
      <c r="AF61" s="86">
        <v>18847</v>
      </c>
      <c r="AG61" s="37">
        <f>AF61/$C$10</f>
        <v>0.52645251396648041</v>
      </c>
      <c r="AH61" s="38">
        <v>12548</v>
      </c>
      <c r="AI61" s="37">
        <f t="shared" ref="AI61:AI70" si="77">AH61/$C$10</f>
        <v>0.35050279329608941</v>
      </c>
      <c r="AJ61" s="37">
        <f>1-AH61/(AF61*$C$8)</f>
        <v>0.27632352975101571</v>
      </c>
      <c r="AK61" s="38">
        <v>8203</v>
      </c>
      <c r="AL61" s="37">
        <f>AK61/AH61</f>
        <v>0.65372967803634041</v>
      </c>
      <c r="AM61" s="7">
        <f t="shared" ref="AM61:AM71" si="78">AK61/(PI()*$C$18^2)</f>
        <v>417.77535941850158</v>
      </c>
      <c r="AN61" s="41">
        <v>7384</v>
      </c>
      <c r="AO61" s="37">
        <f>AN61/AK61</f>
        <v>0.90015847860538822</v>
      </c>
      <c r="AP61" s="50">
        <f t="shared" ref="AP61:AP71" si="79">AN61/(PI()*$C$19^2)</f>
        <v>2299.5322467507376</v>
      </c>
      <c r="AQ61" s="91">
        <f>AN61/$C$10</f>
        <v>0.20625698324022346</v>
      </c>
      <c r="AR61" s="7">
        <f>INDEX(Daggett!$B$7:$M$21, MATCH(AE61,Daggett!$A$7:$A$21,0), MATCH(AC$62,Daggett!$B$6:$M$6,0))</f>
        <v>272.51612903225805</v>
      </c>
      <c r="AS61" s="4">
        <f t="shared" ref="AS61:AS71" si="80">IF(1-$H$7*(($H$5+273)^4-298^4)*(PI()*$C$19^2)*1000/(AN61*AR61*1000)&lt;0,#N/A,1-$H$7*(($H$5+273)^4-298^4)*(PI()*$C$19^2)*1000/(AN61*AR61*1000))</f>
        <v>0.37285229446042345</v>
      </c>
      <c r="AT61" s="91">
        <f>AS61*AQ61</f>
        <v>7.6903389449602427E-2</v>
      </c>
      <c r="AU61" s="104">
        <f>IF(1-$H$7*(($H$5+273)^4-298^4)/(AP61*1000)&lt;0,#N/A,1-$H$7*(($H$5+273)^4-298^4)/(AP61*1000))</f>
        <v>0.8290921349548922</v>
      </c>
      <c r="AV61" s="91">
        <f>AU61*AQ61</f>
        <v>0.1710060425839923</v>
      </c>
      <c r="BD61" s="2" t="s">
        <v>88</v>
      </c>
      <c r="BE61" s="7">
        <v>82</v>
      </c>
      <c r="BF61" s="38">
        <v>7</v>
      </c>
      <c r="BG61" s="86">
        <f>AF71</f>
        <v>33954</v>
      </c>
      <c r="BH61" s="37">
        <f>BG61/$C$10</f>
        <v>0.94843575418994408</v>
      </c>
      <c r="BI61" s="38">
        <f t="shared" ref="BI61:BP61" si="81">AH71</f>
        <v>14954</v>
      </c>
      <c r="BJ61" s="37">
        <f t="shared" si="81"/>
        <v>0.41770949720670392</v>
      </c>
      <c r="BK61" s="37">
        <f t="shared" si="81"/>
        <v>0.52128327071664726</v>
      </c>
      <c r="BL61" s="38">
        <f t="shared" si="81"/>
        <v>13475</v>
      </c>
      <c r="BM61" s="37">
        <f t="shared" si="81"/>
        <v>0.90109669653604385</v>
      </c>
      <c r="BN61" s="7">
        <f t="shared" si="81"/>
        <v>686.27611461225263</v>
      </c>
      <c r="BO61" s="38">
        <f t="shared" si="81"/>
        <v>11894</v>
      </c>
      <c r="BP61" s="37">
        <f t="shared" si="81"/>
        <v>0.88267161410018558</v>
      </c>
      <c r="BQ61" s="50">
        <f>AP71</f>
        <v>3704.0407019032064</v>
      </c>
      <c r="BR61" s="91">
        <f>BO61/$C$10</f>
        <v>0.33223463687150839</v>
      </c>
      <c r="BS61" s="103">
        <f>INDEX(Daggett!$B$7:$M$21, MATCH(BF61,Daggett!$A$7:$A$21,0), MATCH(BD$62,Daggett!$B$6:$M$6,0))</f>
        <v>272.51612903225805</v>
      </c>
      <c r="BT61" s="4">
        <f t="shared" ref="BT61:BT71" si="82">IF(1-$H$7*(($H$5+273)^4-298^4)*(PI()*$C$19^2)*1000/(BO61*BS61*1000)&lt;0,#N/A,1-$H$7*(($H$5+273)^4-298^4)*(PI()*$C$19^2)*1000/(BO61*BS61*1000))</f>
        <v>0.61065590569158967</v>
      </c>
      <c r="BU61" s="91">
        <f>BT61*BR61</f>
        <v>0.20288104308088736</v>
      </c>
      <c r="BV61" s="104">
        <f>IF(1-$H$7*(($H$5+273)^4-298^4)/(BQ61*1000)&lt;0,#N/A,1-$H$7*(($H$5+273)^4-298^4)/(BQ61*1000))</f>
        <v>0.89389745455750158</v>
      </c>
      <c r="BW61" s="91">
        <f>BV61*BR61</f>
        <v>0.2969836962152772</v>
      </c>
      <c r="CQ61" s="2">
        <v>1700</v>
      </c>
      <c r="CR61" s="7">
        <v>1294.9569839916981</v>
      </c>
      <c r="CS61" s="4">
        <v>0.46461870364312563</v>
      </c>
      <c r="CT61" s="4"/>
      <c r="CU61" s="2" t="s">
        <v>167</v>
      </c>
      <c r="CV61" s="35" t="s">
        <v>168</v>
      </c>
      <c r="CW61" s="67" t="s">
        <v>130</v>
      </c>
      <c r="CX61" s="67" t="s">
        <v>131</v>
      </c>
    </row>
    <row r="62" spans="2:102">
      <c r="B62" s="2">
        <v>3</v>
      </c>
      <c r="C62" s="7"/>
      <c r="D62" s="38">
        <v>8</v>
      </c>
      <c r="E62" s="86">
        <v>30529</v>
      </c>
      <c r="F62" s="37">
        <f t="shared" ref="F62:F71" si="83">E62/$C$10</f>
        <v>0.8527653631284916</v>
      </c>
      <c r="G62" s="38">
        <v>22633</v>
      </c>
      <c r="H62" s="37">
        <f t="shared" si="72"/>
        <v>0.63220670391061451</v>
      </c>
      <c r="I62" s="37">
        <f t="shared" si="73"/>
        <v>0.19417318102388748</v>
      </c>
      <c r="J62" s="38">
        <v>20702</v>
      </c>
      <c r="K62" s="37">
        <f t="shared" si="74"/>
        <v>0.91468210135642647</v>
      </c>
      <c r="L62" s="7">
        <f t="shared" ref="L62:L71" si="84">J62/(PI()*$C$18^2)</f>
        <v>1054.3442022042934</v>
      </c>
      <c r="M62" s="41">
        <v>18784</v>
      </c>
      <c r="N62" s="37">
        <f t="shared" si="75"/>
        <v>0.90735194667181918</v>
      </c>
      <c r="O62" s="50">
        <f t="shared" ref="O62:O71" si="85">M62/(PI()*$C$19^2)</f>
        <v>5849.7310025685074</v>
      </c>
      <c r="P62" s="91">
        <f t="shared" si="76"/>
        <v>0.52469273743016764</v>
      </c>
      <c r="Q62" s="7">
        <f>INDEX(Daggett!$B$7:$M$21, MATCH(D62,Daggett!$A$7:$A$21,0), MATCH(B$62,Daggett!$B$6:$M$6,0))</f>
        <v>557.16129032258061</v>
      </c>
      <c r="R62" s="4">
        <f>IF(1-$H$7*(($H$5+273)^4-298^4)*(PI()*$C$19^2)*1000/(M62*Q62*1000)&lt;0,#N/A,1-$H$7*(($H$5+273)^4-298^4)*(PI()*$C$19^2)*1000/(M62*Q62*1000))</f>
        <v>0.87941737830211975</v>
      </c>
      <c r="S62" s="91">
        <f t="shared" ref="S62:S71" si="86">R62*P62</f>
        <v>0.46142391156500051</v>
      </c>
      <c r="T62" s="104">
        <f>IF(1-$H$7*(($H$5+273)^4-298^4)/(O62*1000)&lt;0,#N/A,1-$H$7*(($H$5+273)^4-298^4)/(O62*1000))</f>
        <v>0.93281603090432941</v>
      </c>
      <c r="U62" s="91">
        <f t="shared" ref="U62:U71" si="87">T62*P62</f>
        <v>0.48944179677393646</v>
      </c>
      <c r="AC62" s="2">
        <v>3</v>
      </c>
      <c r="AD62" s="7"/>
      <c r="AE62" s="38">
        <v>8</v>
      </c>
      <c r="AF62" s="86">
        <v>22537</v>
      </c>
      <c r="AG62" s="37">
        <f t="shared" ref="AG62:AG71" si="88">AF62/$C$10</f>
        <v>0.6295251396648045</v>
      </c>
      <c r="AH62" s="38">
        <v>19691</v>
      </c>
      <c r="AI62" s="37">
        <f t="shared" si="77"/>
        <v>0.55002793296089381</v>
      </c>
      <c r="AJ62" s="37">
        <f t="shared" ref="AJ62:AJ70" si="89">1-AH62/(AF62*$C$8)</f>
        <v>5.0305680899622063E-2</v>
      </c>
      <c r="AK62" s="38">
        <v>14851</v>
      </c>
      <c r="AL62" s="37">
        <f t="shared" ref="AL62:AL70" si="90">AK62/AH62</f>
        <v>0.75420242750495148</v>
      </c>
      <c r="AM62" s="7">
        <f t="shared" si="78"/>
        <v>756.355219154476</v>
      </c>
      <c r="AN62" s="41">
        <v>13506</v>
      </c>
      <c r="AO62" s="37">
        <f t="shared" ref="AO62:AO71" si="91">AN62/AK62</f>
        <v>0.90943370816780011</v>
      </c>
      <c r="AP62" s="50">
        <f t="shared" si="79"/>
        <v>4206.0512628135784</v>
      </c>
      <c r="AQ62" s="91">
        <f t="shared" ref="AQ62:AQ71" si="92">AN62/$C$10</f>
        <v>0.37726256983240225</v>
      </c>
      <c r="AR62" s="7">
        <f>INDEX(Daggett!$B$7:$M$21, MATCH(AE62,Daggett!$A$7:$A$21,0), MATCH(AC$62,Daggett!$B$6:$M$6,0))</f>
        <v>557.16129032258061</v>
      </c>
      <c r="AS62" s="4">
        <f t="shared" si="80"/>
        <v>0.83229498252828504</v>
      </c>
      <c r="AT62" s="91">
        <f t="shared" ref="AT62:AT71" si="93">AS62*AQ62</f>
        <v>0.31399374396723517</v>
      </c>
      <c r="AU62" s="104">
        <f t="shared" ref="AU62:AU70" si="94">IF(1-$H$7*(($H$5+273)^4-298^4)/(AP62*1000)&lt;0,#N/A,1-$H$7*(($H$5+273)^4-298^4)/(AP62*1000))</f>
        <v>0.90656125607188831</v>
      </c>
      <c r="AV62" s="91">
        <f t="shared" ref="AV62:AV71" si="95">AU62*AQ62</f>
        <v>0.34201162917617106</v>
      </c>
      <c r="BD62" s="2">
        <v>3</v>
      </c>
      <c r="BE62" s="7"/>
      <c r="BF62" s="38">
        <v>8</v>
      </c>
      <c r="BG62" s="86">
        <f>AF70</f>
        <v>34973</v>
      </c>
      <c r="BH62" s="37">
        <f t="shared" ref="BH62:BH71" si="96">BG62/$C$10</f>
        <v>0.9768994413407821</v>
      </c>
      <c r="BI62" s="38">
        <f t="shared" ref="BI62:BP62" si="97">AH70</f>
        <v>23834</v>
      </c>
      <c r="BJ62" s="37">
        <f t="shared" si="97"/>
        <v>0.66575418994413404</v>
      </c>
      <c r="BK62" s="37">
        <f t="shared" si="97"/>
        <v>0.25924222288249688</v>
      </c>
      <c r="BL62" s="38">
        <f t="shared" si="97"/>
        <v>22540</v>
      </c>
      <c r="BM62" s="37">
        <f t="shared" si="97"/>
        <v>0.94570781236888479</v>
      </c>
      <c r="BN62" s="7">
        <f t="shared" si="97"/>
        <v>1147.9527735332226</v>
      </c>
      <c r="BO62" s="38">
        <f t="shared" si="97"/>
        <v>20353</v>
      </c>
      <c r="BP62" s="37">
        <f t="shared" si="97"/>
        <v>0.90297249334516416</v>
      </c>
      <c r="BQ62" s="50">
        <f>AP70</f>
        <v>6338.3504629086892</v>
      </c>
      <c r="BR62" s="91">
        <f t="shared" ref="BR62:BR71" si="98">BO62/$C$10</f>
        <v>0.56851955307262569</v>
      </c>
      <c r="BS62" s="103">
        <f>INDEX(Daggett!$B$7:$M$21, MATCH(BF62,Daggett!$A$7:$A$21,0), MATCH(BD$62,Daggett!$B$6:$M$6,0))</f>
        <v>557.16129032258061</v>
      </c>
      <c r="BT62" s="4">
        <f t="shared" si="82"/>
        <v>0.88871301695214555</v>
      </c>
      <c r="BU62" s="91">
        <f t="shared" ref="BU62:BU71" si="99">BT62*BR62</f>
        <v>0.50525072720745856</v>
      </c>
      <c r="BV62" s="104">
        <f t="shared" ref="BV62:BV71" si="100">IF(1-$H$7*(($H$5+273)^4-298^4)/(BQ62*1000)&lt;0,#N/A,1-$H$7*(($H$5+273)^4-298^4)/(BQ62*1000))</f>
        <v>0.93799520092895028</v>
      </c>
      <c r="BW62" s="91">
        <f t="shared" ref="BW62:BW71" si="101">BV62*BR62</f>
        <v>0.53326861241639456</v>
      </c>
      <c r="CQ62" s="2">
        <v>1800</v>
      </c>
      <c r="CR62" s="7">
        <v>1251.6311334161746</v>
      </c>
      <c r="CS62" s="4">
        <v>0.44907378533504033</v>
      </c>
      <c r="CT62" s="4"/>
      <c r="CU62" s="2">
        <v>1800</v>
      </c>
      <c r="CV62" s="4" t="e">
        <f>AVERAGE(#REF!,BH208,P201)</f>
        <v>#REF!</v>
      </c>
      <c r="CW62" s="4" t="e">
        <f>AVERAGE(#REF!,BI208,R201)</f>
        <v>#REF!</v>
      </c>
      <c r="CX62" s="4" t="e">
        <f>AVERAGE(#REF!,BJ208,S201)</f>
        <v>#REF!</v>
      </c>
    </row>
    <row r="63" spans="2:102">
      <c r="C63" s="7"/>
      <c r="D63" s="38">
        <v>9</v>
      </c>
      <c r="E63" s="86">
        <v>32487</v>
      </c>
      <c r="F63" s="37">
        <f t="shared" si="83"/>
        <v>0.90745810055865916</v>
      </c>
      <c r="G63" s="38">
        <v>27543</v>
      </c>
      <c r="H63" s="37">
        <f t="shared" si="72"/>
        <v>0.76935754189944139</v>
      </c>
      <c r="I63" s="37">
        <f t="shared" si="73"/>
        <v>7.8460815764432867E-2</v>
      </c>
      <c r="J63" s="38">
        <v>25701</v>
      </c>
      <c r="K63" s="37">
        <f t="shared" si="74"/>
        <v>0.93312275351268925</v>
      </c>
      <c r="L63" s="7">
        <f t="shared" si="84"/>
        <v>1308.9411815695366</v>
      </c>
      <c r="M63" s="41">
        <v>23475</v>
      </c>
      <c r="N63" s="37">
        <f t="shared" si="75"/>
        <v>0.91338858410178592</v>
      </c>
      <c r="O63" s="50">
        <f t="shared" si="85"/>
        <v>7310.6066484931698</v>
      </c>
      <c r="P63" s="91">
        <f t="shared" si="76"/>
        <v>0.65572625698324027</v>
      </c>
      <c r="Q63" s="7">
        <f>INDEX(Daggett!$B$7:$M$21, MATCH(D63,Daggett!$A$7:$A$21,0), MATCH(B$62,Daggett!$B$6:$M$6,0))</f>
        <v>691.70967741935488</v>
      </c>
      <c r="R63" s="4">
        <f t="shared" ref="R63:R70" si="102">IF(1-$H$7*(($H$5+273)^4-298^4)*(PI()*$C$19^2)*1000/(M63*Q63*1000)&lt;0,#N/A,1-$H$7*(($H$5+273)^4-298^4)*(PI()*$C$19^2)*1000/(M63*Q63*1000))</f>
        <v>0.92228152246653106</v>
      </c>
      <c r="S63" s="91">
        <f t="shared" si="86"/>
        <v>0.60476421061178265</v>
      </c>
      <c r="T63" s="104">
        <f>IF(1-$H$7*(($H$5+273)^4-298^4)/(O63*1000)&lt;0,#N/A,1-$H$7*(($H$5+273)^4-298^4)/(O63*1000))</f>
        <v>0.9462413769758008</v>
      </c>
      <c r="U63" s="91">
        <f t="shared" si="87"/>
        <v>0.62047531632700914</v>
      </c>
      <c r="AD63" s="7"/>
      <c r="AE63" s="38">
        <v>9</v>
      </c>
      <c r="AF63" s="86">
        <v>25869</v>
      </c>
      <c r="AG63" s="37">
        <f t="shared" si="88"/>
        <v>0.72259776536312847</v>
      </c>
      <c r="AH63" s="38">
        <v>23364</v>
      </c>
      <c r="AI63" s="37">
        <f t="shared" si="77"/>
        <v>0.6526256983240224</v>
      </c>
      <c r="AJ63" s="37">
        <f t="shared" si="89"/>
        <v>1.8297878777183363E-2</v>
      </c>
      <c r="AK63" s="38">
        <v>19454</v>
      </c>
      <c r="AL63" s="37">
        <f t="shared" si="90"/>
        <v>0.83264851908919701</v>
      </c>
      <c r="AM63" s="7">
        <f t="shared" si="78"/>
        <v>990.78408413111424</v>
      </c>
      <c r="AN63" s="41">
        <v>17703</v>
      </c>
      <c r="AO63" s="37">
        <f t="shared" si="91"/>
        <v>0.90999280353654777</v>
      </c>
      <c r="AP63" s="50">
        <f t="shared" si="79"/>
        <v>5513.0849626528043</v>
      </c>
      <c r="AQ63" s="91">
        <f t="shared" si="92"/>
        <v>0.49449720670391062</v>
      </c>
      <c r="AR63" s="7">
        <f>INDEX(Daggett!$B$7:$M$21, MATCH(AE63,Daggett!$A$7:$A$21,0), MATCH(AC$62,Daggett!$B$6:$M$6,0))</f>
        <v>691.70967741935488</v>
      </c>
      <c r="AS63" s="4">
        <f t="shared" si="80"/>
        <v>0.89694169010347491</v>
      </c>
      <c r="AT63" s="91">
        <f t="shared" si="93"/>
        <v>0.44353516033245299</v>
      </c>
      <c r="AU63" s="104">
        <f t="shared" si="94"/>
        <v>0.92871356970609076</v>
      </c>
      <c r="AV63" s="91">
        <f t="shared" si="95"/>
        <v>0.45924626604767949</v>
      </c>
      <c r="BE63" s="7"/>
      <c r="BF63" s="38">
        <v>9</v>
      </c>
      <c r="BG63" s="86">
        <f>AF69</f>
        <v>35400</v>
      </c>
      <c r="BH63" s="37">
        <f t="shared" si="96"/>
        <v>0.98882681564245811</v>
      </c>
      <c r="BI63" s="38">
        <f t="shared" ref="BI63:BP63" si="103">AH69</f>
        <v>27841</v>
      </c>
      <c r="BJ63" s="37">
        <f t="shared" si="103"/>
        <v>0.77768156424581003</v>
      </c>
      <c r="BK63" s="37">
        <f t="shared" si="103"/>
        <v>0.14514247113731271</v>
      </c>
      <c r="BL63" s="38">
        <f t="shared" si="103"/>
        <v>26338</v>
      </c>
      <c r="BM63" s="37">
        <f t="shared" si="103"/>
        <v>0.94601487015552599</v>
      </c>
      <c r="BN63" s="7">
        <f t="shared" si="103"/>
        <v>1341.3833251693886</v>
      </c>
      <c r="BO63" s="38">
        <f t="shared" si="103"/>
        <v>23858</v>
      </c>
      <c r="BP63" s="37">
        <f t="shared" si="103"/>
        <v>0.90583947148606581</v>
      </c>
      <c r="BQ63" s="50">
        <f>AP69</f>
        <v>7429.8808698509074</v>
      </c>
      <c r="BR63" s="91">
        <f t="shared" si="98"/>
        <v>0.66642458100558655</v>
      </c>
      <c r="BS63" s="103">
        <f>INDEX(Daggett!$B$7:$M$21, MATCH(BF63,Daggett!$A$7:$A$21,0), MATCH(BD$62,Daggett!$B$6:$M$6,0))</f>
        <v>691.70967741935488</v>
      </c>
      <c r="BT63" s="4">
        <f t="shared" si="82"/>
        <v>0.92352916170264965</v>
      </c>
      <c r="BU63" s="91">
        <f t="shared" si="99"/>
        <v>0.61546253463412892</v>
      </c>
      <c r="BV63" s="104">
        <f t="shared" si="100"/>
        <v>0.94710438110935213</v>
      </c>
      <c r="BW63" s="91">
        <f t="shared" si="101"/>
        <v>0.6311736403493553</v>
      </c>
      <c r="CQ63" s="2">
        <v>1900</v>
      </c>
      <c r="CR63" s="7">
        <v>1201.5602744355713</v>
      </c>
      <c r="CS63" s="4">
        <v>0.4311088197976099</v>
      </c>
      <c r="CT63" s="4"/>
      <c r="CX63" s="4" t="e">
        <f>CV62*CW62</f>
        <v>#REF!</v>
      </c>
    </row>
    <row r="64" spans="2:102">
      <c r="C64" s="69" t="s">
        <v>169</v>
      </c>
      <c r="D64" s="52">
        <v>10</v>
      </c>
      <c r="E64" s="90">
        <v>33913</v>
      </c>
      <c r="F64" s="51">
        <f t="shared" si="83"/>
        <v>0.94729050279329607</v>
      </c>
      <c r="G64" s="52">
        <v>29330</v>
      </c>
      <c r="H64" s="51">
        <f t="shared" si="72"/>
        <v>0.81927374301675981</v>
      </c>
      <c r="I64" s="51">
        <f t="shared" si="73"/>
        <v>5.9934692223964525E-2</v>
      </c>
      <c r="J64" s="52">
        <v>27843</v>
      </c>
      <c r="K64" s="51">
        <f t="shared" si="74"/>
        <v>0.94930105693828848</v>
      </c>
      <c r="L64" s="47">
        <f t="shared" si="84"/>
        <v>1418.0323457624454</v>
      </c>
      <c r="M64" s="55">
        <v>25245</v>
      </c>
      <c r="N64" s="51">
        <f>M64/J64</f>
        <v>0.90669108932227127</v>
      </c>
      <c r="O64" s="56">
        <f t="shared" si="85"/>
        <v>7861.821718475403</v>
      </c>
      <c r="P64" s="101">
        <f t="shared" si="76"/>
        <v>0.70516759776536309</v>
      </c>
      <c r="Q64" s="7">
        <f>INDEX(Daggett!$B$7:$M$21, MATCH(D64,Daggett!$A$7:$A$21,0), MATCH(B$62,Daggett!$B$6:$M$6,0))</f>
        <v>737</v>
      </c>
      <c r="R64" s="4">
        <f>IF(1-$H$7*(($H$5+273)^4-298^4)*(PI()*$C$19^2)*1000/(M64*Q64*1000)&lt;0,#N/A,1-$H$7*(($H$5+273)^4-298^4)*(PI()*$C$19^2)*1000/(M64*Q64*1000))</f>
        <v>0.93217170908311164</v>
      </c>
      <c r="S64" s="91">
        <f t="shared" si="86"/>
        <v>0.65733728479897069</v>
      </c>
      <c r="T64" s="104">
        <f t="shared" ref="T64:T71" si="104">IF(1-$H$7*(($H$5+273)^4-298^4)/(O64*1000)&lt;0,#N/A,1-$H$7*(($H$5+273)^4-298^4)/(O64*1000))</f>
        <v>0.95001054959425324</v>
      </c>
      <c r="U64" s="91">
        <f t="shared" si="87"/>
        <v>0.66991665710913184</v>
      </c>
      <c r="AD64" s="69"/>
      <c r="AE64" s="38">
        <v>10</v>
      </c>
      <c r="AF64" s="90">
        <v>28778</v>
      </c>
      <c r="AG64" s="51">
        <f t="shared" si="88"/>
        <v>0.80385474860335193</v>
      </c>
      <c r="AH64" s="52">
        <v>25811</v>
      </c>
      <c r="AI64" s="51">
        <f t="shared" si="77"/>
        <v>0.72097765363128496</v>
      </c>
      <c r="AJ64" s="51">
        <f t="shared" si="89"/>
        <v>2.5108249961474316E-2</v>
      </c>
      <c r="AK64" s="52">
        <v>22996</v>
      </c>
      <c r="AL64" s="51">
        <f t="shared" si="90"/>
        <v>0.89093797218240289</v>
      </c>
      <c r="AM64" s="47">
        <f t="shared" si="78"/>
        <v>1171.1766628291921</v>
      </c>
      <c r="AN64" s="55">
        <v>20963</v>
      </c>
      <c r="AO64" s="51">
        <f t="shared" si="91"/>
        <v>0.91159332057749176</v>
      </c>
      <c r="AP64" s="56">
        <f t="shared" si="79"/>
        <v>6528.3172384392892</v>
      </c>
      <c r="AQ64" s="101">
        <f t="shared" si="92"/>
        <v>0.58555865921787709</v>
      </c>
      <c r="AR64" s="7">
        <f>INDEX(Daggett!$B$7:$M$21, MATCH(AE64,Daggett!$A$7:$A$21,0), MATCH(AC$62,Daggett!$B$6:$M$6,0))</f>
        <v>737</v>
      </c>
      <c r="AS64" s="4">
        <f t="shared" si="80"/>
        <v>0.91831678651925552</v>
      </c>
      <c r="AT64" s="91">
        <f t="shared" si="93"/>
        <v>0.53772834625148469</v>
      </c>
      <c r="AU64" s="104">
        <f t="shared" si="94"/>
        <v>0.93979947166469135</v>
      </c>
      <c r="AV64" s="91">
        <f t="shared" si="95"/>
        <v>0.55030771856164595</v>
      </c>
      <c r="BE64" s="69"/>
      <c r="BF64" s="38">
        <v>10</v>
      </c>
      <c r="BG64" s="90">
        <f>AF68</f>
        <v>35229</v>
      </c>
      <c r="BH64" s="51">
        <f t="shared" si="96"/>
        <v>0.98405027932960898</v>
      </c>
      <c r="BI64" s="52">
        <f t="shared" ref="BI64:BP64" si="105">AH68</f>
        <v>29339</v>
      </c>
      <c r="BJ64" s="51">
        <f t="shared" si="105"/>
        <v>0.81952513966480445</v>
      </c>
      <c r="BK64" s="51">
        <f t="shared" si="105"/>
        <v>9.4773698052617261E-2</v>
      </c>
      <c r="BL64" s="52">
        <f t="shared" si="105"/>
        <v>27824</v>
      </c>
      <c r="BM64" s="51">
        <f t="shared" si="105"/>
        <v>0.94836224820205184</v>
      </c>
      <c r="BN64" s="47">
        <f t="shared" si="105"/>
        <v>1417.0646837084466</v>
      </c>
      <c r="BO64" s="52">
        <f t="shared" si="105"/>
        <v>25209</v>
      </c>
      <c r="BP64" s="51">
        <f t="shared" si="105"/>
        <v>0.90601638872915469</v>
      </c>
      <c r="BQ64" s="56">
        <f>AP68</f>
        <v>7850.6105645096623</v>
      </c>
      <c r="BR64" s="101">
        <f t="shared" si="98"/>
        <v>0.70416201117318433</v>
      </c>
      <c r="BS64" s="103">
        <f>INDEX(Daggett!$B$7:$M$21, MATCH(BF64,Daggett!$A$7:$A$21,0), MATCH(BD$62,Daggett!$B$6:$M$6,0))</f>
        <v>737</v>
      </c>
      <c r="BT64" s="4">
        <f t="shared" si="82"/>
        <v>0.93207484611857483</v>
      </c>
      <c r="BU64" s="91">
        <f t="shared" si="99"/>
        <v>0.65633169820679194</v>
      </c>
      <c r="BV64" s="104">
        <f t="shared" si="100"/>
        <v>0.94993916158938962</v>
      </c>
      <c r="BW64" s="91">
        <f t="shared" si="101"/>
        <v>0.66891107051695309</v>
      </c>
      <c r="CQ64" s="2">
        <v>2000</v>
      </c>
      <c r="CR64" s="7">
        <v>1144.078221086733</v>
      </c>
      <c r="CS64" s="4">
        <v>0.41048478560972723</v>
      </c>
      <c r="CT64" s="4"/>
      <c r="CU64" s="4"/>
      <c r="CV64" s="4"/>
    </row>
    <row r="65" spans="2:100" ht="16.899999999999999" customHeight="1">
      <c r="C65" s="7"/>
      <c r="D65" s="38">
        <v>11</v>
      </c>
      <c r="E65" s="86">
        <v>34779</v>
      </c>
      <c r="F65" s="37">
        <f t="shared" si="83"/>
        <v>0.97148044692737434</v>
      </c>
      <c r="G65" s="38">
        <v>29696</v>
      </c>
      <c r="H65" s="37">
        <f t="shared" si="72"/>
        <v>0.82949720670391058</v>
      </c>
      <c r="I65" s="37">
        <f t="shared" si="73"/>
        <v>7.190371000991358E-2</v>
      </c>
      <c r="J65" s="38">
        <v>28028</v>
      </c>
      <c r="K65" s="37">
        <f t="shared" si="74"/>
        <v>0.94383081896551724</v>
      </c>
      <c r="L65" s="7">
        <f t="shared" si="84"/>
        <v>1427.4543183934857</v>
      </c>
      <c r="M65" s="41">
        <v>25451</v>
      </c>
      <c r="N65" s="37">
        <f t="shared" si="75"/>
        <v>0.90805622948480091</v>
      </c>
      <c r="O65" s="50">
        <f t="shared" si="85"/>
        <v>7925.974432834917</v>
      </c>
      <c r="P65" s="91">
        <f t="shared" si="76"/>
        <v>0.71092178770949721</v>
      </c>
      <c r="Q65" s="7">
        <f>INDEX(Daggett!$B$7:$M$21, MATCH(D65,Daggett!$A$7:$A$21,0), MATCH(B$62,Daggett!$B$6:$M$6,0))</f>
        <v>780.35483870967744</v>
      </c>
      <c r="R65" s="4">
        <f t="shared" si="102"/>
        <v>0.9364586030503449</v>
      </c>
      <c r="S65" s="91">
        <f t="shared" si="86"/>
        <v>0.66574882419648962</v>
      </c>
      <c r="T65" s="104">
        <f t="shared" si="104"/>
        <v>0.9504151634319643</v>
      </c>
      <c r="U65" s="91">
        <f t="shared" si="87"/>
        <v>0.67567084705326608</v>
      </c>
      <c r="AD65" s="7"/>
      <c r="AE65" s="38">
        <v>11</v>
      </c>
      <c r="AF65" s="86">
        <v>31208</v>
      </c>
      <c r="AG65" s="37">
        <f t="shared" si="88"/>
        <v>0.871731843575419</v>
      </c>
      <c r="AH65" s="38">
        <v>27571</v>
      </c>
      <c r="AI65" s="37">
        <f t="shared" si="77"/>
        <v>0.77013966480446927</v>
      </c>
      <c r="AJ65" s="37">
        <f t="shared" si="89"/>
        <v>3.9718076747322306E-2</v>
      </c>
      <c r="AK65" s="38">
        <v>25477</v>
      </c>
      <c r="AL65" s="37">
        <f t="shared" si="90"/>
        <v>0.92405063291139244</v>
      </c>
      <c r="AM65" s="7">
        <f t="shared" si="78"/>
        <v>1297.5329552487096</v>
      </c>
      <c r="AN65" s="41">
        <v>23134</v>
      </c>
      <c r="AO65" s="37">
        <f t="shared" si="91"/>
        <v>0.90803469796286851</v>
      </c>
      <c r="AP65" s="50">
        <f t="shared" si="79"/>
        <v>7204.41210676213</v>
      </c>
      <c r="AQ65" s="91">
        <f t="shared" si="92"/>
        <v>0.64620111731843577</v>
      </c>
      <c r="AR65" s="7">
        <f>INDEX(Daggett!$B$7:$M$21, MATCH(AE65,Daggett!$A$7:$A$21,0), MATCH(AC$62,Daggett!$B$6:$M$6,0))</f>
        <v>780.35483870967744</v>
      </c>
      <c r="AS65" s="4">
        <f t="shared" si="80"/>
        <v>0.93009457535377926</v>
      </c>
      <c r="AT65" s="91">
        <f t="shared" si="93"/>
        <v>0.60102815380542818</v>
      </c>
      <c r="AU65" s="104">
        <f t="shared" si="94"/>
        <v>0.94544896362526687</v>
      </c>
      <c r="AV65" s="91">
        <f t="shared" si="95"/>
        <v>0.61095017666220464</v>
      </c>
      <c r="BE65" s="7"/>
      <c r="BF65" s="38">
        <v>11</v>
      </c>
      <c r="BG65" s="86">
        <f>AF67</f>
        <v>34462</v>
      </c>
      <c r="BH65" s="37">
        <f t="shared" si="96"/>
        <v>0.96262569832402234</v>
      </c>
      <c r="BI65" s="38">
        <f t="shared" ref="BI65:BP65" si="106">AH67</f>
        <v>29484</v>
      </c>
      <c r="BJ65" s="37">
        <f t="shared" si="106"/>
        <v>0.82357541899441344</v>
      </c>
      <c r="BK65" s="37">
        <f t="shared" si="106"/>
        <v>7.0053215514000344E-2</v>
      </c>
      <c r="BL65" s="38">
        <f t="shared" si="106"/>
        <v>27892</v>
      </c>
      <c r="BM65" s="37">
        <f t="shared" si="106"/>
        <v>0.94600461267127933</v>
      </c>
      <c r="BN65" s="7">
        <f t="shared" si="106"/>
        <v>1420.5278952701262</v>
      </c>
      <c r="BO65" s="38">
        <f t="shared" si="106"/>
        <v>25366</v>
      </c>
      <c r="BP65" s="37">
        <f t="shared" si="106"/>
        <v>0.90943639753334293</v>
      </c>
      <c r="BQ65" s="50">
        <f>AP67</f>
        <v>7899.50365263803</v>
      </c>
      <c r="BR65" s="91">
        <f t="shared" si="98"/>
        <v>0.70854748603351958</v>
      </c>
      <c r="BS65" s="103">
        <f>INDEX(Daggett!$B$7:$M$21, MATCH(BF65,Daggett!$A$7:$A$21,0), MATCH(BD$62,Daggett!$B$6:$M$6,0))</f>
        <v>780.35483870967744</v>
      </c>
      <c r="BT65" s="4">
        <f t="shared" si="82"/>
        <v>0.93624567950147164</v>
      </c>
      <c r="BU65" s="91">
        <f t="shared" si="99"/>
        <v>0.66337452252051199</v>
      </c>
      <c r="BV65" s="104">
        <f t="shared" si="100"/>
        <v>0.95024900751032582</v>
      </c>
      <c r="BW65" s="91">
        <f t="shared" si="101"/>
        <v>0.67329654537728845</v>
      </c>
      <c r="CG65" s="35"/>
      <c r="CQ65" s="2">
        <v>2100</v>
      </c>
      <c r="CR65" s="7">
        <v>1078.4874079452163</v>
      </c>
      <c r="CS65" s="4">
        <v>0.38695140268702055</v>
      </c>
      <c r="CT65" s="4"/>
      <c r="CU65" s="4"/>
      <c r="CV65" s="4"/>
    </row>
    <row r="66" spans="2:100">
      <c r="C66" s="7"/>
      <c r="D66" s="38">
        <v>12</v>
      </c>
      <c r="E66" s="86">
        <v>35070</v>
      </c>
      <c r="F66" s="37">
        <f t="shared" si="83"/>
        <v>0.97960893854748599</v>
      </c>
      <c r="G66" s="38">
        <v>29622</v>
      </c>
      <c r="H66" s="37">
        <f t="shared" si="72"/>
        <v>0.82743016759776533</v>
      </c>
      <c r="I66" s="37">
        <f t="shared" si="73"/>
        <v>8.1898315170900515E-2</v>
      </c>
      <c r="J66" s="38">
        <v>28146</v>
      </c>
      <c r="K66" s="37">
        <f t="shared" si="74"/>
        <v>0.95017216933360338</v>
      </c>
      <c r="L66" s="7">
        <f t="shared" si="84"/>
        <v>1433.4640090446355</v>
      </c>
      <c r="M66" s="41">
        <v>25580</v>
      </c>
      <c r="N66" s="37">
        <f t="shared" si="75"/>
        <v>0.90883251616570737</v>
      </c>
      <c r="O66" s="50">
        <f t="shared" si="85"/>
        <v>7966.1477345454859</v>
      </c>
      <c r="P66" s="91">
        <f t="shared" si="76"/>
        <v>0.71452513966480447</v>
      </c>
      <c r="Q66" s="7">
        <f>INDEX(Daggett!$B$7:$M$21, MATCH(D66,Daggett!$A$7:$A$21,0), MATCH(B$62,Daggett!$B$6:$M$6,0))</f>
        <v>768.19354838709683</v>
      </c>
      <c r="R66" s="4">
        <f t="shared" si="102"/>
        <v>0.93577818998284834</v>
      </c>
      <c r="S66" s="91">
        <f t="shared" si="86"/>
        <v>0.66863704189277262</v>
      </c>
      <c r="T66" s="104">
        <f>IF(1-$H$7*(($H$5+273)^4-298^4)/(O66*1000)&lt;0,#N/A,1-$H$7*(($H$5+273)^4-298^4)/(O66*1000))</f>
        <v>0.95066521987908226</v>
      </c>
      <c r="U66" s="91">
        <f t="shared" si="87"/>
        <v>0.67927419900857333</v>
      </c>
      <c r="AD66" s="7"/>
      <c r="AE66" s="38">
        <v>12</v>
      </c>
      <c r="AF66" s="86">
        <v>33114</v>
      </c>
      <c r="AG66" s="37">
        <f t="shared" si="88"/>
        <v>0.92497206703910617</v>
      </c>
      <c r="AH66" s="38">
        <v>28810</v>
      </c>
      <c r="AI66" s="37">
        <f t="shared" si="77"/>
        <v>0.80474860335195531</v>
      </c>
      <c r="AJ66" s="37">
        <f t="shared" si="89"/>
        <v>5.4320909847667243E-2</v>
      </c>
      <c r="AK66" s="38">
        <v>27084</v>
      </c>
      <c r="AL66" s="37">
        <f t="shared" si="90"/>
        <v>0.94009024644220762</v>
      </c>
      <c r="AM66" s="7">
        <f t="shared" si="78"/>
        <v>1379.3767931842858</v>
      </c>
      <c r="AN66" s="41">
        <v>24624</v>
      </c>
      <c r="AO66" s="37">
        <f t="shared" si="91"/>
        <v>0.90917146654851577</v>
      </c>
      <c r="AP66" s="50">
        <f t="shared" si="79"/>
        <v>7668.4293125663817</v>
      </c>
      <c r="AQ66" s="91">
        <f t="shared" si="92"/>
        <v>0.68782122905027931</v>
      </c>
      <c r="AR66" s="7">
        <f>INDEX(Daggett!$B$7:$M$21, MATCH(AE66,Daggett!$A$7:$A$21,0), MATCH(AC$62,Daggett!$B$6:$M$6,0))</f>
        <v>768.19354838709683</v>
      </c>
      <c r="AS66" s="4">
        <f t="shared" si="80"/>
        <v>0.93328484810596413</v>
      </c>
      <c r="AT66" s="91">
        <f t="shared" si="93"/>
        <v>0.64193313127824747</v>
      </c>
      <c r="AU66" s="104">
        <f t="shared" si="94"/>
        <v>0.94874985073533646</v>
      </c>
      <c r="AV66" s="91">
        <f t="shared" si="95"/>
        <v>0.65257028839404818</v>
      </c>
      <c r="BE66" s="7"/>
      <c r="BF66" s="38">
        <v>12</v>
      </c>
      <c r="BG66" s="86">
        <f>AF66</f>
        <v>33114</v>
      </c>
      <c r="BH66" s="37">
        <f t="shared" si="96"/>
        <v>0.92497206703910617</v>
      </c>
      <c r="BI66" s="38">
        <f t="shared" ref="BI66:BP66" si="107">AH66</f>
        <v>28810</v>
      </c>
      <c r="BJ66" s="37">
        <f t="shared" si="107"/>
        <v>0.80474860335195531</v>
      </c>
      <c r="BK66" s="37">
        <f t="shared" si="107"/>
        <v>5.4320909847667243E-2</v>
      </c>
      <c r="BL66" s="38">
        <f t="shared" si="107"/>
        <v>27084</v>
      </c>
      <c r="BM66" s="37">
        <f t="shared" si="107"/>
        <v>0.94009024644220762</v>
      </c>
      <c r="BN66" s="7">
        <f t="shared" si="107"/>
        <v>1379.3767931842858</v>
      </c>
      <c r="BO66" s="38">
        <f t="shared" si="107"/>
        <v>24624</v>
      </c>
      <c r="BP66" s="37">
        <f t="shared" si="107"/>
        <v>0.90917146654851577</v>
      </c>
      <c r="BQ66" s="50">
        <f>AP66</f>
        <v>7668.4293125663817</v>
      </c>
      <c r="BR66" s="91">
        <f t="shared" si="98"/>
        <v>0.68782122905027931</v>
      </c>
      <c r="BS66" s="103">
        <f>INDEX(Daggett!$B$7:$M$21, MATCH(BF66,Daggett!$A$7:$A$21,0), MATCH(BD$62,Daggett!$B$6:$M$6,0))</f>
        <v>768.19354838709683</v>
      </c>
      <c r="BT66" s="4">
        <f t="shared" si="82"/>
        <v>0.93328484810596413</v>
      </c>
      <c r="BU66" s="91">
        <f t="shared" si="99"/>
        <v>0.64193313127824747</v>
      </c>
      <c r="BV66" s="104">
        <f t="shared" si="100"/>
        <v>0.94874985073533646</v>
      </c>
      <c r="BW66" s="91">
        <f t="shared" si="101"/>
        <v>0.65257028839404818</v>
      </c>
      <c r="CQ66" s="2">
        <v>2200</v>
      </c>
      <c r="CR66" s="7">
        <v>1004.0588901252892</v>
      </c>
      <c r="CS66" s="4">
        <v>0.36024713228185357</v>
      </c>
      <c r="CT66" s="4"/>
      <c r="CU66" s="4"/>
      <c r="CV66" s="4"/>
    </row>
    <row r="67" spans="2:100">
      <c r="D67" s="38">
        <v>13</v>
      </c>
      <c r="E67" s="86">
        <f>E65</f>
        <v>34779</v>
      </c>
      <c r="F67" s="37">
        <f t="shared" si="83"/>
        <v>0.97148044692737434</v>
      </c>
      <c r="G67" s="38">
        <f t="shared" ref="G67:N67" si="108">G65</f>
        <v>29696</v>
      </c>
      <c r="H67" s="37">
        <f t="shared" si="108"/>
        <v>0.82949720670391058</v>
      </c>
      <c r="I67" s="37">
        <f t="shared" si="108"/>
        <v>7.190371000991358E-2</v>
      </c>
      <c r="J67" s="38">
        <f t="shared" si="108"/>
        <v>28028</v>
      </c>
      <c r="K67" s="37">
        <f t="shared" si="108"/>
        <v>0.94383081896551724</v>
      </c>
      <c r="L67" s="7">
        <f t="shared" si="84"/>
        <v>1427.4543183934857</v>
      </c>
      <c r="M67" s="41">
        <f t="shared" si="108"/>
        <v>25451</v>
      </c>
      <c r="N67" s="37">
        <f t="shared" si="108"/>
        <v>0.90805622948480091</v>
      </c>
      <c r="O67" s="50">
        <f t="shared" si="85"/>
        <v>7925.974432834917</v>
      </c>
      <c r="P67" s="91">
        <f>P65</f>
        <v>0.71092178770949721</v>
      </c>
      <c r="Q67" s="7">
        <f>INDEX(Daggett!$B$7:$M$21, MATCH(D67,Daggett!$A$7:$A$21,0), MATCH(B$62,Daggett!$B$6:$M$6,0))</f>
        <v>769.16129032258061</v>
      </c>
      <c r="R67" s="4">
        <f t="shared" si="102"/>
        <v>0.93553388971610862</v>
      </c>
      <c r="S67" s="91">
        <f t="shared" si="86"/>
        <v>0.66509142533979559</v>
      </c>
      <c r="T67" s="104">
        <f t="shared" si="104"/>
        <v>0.9504151634319643</v>
      </c>
      <c r="U67" s="91">
        <f t="shared" si="87"/>
        <v>0.67567084705326608</v>
      </c>
      <c r="AE67" s="38">
        <v>13</v>
      </c>
      <c r="AF67" s="86">
        <v>34462</v>
      </c>
      <c r="AG67" s="37">
        <f t="shared" si="88"/>
        <v>0.96262569832402234</v>
      </c>
      <c r="AH67" s="38">
        <v>29484</v>
      </c>
      <c r="AI67" s="37">
        <f t="shared" si="77"/>
        <v>0.82357541899441344</v>
      </c>
      <c r="AJ67" s="37">
        <f t="shared" si="89"/>
        <v>7.0053215514000344E-2</v>
      </c>
      <c r="AK67" s="38">
        <v>27892</v>
      </c>
      <c r="AL67" s="37">
        <f t="shared" si="90"/>
        <v>0.94600461267127933</v>
      </c>
      <c r="AM67" s="7">
        <f t="shared" si="78"/>
        <v>1420.5278952701262</v>
      </c>
      <c r="AN67" s="41">
        <v>25366</v>
      </c>
      <c r="AO67" s="37">
        <f t="shared" si="91"/>
        <v>0.90943639753334293</v>
      </c>
      <c r="AP67" s="50">
        <f t="shared" si="79"/>
        <v>7899.50365263803</v>
      </c>
      <c r="AQ67" s="91">
        <f t="shared" si="92"/>
        <v>0.70854748603351958</v>
      </c>
      <c r="AR67" s="7">
        <f>INDEX(Daggett!$B$7:$M$21, MATCH(AE67,Daggett!$A$7:$A$21,0), MATCH(AC$62,Daggett!$B$6:$M$6,0))</f>
        <v>769.16129032258061</v>
      </c>
      <c r="AS67" s="4">
        <f t="shared" si="80"/>
        <v>0.93531786750629509</v>
      </c>
      <c r="AT67" s="91">
        <f t="shared" si="93"/>
        <v>0.66271712366381796</v>
      </c>
      <c r="AU67" s="104">
        <f t="shared" si="94"/>
        <v>0.95024900751032582</v>
      </c>
      <c r="AV67" s="91">
        <f t="shared" si="95"/>
        <v>0.67329654537728845</v>
      </c>
      <c r="BF67" s="38">
        <v>13</v>
      </c>
      <c r="BG67" s="86">
        <f>AF65</f>
        <v>31208</v>
      </c>
      <c r="BH67" s="37">
        <f t="shared" si="96"/>
        <v>0.871731843575419</v>
      </c>
      <c r="BI67" s="38">
        <f t="shared" ref="BI67:BP67" si="109">AH65</f>
        <v>27571</v>
      </c>
      <c r="BJ67" s="37">
        <f t="shared" si="109"/>
        <v>0.77013966480446927</v>
      </c>
      <c r="BK67" s="37">
        <f t="shared" si="109"/>
        <v>3.9718076747322306E-2</v>
      </c>
      <c r="BL67" s="38">
        <f t="shared" si="109"/>
        <v>25477</v>
      </c>
      <c r="BM67" s="37">
        <f t="shared" si="109"/>
        <v>0.92405063291139244</v>
      </c>
      <c r="BN67" s="7">
        <f t="shared" si="109"/>
        <v>1297.5329552487096</v>
      </c>
      <c r="BO67" s="38">
        <f t="shared" si="109"/>
        <v>23134</v>
      </c>
      <c r="BP67" s="37">
        <f t="shared" si="109"/>
        <v>0.90803469796286851</v>
      </c>
      <c r="BQ67" s="50">
        <f>AP65</f>
        <v>7204.41210676213</v>
      </c>
      <c r="BR67" s="91">
        <f t="shared" si="98"/>
        <v>0.64620111731843577</v>
      </c>
      <c r="BS67" s="103">
        <f>INDEX(Daggett!$B$7:$M$21, MATCH(BF67,Daggett!$A$7:$A$21,0), MATCH(BD$62,Daggett!$B$6:$M$6,0))</f>
        <v>769.16129032258061</v>
      </c>
      <c r="BT67" s="4">
        <f t="shared" si="82"/>
        <v>0.9290772467867503</v>
      </c>
      <c r="BU67" s="91">
        <f t="shared" si="99"/>
        <v>0.60037075494873415</v>
      </c>
      <c r="BV67" s="104">
        <f t="shared" si="100"/>
        <v>0.94544896362526687</v>
      </c>
      <c r="BW67" s="91">
        <f t="shared" si="101"/>
        <v>0.61095017666220464</v>
      </c>
      <c r="CQ67" s="2">
        <v>2300</v>
      </c>
      <c r="CR67" s="7">
        <v>920.03234327993164</v>
      </c>
      <c r="CS67" s="4">
        <v>0.33009917698332553</v>
      </c>
      <c r="CT67" s="4"/>
      <c r="CU67" s="4"/>
      <c r="CV67" s="4"/>
    </row>
    <row r="68" spans="2:100">
      <c r="D68" s="38">
        <v>14</v>
      </c>
      <c r="E68" s="86">
        <f>E64</f>
        <v>33913</v>
      </c>
      <c r="F68" s="37">
        <f t="shared" si="83"/>
        <v>0.94729050279329607</v>
      </c>
      <c r="G68" s="38">
        <f t="shared" ref="G68:N68" si="110">G64</f>
        <v>29330</v>
      </c>
      <c r="H68" s="37">
        <f t="shared" si="110"/>
        <v>0.81927374301675981</v>
      </c>
      <c r="I68" s="37">
        <f t="shared" si="110"/>
        <v>5.9934692223964525E-2</v>
      </c>
      <c r="J68" s="38">
        <f t="shared" si="110"/>
        <v>27843</v>
      </c>
      <c r="K68" s="37">
        <f t="shared" si="110"/>
        <v>0.94930105693828848</v>
      </c>
      <c r="L68" s="7">
        <f t="shared" si="84"/>
        <v>1418.0323457624454</v>
      </c>
      <c r="M68" s="41">
        <f t="shared" si="110"/>
        <v>25245</v>
      </c>
      <c r="N68" s="37">
        <f t="shared" si="110"/>
        <v>0.90669108932227127</v>
      </c>
      <c r="O68" s="50">
        <f t="shared" si="85"/>
        <v>7861.821718475403</v>
      </c>
      <c r="P68" s="91">
        <f>P64</f>
        <v>0.70516759776536309</v>
      </c>
      <c r="Q68" s="7">
        <f>INDEX(Daggett!$B$7:$M$21, MATCH(D68,Daggett!$A$7:$A$21,0), MATCH(B$62,Daggett!$B$6:$M$6,0))</f>
        <v>744.12903225806451</v>
      </c>
      <c r="R68" s="4">
        <f t="shared" si="102"/>
        <v>0.93282152927960171</v>
      </c>
      <c r="S68" s="91">
        <f t="shared" si="86"/>
        <v>0.6577955169459091</v>
      </c>
      <c r="T68" s="104">
        <f t="shared" si="104"/>
        <v>0.95001054959425324</v>
      </c>
      <c r="U68" s="91">
        <f t="shared" si="87"/>
        <v>0.66991665710913184</v>
      </c>
      <c r="AE68" s="38">
        <v>14</v>
      </c>
      <c r="AF68" s="86">
        <v>35229</v>
      </c>
      <c r="AG68" s="37">
        <f t="shared" si="88"/>
        <v>0.98405027932960898</v>
      </c>
      <c r="AH68" s="38">
        <v>29339</v>
      </c>
      <c r="AI68" s="37">
        <f t="shared" si="77"/>
        <v>0.81952513966480445</v>
      </c>
      <c r="AJ68" s="37">
        <f t="shared" si="89"/>
        <v>9.4773698052617261E-2</v>
      </c>
      <c r="AK68" s="38">
        <v>27824</v>
      </c>
      <c r="AL68" s="37">
        <f t="shared" si="90"/>
        <v>0.94836224820205184</v>
      </c>
      <c r="AM68" s="7">
        <f t="shared" si="78"/>
        <v>1417.0646837084466</v>
      </c>
      <c r="AN68" s="41">
        <v>25209</v>
      </c>
      <c r="AO68" s="37">
        <f t="shared" si="91"/>
        <v>0.90601638872915469</v>
      </c>
      <c r="AP68" s="50">
        <f t="shared" si="79"/>
        <v>7850.6105645096623</v>
      </c>
      <c r="AQ68" s="91">
        <f t="shared" si="92"/>
        <v>0.70416201117318433</v>
      </c>
      <c r="AR68" s="7">
        <f>INDEX(Daggett!$B$7:$M$21, MATCH(AE68,Daggett!$A$7:$A$21,0), MATCH(AC$62,Daggett!$B$6:$M$6,0))</f>
        <v>744.12903225806451</v>
      </c>
      <c r="AS68" s="4">
        <f t="shared" si="80"/>
        <v>0.93272559429820878</v>
      </c>
      <c r="AT68" s="91">
        <f t="shared" si="93"/>
        <v>0.65678993035373034</v>
      </c>
      <c r="AU68" s="104">
        <f t="shared" si="94"/>
        <v>0.94993916158938962</v>
      </c>
      <c r="AV68" s="91">
        <f t="shared" si="95"/>
        <v>0.66891107051695309</v>
      </c>
      <c r="BF68" s="38">
        <v>14</v>
      </c>
      <c r="BG68" s="86">
        <f>AF64</f>
        <v>28778</v>
      </c>
      <c r="BH68" s="37">
        <f t="shared" si="96"/>
        <v>0.80385474860335193</v>
      </c>
      <c r="BI68" s="38">
        <f t="shared" ref="BI68:BP68" si="111">AH64</f>
        <v>25811</v>
      </c>
      <c r="BJ68" s="37">
        <f t="shared" si="111"/>
        <v>0.72097765363128496</v>
      </c>
      <c r="BK68" s="37">
        <f t="shared" si="111"/>
        <v>2.5108249961474316E-2</v>
      </c>
      <c r="BL68" s="38">
        <f t="shared" si="111"/>
        <v>22996</v>
      </c>
      <c r="BM68" s="37">
        <f t="shared" si="111"/>
        <v>0.89093797218240289</v>
      </c>
      <c r="BN68" s="7">
        <f t="shared" si="111"/>
        <v>1171.1766628291921</v>
      </c>
      <c r="BO68" s="38">
        <f t="shared" si="111"/>
        <v>20963</v>
      </c>
      <c r="BP68" s="37">
        <f t="shared" si="111"/>
        <v>0.91159332057749176</v>
      </c>
      <c r="BQ68" s="50">
        <f>AP64</f>
        <v>6528.3172384392892</v>
      </c>
      <c r="BR68" s="91">
        <f t="shared" si="98"/>
        <v>0.58555865921787709</v>
      </c>
      <c r="BS68" s="103">
        <f>INDEX(Daggett!$B$7:$M$21, MATCH(BF68,Daggett!$A$7:$A$21,0), MATCH(BD$62,Daggett!$B$6:$M$6,0))</f>
        <v>744.12903225806451</v>
      </c>
      <c r="BT68" s="4">
        <f t="shared" si="82"/>
        <v>0.91909934201514787</v>
      </c>
      <c r="BU68" s="91">
        <f t="shared" si="99"/>
        <v>0.53818657839842299</v>
      </c>
      <c r="BV68" s="104">
        <f t="shared" si="100"/>
        <v>0.93979947166469135</v>
      </c>
      <c r="BW68" s="91">
        <f t="shared" si="101"/>
        <v>0.55030771856164595</v>
      </c>
    </row>
    <row r="69" spans="2:100" ht="16.5">
      <c r="C69" s="7"/>
      <c r="D69" s="38">
        <v>15</v>
      </c>
      <c r="E69" s="86">
        <f>E63</f>
        <v>32487</v>
      </c>
      <c r="F69" s="37">
        <f t="shared" si="83"/>
        <v>0.90745810055865916</v>
      </c>
      <c r="G69" s="38">
        <f t="shared" ref="G69:N69" si="112">G63</f>
        <v>27543</v>
      </c>
      <c r="H69" s="37">
        <f t="shared" si="112"/>
        <v>0.76935754189944139</v>
      </c>
      <c r="I69" s="37">
        <f t="shared" si="112"/>
        <v>7.8460815764432867E-2</v>
      </c>
      <c r="J69" s="38">
        <f t="shared" si="112"/>
        <v>25701</v>
      </c>
      <c r="K69" s="37">
        <f t="shared" si="112"/>
        <v>0.93312275351268925</v>
      </c>
      <c r="L69" s="7">
        <f t="shared" si="84"/>
        <v>1308.9411815695366</v>
      </c>
      <c r="M69" s="41">
        <f t="shared" si="112"/>
        <v>23475</v>
      </c>
      <c r="N69" s="37">
        <f t="shared" si="112"/>
        <v>0.91338858410178592</v>
      </c>
      <c r="O69" s="50">
        <f t="shared" si="85"/>
        <v>7310.6066484931698</v>
      </c>
      <c r="P69" s="91">
        <f>P63</f>
        <v>0.65572625698324027</v>
      </c>
      <c r="Q69" s="7">
        <f>INDEX(Daggett!$B$7:$M$21, MATCH(D69,Daggett!$A$7:$A$21,0), MATCH(B$62,Daggett!$B$6:$M$6,0))</f>
        <v>701.32258064516134</v>
      </c>
      <c r="R69" s="4">
        <f t="shared" si="102"/>
        <v>0.92334679574305811</v>
      </c>
      <c r="S69" s="91">
        <f t="shared" si="86"/>
        <v>0.60546273827006403</v>
      </c>
      <c r="T69" s="104">
        <f t="shared" si="104"/>
        <v>0.9462413769758008</v>
      </c>
      <c r="U69" s="91">
        <f t="shared" si="87"/>
        <v>0.62047531632700914</v>
      </c>
      <c r="AD69" s="7"/>
      <c r="AE69" s="38">
        <v>15</v>
      </c>
      <c r="AF69" s="86">
        <v>35400</v>
      </c>
      <c r="AG69" s="37">
        <f t="shared" si="88"/>
        <v>0.98882681564245811</v>
      </c>
      <c r="AH69" s="38">
        <v>27841</v>
      </c>
      <c r="AI69" s="37">
        <f t="shared" si="77"/>
        <v>0.77768156424581003</v>
      </c>
      <c r="AJ69" s="37">
        <f t="shared" si="89"/>
        <v>0.14514247113731271</v>
      </c>
      <c r="AK69" s="38">
        <v>26338</v>
      </c>
      <c r="AL69" s="37">
        <f t="shared" si="90"/>
        <v>0.94601487015552599</v>
      </c>
      <c r="AM69" s="7">
        <f t="shared" si="78"/>
        <v>1341.3833251693886</v>
      </c>
      <c r="AN69" s="41">
        <v>23858</v>
      </c>
      <c r="AO69" s="37">
        <f t="shared" si="91"/>
        <v>0.90583947148606581</v>
      </c>
      <c r="AP69" s="50">
        <f t="shared" si="79"/>
        <v>7429.8808698509074</v>
      </c>
      <c r="AQ69" s="91">
        <f t="shared" si="92"/>
        <v>0.66642458100558655</v>
      </c>
      <c r="AR69" s="7">
        <f>INDEX(Daggett!$B$7:$M$21, MATCH(AE69,Daggett!$A$7:$A$21,0), MATCH(AC$62,Daggett!$B$6:$M$6,0))</f>
        <v>701.32258064516134</v>
      </c>
      <c r="AS69" s="4">
        <f t="shared" si="80"/>
        <v>0.92457733381122842</v>
      </c>
      <c r="AT69" s="91">
        <f t="shared" si="93"/>
        <v>0.61616106229241019</v>
      </c>
      <c r="AU69" s="104">
        <f t="shared" si="94"/>
        <v>0.94710438110935213</v>
      </c>
      <c r="AV69" s="91">
        <f t="shared" si="95"/>
        <v>0.6311736403493553</v>
      </c>
      <c r="BE69" s="7"/>
      <c r="BF69" s="38">
        <v>15</v>
      </c>
      <c r="BG69" s="86">
        <f>AF63</f>
        <v>25869</v>
      </c>
      <c r="BH69" s="37">
        <f t="shared" si="96"/>
        <v>0.72259776536312847</v>
      </c>
      <c r="BI69" s="38">
        <f t="shared" ref="BI69:BP69" si="113">AH63</f>
        <v>23364</v>
      </c>
      <c r="BJ69" s="37">
        <f t="shared" si="113"/>
        <v>0.6526256983240224</v>
      </c>
      <c r="BK69" s="37">
        <f t="shared" si="113"/>
        <v>1.8297878777183363E-2</v>
      </c>
      <c r="BL69" s="38">
        <f t="shared" si="113"/>
        <v>19454</v>
      </c>
      <c r="BM69" s="37">
        <f t="shared" si="113"/>
        <v>0.83264851908919701</v>
      </c>
      <c r="BN69" s="7">
        <f t="shared" si="113"/>
        <v>990.78408413111424</v>
      </c>
      <c r="BO69" s="38">
        <f t="shared" si="113"/>
        <v>17703</v>
      </c>
      <c r="BP69" s="37">
        <f t="shared" si="113"/>
        <v>0.90999280353654777</v>
      </c>
      <c r="BQ69" s="50">
        <f>AP63</f>
        <v>5513.0849626528043</v>
      </c>
      <c r="BR69" s="91">
        <f t="shared" si="98"/>
        <v>0.49449720670391062</v>
      </c>
      <c r="BS69" s="103">
        <f>INDEX(Daggett!$B$7:$M$21, MATCH(BF69,Daggett!$A$7:$A$21,0), MATCH(BD$62,Daggett!$B$6:$M$6,0))</f>
        <v>701.32258064516134</v>
      </c>
      <c r="BT69" s="4">
        <f t="shared" si="82"/>
        <v>0.89835429193177929</v>
      </c>
      <c r="BU69" s="91">
        <f t="shared" si="99"/>
        <v>0.44423368799073432</v>
      </c>
      <c r="BV69" s="104">
        <f t="shared" si="100"/>
        <v>0.92871356970609076</v>
      </c>
      <c r="BW69" s="91">
        <f t="shared" si="101"/>
        <v>0.45924626604767949</v>
      </c>
      <c r="CR69" s="1" t="s">
        <v>135</v>
      </c>
      <c r="CS69" s="2">
        <v>35</v>
      </c>
      <c r="CT69" s="70" t="s">
        <v>136</v>
      </c>
      <c r="CU69">
        <v>35</v>
      </c>
    </row>
    <row r="70" spans="2:100">
      <c r="C70" s="7" t="s">
        <v>162</v>
      </c>
      <c r="D70" s="38">
        <v>16</v>
      </c>
      <c r="E70" s="86">
        <f>E62</f>
        <v>30529</v>
      </c>
      <c r="F70" s="37">
        <f t="shared" si="83"/>
        <v>0.8527653631284916</v>
      </c>
      <c r="G70" s="38">
        <f t="shared" ref="G70:N70" si="114">G62</f>
        <v>22633</v>
      </c>
      <c r="H70" s="37">
        <f t="shared" si="114"/>
        <v>0.63220670391061451</v>
      </c>
      <c r="I70" s="37">
        <f t="shared" si="114"/>
        <v>0.19417318102388748</v>
      </c>
      <c r="J70" s="38">
        <f t="shared" si="114"/>
        <v>20702</v>
      </c>
      <c r="K70" s="37">
        <f t="shared" si="114"/>
        <v>0.91468210135642647</v>
      </c>
      <c r="L70" s="7">
        <f t="shared" si="84"/>
        <v>1054.3442022042934</v>
      </c>
      <c r="M70" s="41">
        <f t="shared" si="114"/>
        <v>18784</v>
      </c>
      <c r="N70" s="37">
        <f t="shared" si="114"/>
        <v>0.90735194667181918</v>
      </c>
      <c r="O70" s="50">
        <f t="shared" si="85"/>
        <v>5849.7310025685074</v>
      </c>
      <c r="P70" s="91">
        <f>P62</f>
        <v>0.52469273743016764</v>
      </c>
      <c r="Q70" s="7">
        <f>INDEX(Daggett!$B$7:$M$21, MATCH(D70,Daggett!$A$7:$A$21,0), MATCH(B$62,Daggett!$B$6:$M$6,0))</f>
        <v>624.19354838709683</v>
      </c>
      <c r="R70" s="4">
        <f t="shared" si="102"/>
        <v>0.89236676785706526</v>
      </c>
      <c r="S70" s="91">
        <f t="shared" si="86"/>
        <v>0.4682183622186345</v>
      </c>
      <c r="T70" s="104">
        <f t="shared" si="104"/>
        <v>0.93281603090432941</v>
      </c>
      <c r="U70" s="91">
        <f t="shared" si="87"/>
        <v>0.48944179677393646</v>
      </c>
      <c r="AD70" s="7" t="s">
        <v>162</v>
      </c>
      <c r="AE70" s="38">
        <v>16</v>
      </c>
      <c r="AF70" s="86">
        <v>34973</v>
      </c>
      <c r="AG70" s="37">
        <f t="shared" si="88"/>
        <v>0.9768994413407821</v>
      </c>
      <c r="AH70" s="38">
        <v>23834</v>
      </c>
      <c r="AI70" s="37">
        <f t="shared" si="77"/>
        <v>0.66575418994413404</v>
      </c>
      <c r="AJ70" s="37">
        <f t="shared" si="89"/>
        <v>0.25924222288249688</v>
      </c>
      <c r="AK70" s="38">
        <v>22540</v>
      </c>
      <c r="AL70" s="37">
        <f t="shared" si="90"/>
        <v>0.94570781236888479</v>
      </c>
      <c r="AM70" s="7">
        <f t="shared" si="78"/>
        <v>1147.9527735332226</v>
      </c>
      <c r="AN70" s="41">
        <v>20353</v>
      </c>
      <c r="AO70" s="37">
        <f t="shared" si="91"/>
        <v>0.90297249334516416</v>
      </c>
      <c r="AP70" s="50">
        <f t="shared" si="79"/>
        <v>6338.3504629086892</v>
      </c>
      <c r="AQ70" s="91">
        <f t="shared" si="92"/>
        <v>0.56851955307262569</v>
      </c>
      <c r="AR70" s="7">
        <f>INDEX(Daggett!$B$7:$M$21, MATCH(AE70,Daggett!$A$7:$A$21,0), MATCH(AC$62,Daggett!$B$6:$M$6,0))</f>
        <v>624.19354838709683</v>
      </c>
      <c r="AS70" s="4">
        <f t="shared" si="80"/>
        <v>0.90066414619108304</v>
      </c>
      <c r="AT70" s="91">
        <f t="shared" si="93"/>
        <v>0.51204517786109249</v>
      </c>
      <c r="AU70" s="104">
        <f t="shared" si="94"/>
        <v>0.93799520092895028</v>
      </c>
      <c r="AV70" s="91">
        <f t="shared" si="95"/>
        <v>0.53326861241639456</v>
      </c>
      <c r="BE70" s="7" t="s">
        <v>162</v>
      </c>
      <c r="BF70" s="38">
        <v>16</v>
      </c>
      <c r="BG70" s="86">
        <f>AF62</f>
        <v>22537</v>
      </c>
      <c r="BH70" s="37">
        <f t="shared" si="96"/>
        <v>0.6295251396648045</v>
      </c>
      <c r="BI70" s="38">
        <f t="shared" ref="BI70:BP70" si="115">AH62</f>
        <v>19691</v>
      </c>
      <c r="BJ70" s="37">
        <f t="shared" si="115"/>
        <v>0.55002793296089381</v>
      </c>
      <c r="BK70" s="37">
        <f t="shared" si="115"/>
        <v>5.0305680899622063E-2</v>
      </c>
      <c r="BL70" s="38">
        <f t="shared" si="115"/>
        <v>14851</v>
      </c>
      <c r="BM70" s="37">
        <f t="shared" si="115"/>
        <v>0.75420242750495148</v>
      </c>
      <c r="BN70" s="7">
        <f t="shared" si="115"/>
        <v>756.355219154476</v>
      </c>
      <c r="BO70" s="38">
        <f t="shared" si="115"/>
        <v>13506</v>
      </c>
      <c r="BP70" s="37">
        <f t="shared" si="115"/>
        <v>0.90943370816780011</v>
      </c>
      <c r="BQ70" s="50">
        <f>AP62</f>
        <v>4206.0512628135784</v>
      </c>
      <c r="BR70" s="91">
        <f t="shared" si="98"/>
        <v>0.37726256983240225</v>
      </c>
      <c r="BS70" s="103">
        <f>INDEX(Daggett!$B$7:$M$21, MATCH(BF70,Daggett!$A$7:$A$21,0), MATCH(BD$62,Daggett!$B$6:$M$6,0))</f>
        <v>624.19354838709683</v>
      </c>
      <c r="BT70" s="4">
        <f t="shared" si="82"/>
        <v>0.85030485468881334</v>
      </c>
      <c r="BU70" s="91">
        <f t="shared" si="99"/>
        <v>0.3207881946208691</v>
      </c>
      <c r="BV70" s="104">
        <f t="shared" si="100"/>
        <v>0.90656125607188831</v>
      </c>
      <c r="BW70" s="91">
        <f t="shared" si="101"/>
        <v>0.34201162917617106</v>
      </c>
      <c r="CQ70" s="2"/>
      <c r="CR70" s="2" t="s">
        <v>164</v>
      </c>
      <c r="CS70" s="2" t="s">
        <v>165</v>
      </c>
    </row>
    <row r="71" spans="2:100">
      <c r="C71" s="7">
        <f>ROW(D71)-ROW(D61)+1</f>
        <v>11</v>
      </c>
      <c r="D71" s="38">
        <v>17</v>
      </c>
      <c r="E71" s="86">
        <f>E61</f>
        <v>28077</v>
      </c>
      <c r="F71" s="37">
        <f t="shared" si="83"/>
        <v>0.78427374301675978</v>
      </c>
      <c r="G71" s="38">
        <f t="shared" ref="G71:N71" si="116">G61</f>
        <v>14217</v>
      </c>
      <c r="H71" s="37">
        <f t="shared" si="116"/>
        <v>0.39712290502793296</v>
      </c>
      <c r="I71" s="37">
        <f t="shared" si="116"/>
        <v>0.44961139475139023</v>
      </c>
      <c r="J71" s="38">
        <f t="shared" si="116"/>
        <v>12199</v>
      </c>
      <c r="K71" s="37">
        <f t="shared" si="116"/>
        <v>0.85805725539846667</v>
      </c>
      <c r="L71" s="7">
        <f t="shared" si="84"/>
        <v>621.28996824897001</v>
      </c>
      <c r="M71" s="41">
        <f t="shared" si="116"/>
        <v>10924</v>
      </c>
      <c r="N71" s="37">
        <f t="shared" si="116"/>
        <v>0.89548323633084681</v>
      </c>
      <c r="O71" s="50">
        <f t="shared" si="85"/>
        <v>3401.9623867152031</v>
      </c>
      <c r="P71" s="91">
        <f>P61</f>
        <v>0.30513966480446925</v>
      </c>
      <c r="Q71" s="7">
        <f>INDEX(Daggett!$B$7:$M$21, MATCH(D71,Daggett!$A$7:$A$21,0), MATCH(B$62,Daggett!$B$6:$M$6,0))</f>
        <v>510.51612903225805</v>
      </c>
      <c r="R71" s="4">
        <f>IF(1-$H$7*(($H$5+273)^4-298^4)*(PI()*$C$19^2)*1000/(M71*Q71*1000)&lt;0,#N/A,1-$H$7*(($H$5+273)^4-298^4)*(PI()*$C$19^2)*1000/(M71*Q71*1000))</f>
        <v>0.77371145079822568</v>
      </c>
      <c r="S71" s="91">
        <f t="shared" si="86"/>
        <v>0.23609005275195019</v>
      </c>
      <c r="T71" s="104">
        <f t="shared" si="104"/>
        <v>0.88447604581718453</v>
      </c>
      <c r="U71" s="91">
        <f t="shared" si="87"/>
        <v>0.26988872414823806</v>
      </c>
      <c r="AD71" s="7">
        <f>ROW(AE71)-ROW(AE61)+1</f>
        <v>11</v>
      </c>
      <c r="AE71" s="38">
        <v>17</v>
      </c>
      <c r="AF71" s="86">
        <v>33954</v>
      </c>
      <c r="AG71" s="37">
        <f t="shared" si="88"/>
        <v>0.94843575418994408</v>
      </c>
      <c r="AH71" s="38">
        <v>14954</v>
      </c>
      <c r="AI71" s="37">
        <f>AH71/$C$10</f>
        <v>0.41770949720670392</v>
      </c>
      <c r="AJ71" s="37">
        <f>1-AH71/(AF71*$C$8)</f>
        <v>0.52128327071664726</v>
      </c>
      <c r="AK71" s="38">
        <v>13475</v>
      </c>
      <c r="AL71" s="37">
        <f>AK71/AH71</f>
        <v>0.90109669653604385</v>
      </c>
      <c r="AM71" s="7">
        <f t="shared" si="78"/>
        <v>686.27611461225263</v>
      </c>
      <c r="AN71" s="41">
        <v>11894</v>
      </c>
      <c r="AO71" s="37">
        <f t="shared" si="91"/>
        <v>0.88267161410018558</v>
      </c>
      <c r="AP71" s="50">
        <f t="shared" si="79"/>
        <v>3704.0407019032064</v>
      </c>
      <c r="AQ71" s="91">
        <f t="shared" si="92"/>
        <v>0.33223463687150839</v>
      </c>
      <c r="AR71" s="7">
        <f>INDEX(Daggett!$B$7:$M$21, MATCH(AE71,Daggett!$A$7:$A$21,0), MATCH(AC$62,Daggett!$B$6:$M$6,0))</f>
        <v>510.51612903225805</v>
      </c>
      <c r="AS71" s="4">
        <f t="shared" si="80"/>
        <v>0.79216612481249526</v>
      </c>
      <c r="AT71" s="91">
        <f t="shared" si="93"/>
        <v>0.26318502481898937</v>
      </c>
      <c r="AU71" s="104">
        <f>IF(1-$H$7*(($H$5+273)^4-298^4)/(AP71*1000)&lt;0,#N/A,1-$H$7*(($H$5+273)^4-298^4)/(AP71*1000))</f>
        <v>0.89389745455750158</v>
      </c>
      <c r="AV71" s="91">
        <f t="shared" si="95"/>
        <v>0.2969836962152772</v>
      </c>
      <c r="BE71" s="7">
        <f>ROW(BF71)-ROW(BF61)+1</f>
        <v>11</v>
      </c>
      <c r="BF71" s="38">
        <v>17</v>
      </c>
      <c r="BG71" s="86">
        <f>AF61</f>
        <v>18847</v>
      </c>
      <c r="BH71" s="37">
        <f t="shared" si="96"/>
        <v>0.52645251396648041</v>
      </c>
      <c r="BI71" s="38">
        <f t="shared" ref="BI71:BP71" si="117">AH61</f>
        <v>12548</v>
      </c>
      <c r="BJ71" s="37">
        <f t="shared" si="117"/>
        <v>0.35050279329608941</v>
      </c>
      <c r="BK71" s="37">
        <f t="shared" si="117"/>
        <v>0.27632352975101571</v>
      </c>
      <c r="BL71" s="38">
        <f t="shared" si="117"/>
        <v>8203</v>
      </c>
      <c r="BM71" s="37">
        <f t="shared" si="117"/>
        <v>0.65372967803634041</v>
      </c>
      <c r="BN71" s="7">
        <f t="shared" si="117"/>
        <v>417.77535941850158</v>
      </c>
      <c r="BO71" s="38">
        <f t="shared" si="117"/>
        <v>7384</v>
      </c>
      <c r="BP71" s="37">
        <f t="shared" si="117"/>
        <v>0.90015847860538822</v>
      </c>
      <c r="BQ71" s="50">
        <f>AP61</f>
        <v>2299.5322467507376</v>
      </c>
      <c r="BR71" s="91">
        <f t="shared" si="98"/>
        <v>0.20625698324022346</v>
      </c>
      <c r="BS71" s="103">
        <f>INDEX(Daggett!$B$7:$M$21, MATCH(BF71,Daggett!$A$7:$A$21,0), MATCH(BD$62,Daggett!$B$6:$M$6,0))</f>
        <v>510.51612903225805</v>
      </c>
      <c r="BT71" s="4">
        <f t="shared" si="82"/>
        <v>0.6652253370151433</v>
      </c>
      <c r="BU71" s="91">
        <f t="shared" si="99"/>
        <v>0.1372073711877044</v>
      </c>
      <c r="BV71" s="104">
        <f t="shared" si="100"/>
        <v>0.8290921349548922</v>
      </c>
      <c r="BW71" s="91">
        <f t="shared" si="101"/>
        <v>0.1710060425839923</v>
      </c>
      <c r="CQ71" s="2">
        <v>1000</v>
      </c>
      <c r="CR71" s="7">
        <v>1333.7560623518289</v>
      </c>
      <c r="CS71" s="4">
        <v>0.47853945754698468</v>
      </c>
    </row>
    <row r="72" spans="2:100">
      <c r="E72" s="87"/>
      <c r="P72" s="88"/>
      <c r="S72" s="88"/>
      <c r="T72" s="87"/>
      <c r="U72" s="88"/>
      <c r="AF72" s="87"/>
      <c r="AQ72" s="88"/>
      <c r="AT72" s="88"/>
      <c r="AU72" s="87"/>
      <c r="AV72" s="88"/>
      <c r="BG72" s="87"/>
      <c r="BR72" s="88"/>
      <c r="BS72" s="87"/>
      <c r="BU72" s="88"/>
      <c r="BV72" s="87"/>
      <c r="BW72" s="88"/>
      <c r="CQ72" s="2">
        <v>1100</v>
      </c>
      <c r="CR72" s="7">
        <v>1312.7912222073494</v>
      </c>
      <c r="CS72" s="4">
        <v>0.47101746494767233</v>
      </c>
    </row>
    <row r="73" spans="2:100">
      <c r="E73" s="87"/>
      <c r="P73" s="88"/>
      <c r="S73" s="88"/>
      <c r="T73" s="87"/>
      <c r="U73" s="88"/>
      <c r="AF73" s="87"/>
      <c r="AQ73" s="88"/>
      <c r="AT73" s="88"/>
      <c r="AU73" s="87"/>
      <c r="AV73" s="88"/>
      <c r="BG73" s="87"/>
      <c r="BR73" s="88"/>
      <c r="BS73" s="87"/>
      <c r="BU73" s="88"/>
      <c r="BV73" s="87"/>
      <c r="BW73" s="88"/>
      <c r="CQ73" s="2">
        <v>1200</v>
      </c>
      <c r="CR73" s="7">
        <v>1286.7091126043535</v>
      </c>
      <c r="CS73" s="4">
        <v>0.46165944294244138</v>
      </c>
    </row>
    <row r="74" spans="2:100">
      <c r="E74" s="87"/>
      <c r="P74" s="88"/>
      <c r="S74" s="88"/>
      <c r="T74" s="87"/>
      <c r="U74" s="88"/>
      <c r="AF74" s="87"/>
      <c r="AQ74" s="88"/>
      <c r="AT74" s="88"/>
      <c r="AU74" s="87"/>
      <c r="AV74" s="88"/>
      <c r="BG74" s="87"/>
      <c r="BR74" s="88"/>
      <c r="BS74" s="87"/>
      <c r="BU74" s="88"/>
      <c r="BV74" s="87"/>
      <c r="BW74" s="88"/>
      <c r="CQ74" s="2">
        <v>1300</v>
      </c>
      <c r="CR74" s="7">
        <v>1254.7378561670228</v>
      </c>
      <c r="CS74" s="4">
        <v>0.45018844899948751</v>
      </c>
    </row>
    <row r="75" spans="2:100" ht="49.5">
      <c r="B75" s="34"/>
      <c r="C75" s="63" t="s">
        <v>151</v>
      </c>
      <c r="D75" s="63" t="s">
        <v>89</v>
      </c>
      <c r="E75" s="89" t="s">
        <v>152</v>
      </c>
      <c r="F75" s="34" t="s">
        <v>125</v>
      </c>
      <c r="G75" s="63" t="s">
        <v>153</v>
      </c>
      <c r="H75" s="33" t="s">
        <v>154</v>
      </c>
      <c r="I75" s="34" t="s">
        <v>155</v>
      </c>
      <c r="J75" s="85" t="s">
        <v>156</v>
      </c>
      <c r="K75" s="35" t="s">
        <v>157</v>
      </c>
      <c r="L75" s="35" t="s">
        <v>158</v>
      </c>
      <c r="M75" s="85" t="s">
        <v>159</v>
      </c>
      <c r="N75" s="35" t="s">
        <v>72</v>
      </c>
      <c r="O75" s="35" t="s">
        <v>160</v>
      </c>
      <c r="P75" s="100" t="s">
        <v>129</v>
      </c>
      <c r="Q75" s="138" t="s">
        <v>161</v>
      </c>
      <c r="R75" s="67" t="s">
        <v>130</v>
      </c>
      <c r="S75" s="100" t="s">
        <v>131</v>
      </c>
      <c r="T75" s="107" t="s">
        <v>130</v>
      </c>
      <c r="U75" s="100" t="s">
        <v>131</v>
      </c>
      <c r="AC75" s="34"/>
      <c r="AD75" s="63" t="s">
        <v>151</v>
      </c>
      <c r="AE75" s="63" t="s">
        <v>89</v>
      </c>
      <c r="AF75" s="89" t="s">
        <v>152</v>
      </c>
      <c r="AG75" s="34" t="s">
        <v>125</v>
      </c>
      <c r="AH75" s="63" t="s">
        <v>153</v>
      </c>
      <c r="AI75" s="33" t="s">
        <v>154</v>
      </c>
      <c r="AJ75" s="34" t="s">
        <v>155</v>
      </c>
      <c r="AK75" s="85" t="s">
        <v>156</v>
      </c>
      <c r="AL75" s="35" t="s">
        <v>157</v>
      </c>
      <c r="AM75" s="35" t="s">
        <v>158</v>
      </c>
      <c r="AN75" s="85" t="s">
        <v>159</v>
      </c>
      <c r="AO75" s="35" t="s">
        <v>72</v>
      </c>
      <c r="AP75" s="35" t="s">
        <v>160</v>
      </c>
      <c r="AQ75" s="100" t="s">
        <v>129</v>
      </c>
      <c r="AR75" s="138" t="s">
        <v>161</v>
      </c>
      <c r="AS75" s="67" t="s">
        <v>130</v>
      </c>
      <c r="AT75" s="100" t="s">
        <v>131</v>
      </c>
      <c r="AU75" s="107" t="s">
        <v>130</v>
      </c>
      <c r="AV75" s="100" t="s">
        <v>131</v>
      </c>
      <c r="BD75" s="34"/>
      <c r="BE75" s="63" t="s">
        <v>151</v>
      </c>
      <c r="BF75" s="63" t="s">
        <v>89</v>
      </c>
      <c r="BG75" s="89" t="s">
        <v>152</v>
      </c>
      <c r="BH75" s="34" t="s">
        <v>125</v>
      </c>
      <c r="BI75" s="63" t="s">
        <v>153</v>
      </c>
      <c r="BJ75" s="33" t="s">
        <v>154</v>
      </c>
      <c r="BK75" s="34" t="s">
        <v>155</v>
      </c>
      <c r="BL75" s="85" t="s">
        <v>156</v>
      </c>
      <c r="BM75" s="35" t="s">
        <v>157</v>
      </c>
      <c r="BN75" s="35" t="s">
        <v>158</v>
      </c>
      <c r="BO75" s="85" t="s">
        <v>159</v>
      </c>
      <c r="BP75" s="35" t="s">
        <v>72</v>
      </c>
      <c r="BQ75" s="35" t="s">
        <v>160</v>
      </c>
      <c r="BR75" s="100" t="s">
        <v>129</v>
      </c>
      <c r="BS75" s="144" t="s">
        <v>161</v>
      </c>
      <c r="BT75" s="67" t="s">
        <v>130</v>
      </c>
      <c r="BU75" s="100" t="s">
        <v>131</v>
      </c>
      <c r="BV75" s="107" t="s">
        <v>130</v>
      </c>
      <c r="BW75" s="100" t="s">
        <v>131</v>
      </c>
      <c r="CQ75" s="2">
        <v>1400</v>
      </c>
      <c r="CR75" s="7">
        <v>1216.0513325556706</v>
      </c>
      <c r="CS75" s="4">
        <v>0.43630807870845328</v>
      </c>
    </row>
    <row r="76" spans="2:100">
      <c r="B76" s="2" t="s">
        <v>88</v>
      </c>
      <c r="C76" s="7">
        <v>112</v>
      </c>
      <c r="D76" s="38">
        <v>7</v>
      </c>
      <c r="E76" s="86">
        <v>27392</v>
      </c>
      <c r="F76" s="37">
        <f t="shared" ref="F76:F86" si="118">E76/$C$10</f>
        <v>0.76513966480446927</v>
      </c>
      <c r="G76" s="38">
        <v>15089</v>
      </c>
      <c r="H76" s="37">
        <f t="shared" ref="H76:H81" si="119">G76/$C$10</f>
        <v>0.4214804469273743</v>
      </c>
      <c r="I76" s="37">
        <f t="shared" ref="I76:I81" si="120">1-G76/(E76*$C$8)</f>
        <v>0.40124536519707432</v>
      </c>
      <c r="J76" s="38">
        <v>12932</v>
      </c>
      <c r="K76" s="37">
        <f t="shared" ref="K76:K81" si="121">J76/G76</f>
        <v>0.85704818079395584</v>
      </c>
      <c r="L76" s="7">
        <f t="shared" ref="L76:L81" si="122">J76/(PI()*$C$18^2)</f>
        <v>658.62135170060492</v>
      </c>
      <c r="M76" s="41">
        <v>11588</v>
      </c>
      <c r="N76" s="37">
        <f t="shared" ref="N76:N81" si="123">M76/J76</f>
        <v>0.89607175997525523</v>
      </c>
      <c r="O76" s="50">
        <f t="shared" ref="O76:O81" si="124">M76/(PI()*$C$19^2)</f>
        <v>3608.7458931944134</v>
      </c>
      <c r="P76" s="91">
        <f t="shared" ref="P76:P81" si="125">M76/$C$10</f>
        <v>0.32368715083798882</v>
      </c>
      <c r="Q76" s="7">
        <f>INDEX(Daggett!$B$7:$M$21, MATCH(D76,Daggett!$A$7:$A$21,0), MATCH(B$77,Daggett!$B$6:$M$6,0))</f>
        <v>510.9</v>
      </c>
      <c r="R76" s="4">
        <f t="shared" ref="R76:R86" si="126">IF(1-$H$7*(($H$5+273)^4-298^4)*(PI()*$C$19^2)*1000/(M76*Q76*1000)&lt;0,#N/A,1-$H$7*(($H$5+273)^4-298^4)*(PI()*$C$19^2)*1000/(M76*Q76*1000))</f>
        <v>0.78683821522479325</v>
      </c>
      <c r="S76" s="91">
        <f>R76*P76</f>
        <v>0.25468942005656159</v>
      </c>
      <c r="T76" s="104">
        <f>IF(1-$H$7*(($H$5+273)^4-298^4)/(O76*1000)&lt;0,#N/A,1-$H$7*(($H$5+273)^4-298^4)/(O76*1000))</f>
        <v>0.89109564415834686</v>
      </c>
      <c r="U76" s="91">
        <f>T76*P76</f>
        <v>0.28843621018175764</v>
      </c>
      <c r="AC76" s="2" t="s">
        <v>88</v>
      </c>
      <c r="AD76" s="7">
        <v>112</v>
      </c>
      <c r="AE76" s="38">
        <v>7</v>
      </c>
      <c r="AF76" s="86">
        <v>19268</v>
      </c>
      <c r="AG76" s="37">
        <f>AF76/$C$10</f>
        <v>0.53821229050279329</v>
      </c>
      <c r="AH76" s="38">
        <v>14235</v>
      </c>
      <c r="AI76" s="37">
        <f t="shared" ref="AI76:AI86" si="127">AH76/$C$10</f>
        <v>0.39762569832402234</v>
      </c>
      <c r="AJ76" s="37">
        <f>1-AH76/(AF76*$C$8)</f>
        <v>0.19696771398398794</v>
      </c>
      <c r="AK76" s="38">
        <v>9494</v>
      </c>
      <c r="AL76" s="37">
        <f>AK76/AH76</f>
        <v>0.66694766420793816</v>
      </c>
      <c r="AM76" s="7">
        <f t="shared" ref="AM76:AM86" si="128">AK76/(PI()*$C$18^2)</f>
        <v>483.5254495086254</v>
      </c>
      <c r="AN76" s="41">
        <v>8566</v>
      </c>
      <c r="AO76" s="37">
        <f>AN76/AK76</f>
        <v>0.90225405519275337</v>
      </c>
      <c r="AP76" s="50">
        <f t="shared" ref="AP76:AP86" si="129">AN76/(PI()*$C$19^2)</f>
        <v>2667.6318019592118</v>
      </c>
      <c r="AQ76" s="91">
        <f>AN76/$C$10</f>
        <v>0.23927374301675977</v>
      </c>
      <c r="AR76" s="7">
        <f>INDEX(Daggett!$B$7:$M$21, MATCH(AE76,Daggett!$A$7:$A$21,0), MATCH(AC$77,Daggett!$B$6:$M$6,0))</f>
        <v>510.9</v>
      </c>
      <c r="AS76" s="4">
        <f t="shared" ref="AS76:AS86" si="130">IF(1-$H$7*(($H$5+273)^4-298^4)*(PI()*$C$19^2)*1000/(AN76*AR76*1000)&lt;0,#N/A,1-$H$7*(($H$5+273)^4-298^4)*(PI()*$C$19^2)*1000/(AN76*AR76*1000))</f>
        <v>0.71163684777316183</v>
      </c>
      <c r="AT76" s="91">
        <f>AS76*AQ76</f>
        <v>0.17027601223533251</v>
      </c>
      <c r="AU76" s="104">
        <f>IF(1-$H$7*(($H$5+273)^4-298^4)/(AP76*1000)&lt;0,#N/A,1-$H$7*(($H$5+273)^4-298^4)/(AP76*1000))</f>
        <v>0.85267526552730843</v>
      </c>
      <c r="AV76" s="91">
        <f>AU76*AQ76</f>
        <v>0.20402280236052861</v>
      </c>
      <c r="BD76" s="2" t="s">
        <v>88</v>
      </c>
      <c r="BE76" s="7">
        <v>112</v>
      </c>
      <c r="BF76" s="38">
        <v>7</v>
      </c>
      <c r="BG76" s="86">
        <f>AF86</f>
        <v>33957</v>
      </c>
      <c r="BH76" s="37">
        <f>BG76/$C$10</f>
        <v>0.9485195530726257</v>
      </c>
      <c r="BI76" s="38">
        <f t="shared" ref="BI76:BQ76" si="131">AH86</f>
        <v>16174</v>
      </c>
      <c r="BJ76" s="37">
        <f t="shared" si="131"/>
        <v>0.4517877094972067</v>
      </c>
      <c r="BK76" s="37">
        <f t="shared" si="131"/>
        <v>0.48227361714495698</v>
      </c>
      <c r="BL76" s="38">
        <f t="shared" si="131"/>
        <v>15270</v>
      </c>
      <c r="BM76" s="37">
        <f t="shared" si="131"/>
        <v>0.94410782737727217</v>
      </c>
      <c r="BN76" s="7">
        <f t="shared" si="131"/>
        <v>777.69471392423736</v>
      </c>
      <c r="BO76" s="38">
        <f t="shared" si="131"/>
        <v>13513</v>
      </c>
      <c r="BP76" s="37">
        <f t="shared" si="131"/>
        <v>0.88493778650949573</v>
      </c>
      <c r="BQ76" s="50">
        <f t="shared" si="131"/>
        <v>4208.2312094180279</v>
      </c>
      <c r="BR76" s="91">
        <f t="shared" ref="BR76:BR86" si="132">BO76/$C$10</f>
        <v>0.37745810055865919</v>
      </c>
      <c r="BS76" s="103">
        <f>INDEX(Daggett!$B$7:$M$21, MATCH(BF76,Daggett!$A$7:$A$21,0), MATCH(BD$77,Daggett!$B$6:$M$6,0))</f>
        <v>510.9</v>
      </c>
      <c r="BT76" s="4">
        <f t="shared" ref="BT76:BT86" si="133">IF(1-$H$7*(($H$5+273)^4-298^4)*(PI()*$C$19^2)*1000/(BO76*BS76*1000)&lt;0,#N/A,1-$H$7*(($H$5+273)^4-298^4)*(PI()*$C$19^2)*1000/(BO76*BS76*1000))</f>
        <v>0.81720426537592727</v>
      </c>
      <c r="BU76" s="91">
        <f t="shared" ref="BU76:BU86" si="134">BT76*BR76</f>
        <v>0.30846036977723196</v>
      </c>
      <c r="BV76" s="104">
        <f>IF(1-$H$7*(($H$5+273)^4-298^4)/(BQ76*1000)&lt;0,#N/A,1-$H$7*(($H$5+273)^4-298^4)/(BQ76*1000))</f>
        <v>0.90660965918056124</v>
      </c>
      <c r="BW76" s="91">
        <f>BV76*BR76</f>
        <v>0.342207159902428</v>
      </c>
      <c r="CQ76" s="2">
        <v>1500</v>
      </c>
      <c r="CR76" s="7">
        <v>1169.7691784667454</v>
      </c>
      <c r="CS76" s="4">
        <v>0.41970246578042908</v>
      </c>
    </row>
    <row r="77" spans="2:100">
      <c r="B77" s="2">
        <v>4</v>
      </c>
      <c r="D77" s="38">
        <v>8</v>
      </c>
      <c r="E77" s="86">
        <v>29852</v>
      </c>
      <c r="F77" s="37">
        <f t="shared" si="118"/>
        <v>0.83385474860335196</v>
      </c>
      <c r="G77" s="38">
        <v>23162</v>
      </c>
      <c r="H77" s="37">
        <f t="shared" si="119"/>
        <v>0.64698324022346365</v>
      </c>
      <c r="I77" s="37">
        <f t="shared" si="120"/>
        <v>0.15663650822317632</v>
      </c>
      <c r="J77" s="38">
        <v>20989</v>
      </c>
      <c r="K77" s="37">
        <f t="shared" si="121"/>
        <v>0.90618254036784385</v>
      </c>
      <c r="L77" s="7">
        <f t="shared" si="122"/>
        <v>1068.9609921778531</v>
      </c>
      <c r="M77" s="41">
        <v>19037</v>
      </c>
      <c r="N77" s="37">
        <f t="shared" si="123"/>
        <v>0.90699890418790796</v>
      </c>
      <c r="O77" s="50">
        <f t="shared" si="124"/>
        <v>5928.5205012721826</v>
      </c>
      <c r="P77" s="91">
        <f t="shared" si="125"/>
        <v>0.5317597765363129</v>
      </c>
      <c r="Q77" s="7">
        <f>INDEX(Daggett!$B$7:$M$21, MATCH(D77,Daggett!$A$7:$A$21,0), MATCH(B$77,Daggett!$B$6:$M$6,0))</f>
        <v>681.33333333333337</v>
      </c>
      <c r="R77" s="4">
        <f t="shared" si="126"/>
        <v>0.9027038646011103</v>
      </c>
      <c r="S77" s="91">
        <f t="shared" ref="S77:S86" si="135">R77*P77</f>
        <v>0.48002160531875249</v>
      </c>
      <c r="T77" s="104">
        <f t="shared" ref="T77:T86" si="136">IF(1-$H$7*(($H$5+273)^4-298^4)/(O77*1000)&lt;0,#N/A,1-$H$7*(($H$5+273)^4-298^4)/(O77*1000))</f>
        <v>0.93370889974822313</v>
      </c>
      <c r="U77" s="91">
        <f t="shared" ref="U77:U86" si="137">T77*P77</f>
        <v>0.49650883588008171</v>
      </c>
      <c r="AC77" s="2">
        <v>4</v>
      </c>
      <c r="AE77" s="38">
        <v>8</v>
      </c>
      <c r="AF77" s="86">
        <v>22824</v>
      </c>
      <c r="AG77" s="37">
        <f t="shared" ref="AG77:AG86" si="138">AF77/$C$10</f>
        <v>0.63754189944134076</v>
      </c>
      <c r="AH77" s="38">
        <v>20359</v>
      </c>
      <c r="AI77" s="37">
        <f t="shared" si="127"/>
        <v>0.56868715083798882</v>
      </c>
      <c r="AJ77" s="37">
        <f t="shared" ref="AJ77:AJ86" si="139">1-AH77/(AF77*$C$8)</f>
        <v>3.0435163595909809E-2</v>
      </c>
      <c r="AK77" s="38">
        <v>15656</v>
      </c>
      <c r="AL77" s="37">
        <f t="shared" ref="AL77:AL86" si="140">AK77/AH77</f>
        <v>0.7689965125988506</v>
      </c>
      <c r="AM77" s="7">
        <f t="shared" si="128"/>
        <v>797.35353249494824</v>
      </c>
      <c r="AN77" s="41">
        <v>14219</v>
      </c>
      <c r="AO77" s="37">
        <f t="shared" ref="AO77:AO86" si="141">AN77/AK77</f>
        <v>0.90821410321921303</v>
      </c>
      <c r="AP77" s="50">
        <f t="shared" si="129"/>
        <v>4428.0943955239354</v>
      </c>
      <c r="AQ77" s="91">
        <f t="shared" ref="AQ77:AQ86" si="142">AN77/$C$10</f>
        <v>0.39717877094972065</v>
      </c>
      <c r="AR77" s="7">
        <f>INDEX(Daggett!$B$7:$M$21, MATCH(AE77,Daggett!$A$7:$A$21,0), MATCH(AC$77,Daggett!$B$6:$M$6,0))</f>
        <v>681.33333333333337</v>
      </c>
      <c r="AS77" s="4">
        <f t="shared" si="130"/>
        <v>0.86973580915755933</v>
      </c>
      <c r="AT77" s="91">
        <f t="shared" ref="AT77:AT86" si="143">AS77*AQ77</f>
        <v>0.34544059973216018</v>
      </c>
      <c r="AU77" s="104">
        <f t="shared" ref="AU77:AU86" si="144">IF(1-$H$7*(($H$5+273)^4-298^4)/(AP77*1000)&lt;0,#N/A,1-$H$7*(($H$5+273)^4-298^4)/(AP77*1000))</f>
        <v>0.91124666463935045</v>
      </c>
      <c r="AV77" s="91">
        <f t="shared" ref="AV77:AV86" si="145">AU77*AQ77</f>
        <v>0.36192783029348946</v>
      </c>
      <c r="BD77" s="2">
        <v>4</v>
      </c>
      <c r="BF77" s="38">
        <v>8</v>
      </c>
      <c r="BG77" s="86">
        <f>AF85</f>
        <v>34955</v>
      </c>
      <c r="BH77" s="37">
        <f t="shared" ref="BH77:BH86" si="146">BG77/$C$10</f>
        <v>0.97639664804469273</v>
      </c>
      <c r="BI77" s="38">
        <f t="shared" ref="BI77:BQ77" si="147">AH85</f>
        <v>25130</v>
      </c>
      <c r="BJ77" s="37">
        <f t="shared" si="147"/>
        <v>0.70195530726256983</v>
      </c>
      <c r="BK77" s="37">
        <f t="shared" si="147"/>
        <v>0.21856050947491501</v>
      </c>
      <c r="BL77" s="38">
        <f t="shared" si="147"/>
        <v>23783</v>
      </c>
      <c r="BM77" s="37">
        <f t="shared" si="147"/>
        <v>0.94639872662156788</v>
      </c>
      <c r="BN77" s="7">
        <f t="shared" si="147"/>
        <v>1211.2582436974549</v>
      </c>
      <c r="BO77" s="38">
        <f t="shared" si="147"/>
        <v>21485</v>
      </c>
      <c r="BP77" s="37">
        <f t="shared" si="147"/>
        <v>0.90337636126645082</v>
      </c>
      <c r="BQ77" s="50">
        <f t="shared" si="147"/>
        <v>6690.8789709425246</v>
      </c>
      <c r="BR77" s="91">
        <f t="shared" si="132"/>
        <v>0.60013966480446923</v>
      </c>
      <c r="BS77" s="103">
        <f>INDEX(Daggett!$B$7:$M$21, MATCH(BF77,Daggett!$A$7:$A$21,0), MATCH(BD$77,Daggett!$B$6:$M$6,0))</f>
        <v>681.33333333333337</v>
      </c>
      <c r="BT77" s="4">
        <f t="shared" si="133"/>
        <v>0.91378978219275475</v>
      </c>
      <c r="BU77" s="91">
        <f t="shared" si="134"/>
        <v>0.54840149358690882</v>
      </c>
      <c r="BV77" s="104">
        <f t="shared" ref="BV77:BV85" si="148">IF(1-$H$7*(($H$5+273)^4-298^4)/(BQ77*1000)&lt;0,#N/A,1-$H$7*(($H$5+273)^4-298^4)/(BQ77*1000))</f>
        <v>0.94126210493399698</v>
      </c>
      <c r="BW77" s="91">
        <f t="shared" ref="BW77:BW86" si="149">BV77*BR77</f>
        <v>0.5648887241482381</v>
      </c>
      <c r="CQ77" s="2">
        <v>1600</v>
      </c>
      <c r="CR77" s="7">
        <v>1114.9567876328285</v>
      </c>
      <c r="CS77" s="4">
        <v>0.40003628204795222</v>
      </c>
    </row>
    <row r="78" spans="2:100" ht="16.899999999999999" customHeight="1">
      <c r="D78" s="38">
        <v>9</v>
      </c>
      <c r="E78" s="86">
        <v>31813</v>
      </c>
      <c r="F78" s="37">
        <f t="shared" si="118"/>
        <v>0.88863128491620114</v>
      </c>
      <c r="G78" s="38">
        <v>27375</v>
      </c>
      <c r="H78" s="37">
        <f t="shared" si="119"/>
        <v>0.76466480446927376</v>
      </c>
      <c r="I78" s="37">
        <f t="shared" si="120"/>
        <v>6.467686849373866E-2</v>
      </c>
      <c r="J78" s="38">
        <v>25392</v>
      </c>
      <c r="K78" s="37">
        <f t="shared" si="121"/>
        <v>0.92756164383561646</v>
      </c>
      <c r="L78" s="7">
        <f t="shared" si="122"/>
        <v>1293.2039407966101</v>
      </c>
      <c r="M78" s="41">
        <v>23094</v>
      </c>
      <c r="N78" s="37">
        <f t="shared" si="123"/>
        <v>0.90949905482041593</v>
      </c>
      <c r="O78" s="50">
        <f t="shared" si="124"/>
        <v>7191.9552690224182</v>
      </c>
      <c r="P78" s="91">
        <f t="shared" si="125"/>
        <v>0.64508379888268153</v>
      </c>
      <c r="Q78" s="7">
        <f>INDEX(Daggett!$B$7:$M$21, MATCH(D78,Daggett!$A$7:$A$21,0), MATCH(B$77,Daggett!$B$6:$M$6,0))</f>
        <v>797.86666666666667</v>
      </c>
      <c r="R78" s="4">
        <f t="shared" si="126"/>
        <v>0.93151045924290599</v>
      </c>
      <c r="S78" s="91">
        <f t="shared" si="135"/>
        <v>0.60090230574736503</v>
      </c>
      <c r="T78" s="104">
        <f t="shared" si="136"/>
        <v>0.94535447841460651</v>
      </c>
      <c r="U78" s="91">
        <f t="shared" si="137"/>
        <v>0.60983285822645028</v>
      </c>
      <c r="AE78" s="38">
        <v>9</v>
      </c>
      <c r="AF78" s="86">
        <v>26058</v>
      </c>
      <c r="AG78" s="37">
        <f t="shared" si="138"/>
        <v>0.72787709497206698</v>
      </c>
      <c r="AH78" s="38">
        <v>23551</v>
      </c>
      <c r="AI78" s="37">
        <f t="shared" si="127"/>
        <v>0.65784916201117316</v>
      </c>
      <c r="AJ78" s="37">
        <f t="shared" si="139"/>
        <v>1.7617889190334579E-2</v>
      </c>
      <c r="AK78" s="38">
        <v>19827</v>
      </c>
      <c r="AL78" s="37">
        <f t="shared" si="140"/>
        <v>0.84187507961445374</v>
      </c>
      <c r="AM78" s="7">
        <f t="shared" si="128"/>
        <v>1009.7808181385628</v>
      </c>
      <c r="AN78" s="41">
        <v>18062</v>
      </c>
      <c r="AO78" s="37">
        <f t="shared" si="141"/>
        <v>0.91097997679931408</v>
      </c>
      <c r="AP78" s="50">
        <f t="shared" si="129"/>
        <v>5624.885081366715</v>
      </c>
      <c r="AQ78" s="91">
        <f t="shared" si="142"/>
        <v>0.5045251396648045</v>
      </c>
      <c r="AR78" s="7">
        <f>INDEX(Daggett!$B$7:$M$21, MATCH(AE78,Daggett!$A$7:$A$21,0), MATCH(AC$77,Daggett!$B$6:$M$6,0))</f>
        <v>797.86666666666667</v>
      </c>
      <c r="AS78" s="4">
        <f t="shared" si="130"/>
        <v>0.91242955075604415</v>
      </c>
      <c r="AT78" s="91">
        <f t="shared" si="143"/>
        <v>0.460343646529488</v>
      </c>
      <c r="AU78" s="104">
        <f t="shared" si="144"/>
        <v>0.93013045756322243</v>
      </c>
      <c r="AV78" s="91">
        <f t="shared" si="145"/>
        <v>0.46927419900857331</v>
      </c>
      <c r="BF78" s="38">
        <v>9</v>
      </c>
      <c r="BG78" s="86">
        <f>AF84</f>
        <v>35375</v>
      </c>
      <c r="BH78" s="37">
        <f t="shared" si="146"/>
        <v>0.98812849162011174</v>
      </c>
      <c r="BI78" s="38">
        <f t="shared" ref="BI78:BQ78" si="150">AH84</f>
        <v>29412</v>
      </c>
      <c r="BJ78" s="37">
        <f t="shared" si="150"/>
        <v>0.82156424581005583</v>
      </c>
      <c r="BK78" s="37">
        <f t="shared" si="150"/>
        <v>9.6266707635581539E-2</v>
      </c>
      <c r="BL78" s="38">
        <f t="shared" si="150"/>
        <v>27857</v>
      </c>
      <c r="BM78" s="37">
        <f t="shared" si="150"/>
        <v>0.94713042295661631</v>
      </c>
      <c r="BN78" s="7">
        <f t="shared" si="150"/>
        <v>1418.745359907497</v>
      </c>
      <c r="BO78" s="38">
        <f t="shared" si="150"/>
        <v>25305</v>
      </c>
      <c r="BP78" s="37">
        <f t="shared" si="150"/>
        <v>0.90838927379114764</v>
      </c>
      <c r="BQ78" s="50">
        <f t="shared" si="150"/>
        <v>7880.5069750849698</v>
      </c>
      <c r="BR78" s="91">
        <f t="shared" si="132"/>
        <v>0.70684357541899445</v>
      </c>
      <c r="BS78" s="103">
        <f>INDEX(Daggett!$B$7:$M$21, MATCH(BF78,Daggett!$A$7:$A$21,0), MATCH(BD$77,Daggett!$B$6:$M$6,0))</f>
        <v>797.86666666666667</v>
      </c>
      <c r="BT78" s="4">
        <f t="shared" si="133"/>
        <v>0.93749466689411853</v>
      </c>
      <c r="BU78" s="91">
        <f t="shared" si="134"/>
        <v>0.66266208228367796</v>
      </c>
      <c r="BV78" s="104">
        <f t="shared" si="148"/>
        <v>0.95012907822592074</v>
      </c>
      <c r="BW78" s="91">
        <f t="shared" si="149"/>
        <v>0.67159263476276332</v>
      </c>
      <c r="CG78" s="35"/>
      <c r="CQ78" s="2">
        <v>1700</v>
      </c>
      <c r="CR78" s="7">
        <v>1050.6253108226356</v>
      </c>
      <c r="CS78" s="4">
        <v>0.37695473746500779</v>
      </c>
    </row>
    <row r="79" spans="2:100">
      <c r="D79" s="38">
        <v>10</v>
      </c>
      <c r="E79" s="86">
        <v>33240</v>
      </c>
      <c r="F79" s="37">
        <f t="shared" si="118"/>
        <v>0.92849162011173181</v>
      </c>
      <c r="G79" s="38">
        <v>28869</v>
      </c>
      <c r="H79" s="37">
        <f t="shared" si="119"/>
        <v>0.80639664804469269</v>
      </c>
      <c r="I79" s="37">
        <f t="shared" si="120"/>
        <v>5.5976298854183093E-2</v>
      </c>
      <c r="J79" s="38">
        <v>27191</v>
      </c>
      <c r="K79" s="37">
        <f t="shared" si="121"/>
        <v>0.94187536804184424</v>
      </c>
      <c r="L79" s="7">
        <f t="shared" si="122"/>
        <v>1384.8262584357524</v>
      </c>
      <c r="M79" s="41">
        <v>24713</v>
      </c>
      <c r="N79" s="37">
        <f t="shared" si="123"/>
        <v>0.90886690449045637</v>
      </c>
      <c r="O79" s="50">
        <f t="shared" si="124"/>
        <v>7696.1457765372397</v>
      </c>
      <c r="P79" s="91">
        <f t="shared" si="125"/>
        <v>0.69030726256983244</v>
      </c>
      <c r="Q79" s="7">
        <f>INDEX(Daggett!$B$7:$M$21, MATCH(D79,Daggett!$A$7:$A$21,0), MATCH(B$77,Daggett!$B$6:$M$6,0))</f>
        <v>846.7</v>
      </c>
      <c r="R79" s="4">
        <f t="shared" si="126"/>
        <v>0.93968869744099726</v>
      </c>
      <c r="S79" s="91">
        <f t="shared" si="135"/>
        <v>0.64867393239830629</v>
      </c>
      <c r="T79" s="104">
        <f t="shared" si="136"/>
        <v>0.94893442012329232</v>
      </c>
      <c r="U79" s="91">
        <f t="shared" si="137"/>
        <v>0.65505632191360119</v>
      </c>
      <c r="AE79" s="38">
        <v>10</v>
      </c>
      <c r="AF79" s="86">
        <v>28893</v>
      </c>
      <c r="AG79" s="37">
        <f t="shared" si="138"/>
        <v>0.8070670391061453</v>
      </c>
      <c r="AH79" s="38">
        <v>26215</v>
      </c>
      <c r="AI79" s="37">
        <f t="shared" si="127"/>
        <v>0.73226256983240223</v>
      </c>
      <c r="AJ79" s="37">
        <f t="shared" si="139"/>
        <v>1.3790010819530574E-2</v>
      </c>
      <c r="AK79" s="38">
        <v>23334</v>
      </c>
      <c r="AL79" s="37">
        <f t="shared" si="140"/>
        <v>0.89010108716383751</v>
      </c>
      <c r="AM79" s="7">
        <f t="shared" si="128"/>
        <v>1188.3908614740114</v>
      </c>
      <c r="AN79" s="41">
        <v>21307</v>
      </c>
      <c r="AO79" s="37">
        <f t="shared" si="141"/>
        <v>0.91313105339847433</v>
      </c>
      <c r="AP79" s="50">
        <f t="shared" si="129"/>
        <v>6635.4460430008085</v>
      </c>
      <c r="AQ79" s="91">
        <f t="shared" si="142"/>
        <v>0.5951675977653631</v>
      </c>
      <c r="AR79" s="7">
        <f>INDEX(Daggett!$B$7:$M$21, MATCH(AE79,Daggett!$A$7:$A$21,0), MATCH(AC$77,Daggett!$B$6:$M$6,0))</f>
        <v>846.7</v>
      </c>
      <c r="AS79" s="4">
        <f t="shared" si="130"/>
        <v>0.9300477204608516</v>
      </c>
      <c r="AT79" s="91">
        <f t="shared" si="143"/>
        <v>0.55353426759383695</v>
      </c>
      <c r="AU79" s="104">
        <f t="shared" si="144"/>
        <v>0.94077140491420308</v>
      </c>
      <c r="AV79" s="91">
        <f t="shared" si="145"/>
        <v>0.55991665710913197</v>
      </c>
      <c r="BF79" s="38">
        <v>10</v>
      </c>
      <c r="BG79" s="86">
        <f>AF83</f>
        <v>35207</v>
      </c>
      <c r="BH79" s="37">
        <f t="shared" si="146"/>
        <v>0.98343575418994411</v>
      </c>
      <c r="BI79" s="38">
        <f t="shared" ref="BI79:BQ79" si="151">AH83</f>
        <v>30029</v>
      </c>
      <c r="BJ79" s="37">
        <f t="shared" si="151"/>
        <v>0.83879888268156422</v>
      </c>
      <c r="BK79" s="37">
        <f t="shared" si="151"/>
        <v>7.2905462228978757E-2</v>
      </c>
      <c r="BL79" s="38">
        <f t="shared" si="151"/>
        <v>28522</v>
      </c>
      <c r="BM79" s="37">
        <f t="shared" si="151"/>
        <v>0.94981517866062803</v>
      </c>
      <c r="BN79" s="7">
        <f t="shared" si="151"/>
        <v>1452.6135317974524</v>
      </c>
      <c r="BO79" s="38">
        <f t="shared" si="151"/>
        <v>25900</v>
      </c>
      <c r="BP79" s="37">
        <f t="shared" si="151"/>
        <v>0.90807096276558441</v>
      </c>
      <c r="BQ79" s="50">
        <f t="shared" si="151"/>
        <v>8065.8024364631783</v>
      </c>
      <c r="BR79" s="91">
        <f t="shared" si="132"/>
        <v>0.72346368715083798</v>
      </c>
      <c r="BS79" s="103">
        <f>INDEX(Daggett!$B$7:$M$21, MATCH(BF79,Daggett!$A$7:$A$21,0), MATCH(BD$77,Daggett!$B$6:$M$6,0))</f>
        <v>846.7</v>
      </c>
      <c r="BT79" s="4">
        <f t="shared" si="133"/>
        <v>0.94245277142314143</v>
      </c>
      <c r="BU79" s="91">
        <f t="shared" si="134"/>
        <v>0.68183035697931182</v>
      </c>
      <c r="BV79" s="104">
        <f t="shared" si="148"/>
        <v>0.95127476156397395</v>
      </c>
      <c r="BW79" s="91">
        <f t="shared" si="149"/>
        <v>0.68821274649460684</v>
      </c>
      <c r="CQ79" s="2">
        <v>1800</v>
      </c>
      <c r="CR79" s="7">
        <v>975.73165584101491</v>
      </c>
      <c r="CS79" s="4">
        <v>0.35008358010702778</v>
      </c>
    </row>
    <row r="80" spans="2:100">
      <c r="D80" s="38">
        <v>11</v>
      </c>
      <c r="E80" s="86">
        <v>34106</v>
      </c>
      <c r="F80" s="37">
        <f t="shared" si="118"/>
        <v>0.95268156424581008</v>
      </c>
      <c r="G80" s="38">
        <v>29342</v>
      </c>
      <c r="H80" s="37">
        <f t="shared" si="119"/>
        <v>0.81960893854748607</v>
      </c>
      <c r="I80" s="37">
        <f t="shared" si="120"/>
        <v>6.4871921044110548E-2</v>
      </c>
      <c r="J80" s="38">
        <v>27670</v>
      </c>
      <c r="K80" s="37">
        <f t="shared" si="121"/>
        <v>0.94301683593483743</v>
      </c>
      <c r="L80" s="7">
        <f t="shared" si="122"/>
        <v>1409.2215281128781</v>
      </c>
      <c r="M80" s="41">
        <v>25209</v>
      </c>
      <c r="N80" s="37">
        <f t="shared" si="123"/>
        <v>0.91105890856523308</v>
      </c>
      <c r="O80" s="50">
        <f t="shared" si="124"/>
        <v>7850.6105645096623</v>
      </c>
      <c r="P80" s="91">
        <f t="shared" si="125"/>
        <v>0.70416201117318433</v>
      </c>
      <c r="Q80" s="7">
        <f>INDEX(Daggett!$B$7:$M$21, MATCH(D80,Daggett!$A$7:$A$21,0), MATCH(B$77,Daggett!$B$6:$M$6,0))</f>
        <v>871.16666666666663</v>
      </c>
      <c r="R80" s="4">
        <f t="shared" si="126"/>
        <v>0.94253586560863556</v>
      </c>
      <c r="S80" s="91">
        <f t="shared" si="135"/>
        <v>0.66369795072983495</v>
      </c>
      <c r="T80" s="104">
        <f t="shared" si="136"/>
        <v>0.94993916158938962</v>
      </c>
      <c r="U80" s="91">
        <f t="shared" si="137"/>
        <v>0.66891107051695309</v>
      </c>
      <c r="AE80" s="38">
        <v>11</v>
      </c>
      <c r="AF80" s="86">
        <v>31268</v>
      </c>
      <c r="AG80" s="37">
        <f t="shared" si="138"/>
        <v>0.87340782122905025</v>
      </c>
      <c r="AH80" s="38">
        <v>27735</v>
      </c>
      <c r="AI80" s="37">
        <f t="shared" si="127"/>
        <v>0.77472067039106141</v>
      </c>
      <c r="AJ80" s="37">
        <f t="shared" si="139"/>
        <v>3.5859692643124608E-2</v>
      </c>
      <c r="AK80" s="38">
        <v>25541</v>
      </c>
      <c r="AL80" s="37">
        <f t="shared" si="140"/>
        <v>0.92089417703263021</v>
      </c>
      <c r="AM80" s="7">
        <f t="shared" si="128"/>
        <v>1300.7924484832315</v>
      </c>
      <c r="AN80" s="41">
        <v>23147</v>
      </c>
      <c r="AO80" s="37">
        <f t="shared" si="141"/>
        <v>0.90626835284444618</v>
      </c>
      <c r="AP80" s="50">
        <f t="shared" si="129"/>
        <v>7208.4605790275364</v>
      </c>
      <c r="AQ80" s="91">
        <f t="shared" si="142"/>
        <v>0.64656424581005589</v>
      </c>
      <c r="AR80" s="7">
        <f>INDEX(Daggett!$B$7:$M$21, MATCH(AE80,Daggett!$A$7:$A$21,0), MATCH(AC$77,Daggett!$B$6:$M$6,0))</f>
        <v>871.16666666666663</v>
      </c>
      <c r="AS80" s="4">
        <f t="shared" si="130"/>
        <v>0.93741679855394189</v>
      </c>
      <c r="AT80" s="91">
        <f t="shared" si="143"/>
        <v>0.60610018536670651</v>
      </c>
      <c r="AU80" s="104">
        <f t="shared" si="144"/>
        <v>0.94547960100690909</v>
      </c>
      <c r="AV80" s="91">
        <f t="shared" si="145"/>
        <v>0.61131330515382476</v>
      </c>
      <c r="BF80" s="38">
        <v>11</v>
      </c>
      <c r="BG80" s="86">
        <f>AF82</f>
        <v>34451</v>
      </c>
      <c r="BH80" s="37">
        <f t="shared" si="146"/>
        <v>0.96231843575418996</v>
      </c>
      <c r="BI80" s="38">
        <f t="shared" ref="BI80:BQ80" si="152">AH82</f>
        <v>29429</v>
      </c>
      <c r="BJ80" s="37">
        <f t="shared" si="152"/>
        <v>0.82203910614525144</v>
      </c>
      <c r="BK80" s="37">
        <f t="shared" si="152"/>
        <v>7.1491582878265736E-2</v>
      </c>
      <c r="BL80" s="38">
        <f t="shared" si="152"/>
        <v>27801</v>
      </c>
      <c r="BM80" s="37">
        <f t="shared" si="152"/>
        <v>0.94468041727547658</v>
      </c>
      <c r="BN80" s="7">
        <f t="shared" si="152"/>
        <v>1415.8933033272904</v>
      </c>
      <c r="BO80" s="38">
        <f t="shared" si="152"/>
        <v>25319</v>
      </c>
      <c r="BP80" s="37">
        <f t="shared" si="152"/>
        <v>0.91072263587640734</v>
      </c>
      <c r="BQ80" s="50">
        <f t="shared" si="152"/>
        <v>7884.8668682938687</v>
      </c>
      <c r="BR80" s="91">
        <f t="shared" si="132"/>
        <v>0.70723463687150834</v>
      </c>
      <c r="BS80" s="103">
        <f>INDEX(Daggett!$B$7:$M$21, MATCH(BF80,Daggett!$A$7:$A$21,0), MATCH(BD$77,Daggett!$B$6:$M$6,0))</f>
        <v>871.16666666666663</v>
      </c>
      <c r="BT80" s="4">
        <f t="shared" si="133"/>
        <v>0.94278552218208034</v>
      </c>
      <c r="BU80" s="91">
        <f t="shared" si="134"/>
        <v>0.66677057642815896</v>
      </c>
      <c r="BV80" s="104">
        <f t="shared" si="148"/>
        <v>0.95015665407428906</v>
      </c>
      <c r="BW80" s="91">
        <f t="shared" si="149"/>
        <v>0.6719836962152772</v>
      </c>
      <c r="CQ80" s="2">
        <v>1900</v>
      </c>
      <c r="CR80" s="7">
        <v>889.17848752894872</v>
      </c>
      <c r="CS80" s="4">
        <v>0.3190290961708917</v>
      </c>
    </row>
    <row r="81" spans="2:97">
      <c r="D81" s="38">
        <v>12</v>
      </c>
      <c r="E81" s="86">
        <v>34397</v>
      </c>
      <c r="F81" s="37">
        <f t="shared" si="118"/>
        <v>0.96081005586592183</v>
      </c>
      <c r="G81" s="38">
        <v>29331</v>
      </c>
      <c r="H81" s="37">
        <f t="shared" si="119"/>
        <v>0.81930167597765358</v>
      </c>
      <c r="I81" s="37">
        <f t="shared" si="120"/>
        <v>7.3130745729847568E-2</v>
      </c>
      <c r="J81" s="38">
        <v>27793</v>
      </c>
      <c r="K81" s="37">
        <f t="shared" si="121"/>
        <v>0.94756401077358421</v>
      </c>
      <c r="L81" s="7">
        <f t="shared" si="122"/>
        <v>1415.4858666729751</v>
      </c>
      <c r="M81" s="41">
        <v>25334</v>
      </c>
      <c r="N81" s="37">
        <f t="shared" si="123"/>
        <v>0.91152448458244884</v>
      </c>
      <c r="O81" s="50">
        <f t="shared" si="124"/>
        <v>7889.5381824462611</v>
      </c>
      <c r="P81" s="91">
        <f t="shared" si="125"/>
        <v>0.70765363128491621</v>
      </c>
      <c r="Q81" s="7">
        <f>INDEX(Daggett!$B$7:$M$21, MATCH(D81,Daggett!$A$7:$A$21,0), MATCH(B$77,Daggett!$B$6:$M$6,0))</f>
        <v>890.3</v>
      </c>
      <c r="R81" s="4">
        <f t="shared" si="126"/>
        <v>0.94404825991814056</v>
      </c>
      <c r="S81" s="91">
        <f t="shared" si="135"/>
        <v>0.6680591792392786</v>
      </c>
      <c r="T81" s="104">
        <f t="shared" si="136"/>
        <v>0.9501861658051205</v>
      </c>
      <c r="U81" s="91">
        <f t="shared" si="137"/>
        <v>0.67240269062868496</v>
      </c>
      <c r="AE81" s="38">
        <v>12</v>
      </c>
      <c r="AF81" s="86">
        <v>33134</v>
      </c>
      <c r="AG81" s="37">
        <f t="shared" si="138"/>
        <v>0.92553072625698329</v>
      </c>
      <c r="AH81" s="38">
        <v>28956</v>
      </c>
      <c r="AI81" s="37">
        <f t="shared" si="127"/>
        <v>0.80882681564245806</v>
      </c>
      <c r="AJ81" s="37">
        <f t="shared" si="139"/>
        <v>5.0102219971079331E-2</v>
      </c>
      <c r="AK81" s="38">
        <v>27196</v>
      </c>
      <c r="AL81" s="37">
        <f t="shared" si="140"/>
        <v>0.93921812405028315</v>
      </c>
      <c r="AM81" s="7">
        <f t="shared" si="128"/>
        <v>1385.0809063446993</v>
      </c>
      <c r="AN81" s="41">
        <v>24650</v>
      </c>
      <c r="AO81" s="37">
        <f t="shared" si="141"/>
        <v>0.90638329166053833</v>
      </c>
      <c r="AP81" s="50">
        <f t="shared" si="129"/>
        <v>7676.5262570971945</v>
      </c>
      <c r="AQ81" s="91">
        <f t="shared" si="142"/>
        <v>0.68854748603351956</v>
      </c>
      <c r="AR81" s="7">
        <f>INDEX(Daggett!$B$7:$M$21, MATCH(AE81,Daggett!$A$7:$A$21,0), MATCH(AC$77,Daggett!$B$6:$M$6,0))</f>
        <v>890.3</v>
      </c>
      <c r="AS81" s="4">
        <f t="shared" si="130"/>
        <v>0.94249568425014907</v>
      </c>
      <c r="AT81" s="91">
        <f t="shared" si="143"/>
        <v>0.64895303398788196</v>
      </c>
      <c r="AU81" s="104">
        <f t="shared" si="144"/>
        <v>0.94880390768790768</v>
      </c>
      <c r="AV81" s="91">
        <f t="shared" si="145"/>
        <v>0.65329654537728843</v>
      </c>
      <c r="BF81" s="38">
        <v>12</v>
      </c>
      <c r="BG81" s="86">
        <f>AF81</f>
        <v>33134</v>
      </c>
      <c r="BH81" s="37">
        <f t="shared" si="146"/>
        <v>0.92553072625698329</v>
      </c>
      <c r="BI81" s="38">
        <f t="shared" ref="BI81:BQ81" si="153">AH81</f>
        <v>28956</v>
      </c>
      <c r="BJ81" s="37">
        <f t="shared" si="153"/>
        <v>0.80882681564245806</v>
      </c>
      <c r="BK81" s="37">
        <f t="shared" si="153"/>
        <v>5.0102219971079331E-2</v>
      </c>
      <c r="BL81" s="38">
        <f t="shared" si="153"/>
        <v>27196</v>
      </c>
      <c r="BM81" s="37">
        <f t="shared" si="153"/>
        <v>0.93921812405028315</v>
      </c>
      <c r="BN81" s="7">
        <f t="shared" si="153"/>
        <v>1385.0809063446993</v>
      </c>
      <c r="BO81" s="38">
        <f t="shared" si="153"/>
        <v>24650</v>
      </c>
      <c r="BP81" s="37">
        <f t="shared" si="153"/>
        <v>0.90638329166053833</v>
      </c>
      <c r="BQ81" s="50">
        <f t="shared" si="153"/>
        <v>7676.5262570971945</v>
      </c>
      <c r="BR81" s="91">
        <f t="shared" si="132"/>
        <v>0.68854748603351956</v>
      </c>
      <c r="BS81" s="103">
        <f>INDEX(Daggett!$B$7:$M$21, MATCH(BF81,Daggett!$A$7:$A$21,0), MATCH(BD$77,Daggett!$B$6:$M$6,0))</f>
        <v>890.3</v>
      </c>
      <c r="BT81" s="4">
        <f t="shared" si="133"/>
        <v>0.94249568425014907</v>
      </c>
      <c r="BU81" s="91">
        <f t="shared" si="134"/>
        <v>0.64895303398788196</v>
      </c>
      <c r="BV81" s="104">
        <f t="shared" si="148"/>
        <v>0.94880390768790768</v>
      </c>
      <c r="BW81" s="91">
        <f t="shared" si="149"/>
        <v>0.65329654537728843</v>
      </c>
      <c r="CQ81" s="2">
        <v>2000</v>
      </c>
      <c r="CR81" s="7">
        <v>789.81422776355271</v>
      </c>
      <c r="CS81" s="4">
        <v>0.28337810997492624</v>
      </c>
    </row>
    <row r="82" spans="2:97">
      <c r="D82" s="38">
        <v>13</v>
      </c>
      <c r="E82" s="86">
        <f>E80</f>
        <v>34106</v>
      </c>
      <c r="F82" s="37">
        <f t="shared" si="118"/>
        <v>0.95268156424581008</v>
      </c>
      <c r="G82" s="38">
        <f>G80</f>
        <v>29342</v>
      </c>
      <c r="H82" s="37">
        <f t="shared" ref="H82:P82" si="154">H80</f>
        <v>0.81960893854748607</v>
      </c>
      <c r="I82" s="37">
        <f t="shared" si="154"/>
        <v>6.4871921044110548E-2</v>
      </c>
      <c r="J82" s="38">
        <f t="shared" si="154"/>
        <v>27670</v>
      </c>
      <c r="K82" s="37">
        <f t="shared" si="154"/>
        <v>0.94301683593483743</v>
      </c>
      <c r="L82" s="7">
        <f t="shared" si="154"/>
        <v>1409.2215281128781</v>
      </c>
      <c r="M82" s="41">
        <f t="shared" si="154"/>
        <v>25209</v>
      </c>
      <c r="N82" s="37">
        <f t="shared" si="154"/>
        <v>0.91105890856523308</v>
      </c>
      <c r="O82" s="50">
        <f t="shared" si="154"/>
        <v>7850.6105645096623</v>
      </c>
      <c r="P82" s="91">
        <f t="shared" si="154"/>
        <v>0.70416201117318433</v>
      </c>
      <c r="Q82" s="7">
        <f>INDEX(Daggett!$B$7:$M$21, MATCH(D82,Daggett!$A$7:$A$21,0), MATCH(B$77,Daggett!$B$6:$M$6,0))</f>
        <v>846.13333333333333</v>
      </c>
      <c r="R82" s="4">
        <f t="shared" si="126"/>
        <v>0.94083575668459229</v>
      </c>
      <c r="S82" s="91">
        <f t="shared" si="135"/>
        <v>0.66250079861066724</v>
      </c>
      <c r="T82" s="104">
        <f t="shared" si="136"/>
        <v>0.94993916158938962</v>
      </c>
      <c r="U82" s="91">
        <f t="shared" si="137"/>
        <v>0.66891107051695309</v>
      </c>
      <c r="AE82" s="38">
        <v>13</v>
      </c>
      <c r="AF82" s="86">
        <v>34451</v>
      </c>
      <c r="AG82" s="37">
        <f t="shared" si="138"/>
        <v>0.96231843575418996</v>
      </c>
      <c r="AH82" s="38">
        <v>29429</v>
      </c>
      <c r="AI82" s="37">
        <f t="shared" si="127"/>
        <v>0.82203910614525144</v>
      </c>
      <c r="AJ82" s="37">
        <f t="shared" si="139"/>
        <v>7.1491582878265736E-2</v>
      </c>
      <c r="AK82" s="38">
        <v>27801</v>
      </c>
      <c r="AL82" s="37">
        <f t="shared" si="140"/>
        <v>0.94468041727547658</v>
      </c>
      <c r="AM82" s="7">
        <f t="shared" si="128"/>
        <v>1415.8933033272904</v>
      </c>
      <c r="AN82" s="41">
        <v>25319</v>
      </c>
      <c r="AO82" s="37">
        <f t="shared" si="141"/>
        <v>0.91072263587640734</v>
      </c>
      <c r="AP82" s="50">
        <f t="shared" si="129"/>
        <v>7884.8668682938687</v>
      </c>
      <c r="AQ82" s="91">
        <f t="shared" si="142"/>
        <v>0.70723463687150834</v>
      </c>
      <c r="AR82" s="7">
        <f>INDEX(Daggett!$B$7:$M$21, MATCH(AE82,Daggett!$A$7:$A$21,0), MATCH(AC$77,Daggett!$B$6:$M$6,0))</f>
        <v>846.13333333333333</v>
      </c>
      <c r="AS82" s="4">
        <f t="shared" si="130"/>
        <v>0.94109279948899582</v>
      </c>
      <c r="AT82" s="91">
        <f t="shared" si="143"/>
        <v>0.66557342430899114</v>
      </c>
      <c r="AU82" s="104">
        <f t="shared" si="144"/>
        <v>0.95015665407428906</v>
      </c>
      <c r="AV82" s="91">
        <f t="shared" si="145"/>
        <v>0.6719836962152772</v>
      </c>
      <c r="BF82" s="38">
        <v>13</v>
      </c>
      <c r="BG82" s="86">
        <f>AF80</f>
        <v>31268</v>
      </c>
      <c r="BH82" s="37">
        <f t="shared" si="146"/>
        <v>0.87340782122905025</v>
      </c>
      <c r="BI82" s="38">
        <f t="shared" ref="BI82:BQ82" si="155">AH80</f>
        <v>27735</v>
      </c>
      <c r="BJ82" s="37">
        <f t="shared" si="155"/>
        <v>0.77472067039106141</v>
      </c>
      <c r="BK82" s="37">
        <f t="shared" si="155"/>
        <v>3.5859692643124608E-2</v>
      </c>
      <c r="BL82" s="38">
        <f t="shared" si="155"/>
        <v>25541</v>
      </c>
      <c r="BM82" s="37">
        <f t="shared" si="155"/>
        <v>0.92089417703263021</v>
      </c>
      <c r="BN82" s="7">
        <f t="shared" si="155"/>
        <v>1300.7924484832315</v>
      </c>
      <c r="BO82" s="38">
        <f t="shared" si="155"/>
        <v>23147</v>
      </c>
      <c r="BP82" s="37">
        <f t="shared" si="155"/>
        <v>0.90626835284444618</v>
      </c>
      <c r="BQ82" s="50">
        <f t="shared" si="155"/>
        <v>7208.4605790275364</v>
      </c>
      <c r="BR82" s="91">
        <f t="shared" si="132"/>
        <v>0.64656424581005589</v>
      </c>
      <c r="BS82" s="103">
        <f>INDEX(Daggett!$B$7:$M$21, MATCH(BF82,Daggett!$A$7:$A$21,0), MATCH(BD$77,Daggett!$B$6:$M$6,0))</f>
        <v>846.13333333333333</v>
      </c>
      <c r="BT82" s="4">
        <f t="shared" si="133"/>
        <v>0.93556523913517453</v>
      </c>
      <c r="BU82" s="91">
        <f t="shared" si="134"/>
        <v>0.60490303324753869</v>
      </c>
      <c r="BV82" s="104">
        <f t="shared" si="148"/>
        <v>0.94547960100690909</v>
      </c>
      <c r="BW82" s="91">
        <f t="shared" si="149"/>
        <v>0.61131330515382476</v>
      </c>
    </row>
    <row r="83" spans="2:97">
      <c r="D83" s="38">
        <v>14</v>
      </c>
      <c r="E83" s="86">
        <f>E79</f>
        <v>33240</v>
      </c>
      <c r="F83" s="37">
        <f t="shared" si="118"/>
        <v>0.92849162011173181</v>
      </c>
      <c r="G83" s="38">
        <f>G79</f>
        <v>28869</v>
      </c>
      <c r="H83" s="37">
        <f t="shared" ref="H83:P83" si="156">H79</f>
        <v>0.80639664804469269</v>
      </c>
      <c r="I83" s="37">
        <f t="shared" si="156"/>
        <v>5.5976298854183093E-2</v>
      </c>
      <c r="J83" s="38">
        <f t="shared" si="156"/>
        <v>27191</v>
      </c>
      <c r="K83" s="37">
        <f t="shared" si="156"/>
        <v>0.94187536804184424</v>
      </c>
      <c r="L83" s="7">
        <f t="shared" si="156"/>
        <v>1384.8262584357524</v>
      </c>
      <c r="M83" s="41">
        <f t="shared" si="156"/>
        <v>24713</v>
      </c>
      <c r="N83" s="37">
        <f t="shared" si="156"/>
        <v>0.90886690449045637</v>
      </c>
      <c r="O83" s="50">
        <f t="shared" si="156"/>
        <v>7696.1457765372397</v>
      </c>
      <c r="P83" s="91">
        <f t="shared" si="156"/>
        <v>0.69030726256983244</v>
      </c>
      <c r="Q83" s="7">
        <f>INDEX(Daggett!$B$7:$M$21, MATCH(D83,Daggett!$A$7:$A$21,0), MATCH(B$77,Daggett!$B$6:$M$6,0))</f>
        <v>833.76666666666665</v>
      </c>
      <c r="R83" s="4">
        <f t="shared" si="126"/>
        <v>0.93875315250864633</v>
      </c>
      <c r="S83" s="91">
        <f t="shared" si="135"/>
        <v>0.64802811893704404</v>
      </c>
      <c r="T83" s="104">
        <f t="shared" si="136"/>
        <v>0.94893442012329232</v>
      </c>
      <c r="U83" s="91">
        <f t="shared" si="137"/>
        <v>0.65505632191360119</v>
      </c>
      <c r="AE83" s="38">
        <v>14</v>
      </c>
      <c r="AF83" s="86">
        <v>35207</v>
      </c>
      <c r="AG83" s="37">
        <f t="shared" si="138"/>
        <v>0.98343575418994411</v>
      </c>
      <c r="AH83" s="38">
        <v>30029</v>
      </c>
      <c r="AI83" s="37">
        <f t="shared" si="127"/>
        <v>0.83879888268156422</v>
      </c>
      <c r="AJ83" s="37">
        <f t="shared" si="139"/>
        <v>7.2905462228978757E-2</v>
      </c>
      <c r="AK83" s="38">
        <v>28522</v>
      </c>
      <c r="AL83" s="37">
        <f t="shared" si="140"/>
        <v>0.94981517866062803</v>
      </c>
      <c r="AM83" s="7">
        <f t="shared" si="128"/>
        <v>1452.6135317974524</v>
      </c>
      <c r="AN83" s="41">
        <v>25900</v>
      </c>
      <c r="AO83" s="37">
        <f t="shared" si="141"/>
        <v>0.90807096276558441</v>
      </c>
      <c r="AP83" s="50">
        <f t="shared" si="129"/>
        <v>8065.8024364631783</v>
      </c>
      <c r="AQ83" s="91">
        <f t="shared" si="142"/>
        <v>0.72346368715083798</v>
      </c>
      <c r="AR83" s="7">
        <f>INDEX(Daggett!$B$7:$M$21, MATCH(AE83,Daggett!$A$7:$A$21,0), MATCH(AC$77,Daggett!$B$6:$M$6,0))</f>
        <v>833.76666666666665</v>
      </c>
      <c r="AS83" s="4">
        <f t="shared" si="130"/>
        <v>0.9415601026234045</v>
      </c>
      <c r="AT83" s="91">
        <f t="shared" si="143"/>
        <v>0.68118454351804958</v>
      </c>
      <c r="AU83" s="104">
        <f t="shared" si="144"/>
        <v>0.95127476156397395</v>
      </c>
      <c r="AV83" s="91">
        <f t="shared" si="145"/>
        <v>0.68821274649460684</v>
      </c>
      <c r="BF83" s="38">
        <v>14</v>
      </c>
      <c r="BG83" s="86">
        <f>AF79</f>
        <v>28893</v>
      </c>
      <c r="BH83" s="37">
        <f t="shared" si="146"/>
        <v>0.8070670391061453</v>
      </c>
      <c r="BI83" s="38">
        <f t="shared" ref="BI83:BQ83" si="157">AH79</f>
        <v>26215</v>
      </c>
      <c r="BJ83" s="37">
        <f t="shared" si="157"/>
        <v>0.73226256983240223</v>
      </c>
      <c r="BK83" s="37">
        <f t="shared" si="157"/>
        <v>1.3790010819530574E-2</v>
      </c>
      <c r="BL83" s="38">
        <f t="shared" si="157"/>
        <v>23334</v>
      </c>
      <c r="BM83" s="37">
        <f t="shared" si="157"/>
        <v>0.89010108716383751</v>
      </c>
      <c r="BN83" s="7">
        <f t="shared" si="157"/>
        <v>1188.3908614740114</v>
      </c>
      <c r="BO83" s="38">
        <f t="shared" si="157"/>
        <v>21307</v>
      </c>
      <c r="BP83" s="37">
        <f t="shared" si="157"/>
        <v>0.91313105339847433</v>
      </c>
      <c r="BQ83" s="50">
        <f t="shared" si="157"/>
        <v>6635.4460430008085</v>
      </c>
      <c r="BR83" s="91">
        <f t="shared" si="132"/>
        <v>0.5951675977653631</v>
      </c>
      <c r="BS83" s="103">
        <f>INDEX(Daggett!$B$7:$M$21, MATCH(BF83,Daggett!$A$7:$A$21,0), MATCH(BD$77,Daggett!$B$6:$M$6,0))</f>
        <v>833.76666666666665</v>
      </c>
      <c r="BT83" s="4">
        <f t="shared" si="133"/>
        <v>0.92896262533187102</v>
      </c>
      <c r="BU83" s="91">
        <f t="shared" si="134"/>
        <v>0.5528884541325747</v>
      </c>
      <c r="BV83" s="104">
        <f t="shared" si="148"/>
        <v>0.94077140491420308</v>
      </c>
      <c r="BW83" s="91">
        <f t="shared" si="149"/>
        <v>0.55991665710913197</v>
      </c>
      <c r="CQ83" s="2"/>
      <c r="CR83" s="7"/>
      <c r="CS83" s="4"/>
    </row>
    <row r="84" spans="2:97">
      <c r="D84" s="38">
        <v>15</v>
      </c>
      <c r="E84" s="86">
        <f>E78</f>
        <v>31813</v>
      </c>
      <c r="F84" s="37">
        <f t="shared" si="118"/>
        <v>0.88863128491620114</v>
      </c>
      <c r="G84" s="38">
        <f>G78</f>
        <v>27375</v>
      </c>
      <c r="H84" s="37">
        <f t="shared" ref="H84:P84" si="158">H78</f>
        <v>0.76466480446927376</v>
      </c>
      <c r="I84" s="37">
        <f t="shared" si="158"/>
        <v>6.467686849373866E-2</v>
      </c>
      <c r="J84" s="38">
        <f t="shared" si="158"/>
        <v>25392</v>
      </c>
      <c r="K84" s="37">
        <f t="shared" si="158"/>
        <v>0.92756164383561646</v>
      </c>
      <c r="L84" s="7">
        <f t="shared" si="158"/>
        <v>1293.2039407966101</v>
      </c>
      <c r="M84" s="41">
        <f t="shared" si="158"/>
        <v>23094</v>
      </c>
      <c r="N84" s="37">
        <f t="shared" si="158"/>
        <v>0.90949905482041593</v>
      </c>
      <c r="O84" s="50">
        <f t="shared" si="158"/>
        <v>7191.9552690224182</v>
      </c>
      <c r="P84" s="91">
        <f t="shared" si="158"/>
        <v>0.64508379888268153</v>
      </c>
      <c r="Q84" s="7">
        <f>INDEX(Daggett!$B$7:$M$21, MATCH(D84,Daggett!$A$7:$A$21,0), MATCH(B$77,Daggett!$B$6:$M$6,0))</f>
        <v>814.16666666666663</v>
      </c>
      <c r="R84" s="4">
        <f t="shared" si="126"/>
        <v>0.93288165209572971</v>
      </c>
      <c r="S84" s="91">
        <f t="shared" si="135"/>
        <v>0.60178684004186533</v>
      </c>
      <c r="T84" s="104">
        <f t="shared" si="136"/>
        <v>0.94535447841460651</v>
      </c>
      <c r="U84" s="91">
        <f t="shared" si="137"/>
        <v>0.60983285822645028</v>
      </c>
      <c r="AE84" s="38">
        <v>15</v>
      </c>
      <c r="AF84" s="86">
        <v>35375</v>
      </c>
      <c r="AG84" s="37">
        <f t="shared" si="138"/>
        <v>0.98812849162011174</v>
      </c>
      <c r="AH84" s="38">
        <v>29412</v>
      </c>
      <c r="AI84" s="37">
        <f t="shared" si="127"/>
        <v>0.82156424581005583</v>
      </c>
      <c r="AJ84" s="37">
        <f t="shared" si="139"/>
        <v>9.6266707635581539E-2</v>
      </c>
      <c r="AK84" s="38">
        <v>27857</v>
      </c>
      <c r="AL84" s="37">
        <f t="shared" si="140"/>
        <v>0.94713042295661631</v>
      </c>
      <c r="AM84" s="7">
        <f t="shared" si="128"/>
        <v>1418.745359907497</v>
      </c>
      <c r="AN84" s="41">
        <v>25305</v>
      </c>
      <c r="AO84" s="37">
        <f t="shared" si="141"/>
        <v>0.90838927379114764</v>
      </c>
      <c r="AP84" s="50">
        <f t="shared" si="129"/>
        <v>7880.5069750849698</v>
      </c>
      <c r="AQ84" s="91">
        <f t="shared" si="142"/>
        <v>0.70684357541899445</v>
      </c>
      <c r="AR84" s="7">
        <f>INDEX(Daggett!$B$7:$M$21, MATCH(AE84,Daggett!$A$7:$A$21,0), MATCH(AC$77,Daggett!$B$6:$M$6,0))</f>
        <v>814.16666666666663</v>
      </c>
      <c r="AS84" s="4">
        <f t="shared" si="130"/>
        <v>0.93874605309222603</v>
      </c>
      <c r="AT84" s="91">
        <f t="shared" si="143"/>
        <v>0.66354661657817826</v>
      </c>
      <c r="AU84" s="104">
        <f t="shared" si="144"/>
        <v>0.95012907822592074</v>
      </c>
      <c r="AV84" s="91">
        <f t="shared" si="145"/>
        <v>0.67159263476276332</v>
      </c>
      <c r="BF84" s="38">
        <v>15</v>
      </c>
      <c r="BG84" s="86">
        <f>AF78</f>
        <v>26058</v>
      </c>
      <c r="BH84" s="37">
        <f t="shared" si="146"/>
        <v>0.72787709497206698</v>
      </c>
      <c r="BI84" s="38">
        <f t="shared" ref="BI84:BQ84" si="159">AH78</f>
        <v>23551</v>
      </c>
      <c r="BJ84" s="37">
        <f t="shared" si="159"/>
        <v>0.65784916201117316</v>
      </c>
      <c r="BK84" s="37">
        <f t="shared" si="159"/>
        <v>1.7617889190334579E-2</v>
      </c>
      <c r="BL84" s="38">
        <f t="shared" si="159"/>
        <v>19827</v>
      </c>
      <c r="BM84" s="37">
        <f t="shared" si="159"/>
        <v>0.84187507961445374</v>
      </c>
      <c r="BN84" s="7">
        <f t="shared" si="159"/>
        <v>1009.7808181385628</v>
      </c>
      <c r="BO84" s="38">
        <f t="shared" si="159"/>
        <v>18062</v>
      </c>
      <c r="BP84" s="37">
        <f t="shared" si="159"/>
        <v>0.91097997679931408</v>
      </c>
      <c r="BQ84" s="50">
        <f t="shared" si="159"/>
        <v>5624.885081366715</v>
      </c>
      <c r="BR84" s="91">
        <f t="shared" si="132"/>
        <v>0.5045251396648045</v>
      </c>
      <c r="BS84" s="103">
        <f>INDEX(Daggett!$B$7:$M$21, MATCH(BF84,Daggett!$A$7:$A$21,0), MATCH(BD$77,Daggett!$B$6:$M$6,0))</f>
        <v>814.16666666666663</v>
      </c>
      <c r="BT84" s="4">
        <f t="shared" si="133"/>
        <v>0.91418275238062119</v>
      </c>
      <c r="BU84" s="91">
        <f t="shared" si="134"/>
        <v>0.46122818082398831</v>
      </c>
      <c r="BV84" s="104">
        <f t="shared" si="148"/>
        <v>0.93013045756322243</v>
      </c>
      <c r="BW84" s="91">
        <f t="shared" si="149"/>
        <v>0.46927419900857331</v>
      </c>
    </row>
    <row r="85" spans="2:97">
      <c r="C85" s="7" t="s">
        <v>162</v>
      </c>
      <c r="D85" s="38">
        <v>16</v>
      </c>
      <c r="E85" s="86">
        <f>E77</f>
        <v>29852</v>
      </c>
      <c r="F85" s="37">
        <f t="shared" si="118"/>
        <v>0.83385474860335196</v>
      </c>
      <c r="G85" s="38">
        <f>G77</f>
        <v>23162</v>
      </c>
      <c r="H85" s="37">
        <f t="shared" ref="H85:P85" si="160">H77</f>
        <v>0.64698324022346365</v>
      </c>
      <c r="I85" s="37">
        <f t="shared" si="160"/>
        <v>0.15663650822317632</v>
      </c>
      <c r="J85" s="38">
        <f t="shared" si="160"/>
        <v>20989</v>
      </c>
      <c r="K85" s="37">
        <f t="shared" si="160"/>
        <v>0.90618254036784385</v>
      </c>
      <c r="L85" s="7">
        <f t="shared" si="160"/>
        <v>1068.9609921778531</v>
      </c>
      <c r="M85" s="41">
        <f t="shared" si="160"/>
        <v>19037</v>
      </c>
      <c r="N85" s="37">
        <f t="shared" si="160"/>
        <v>0.90699890418790796</v>
      </c>
      <c r="O85" s="50">
        <f t="shared" si="160"/>
        <v>5928.5205012721826</v>
      </c>
      <c r="P85" s="91">
        <f t="shared" si="160"/>
        <v>0.5317597765363129</v>
      </c>
      <c r="Q85" s="7">
        <f>INDEX(Daggett!$B$7:$M$21, MATCH(D85,Daggett!$A$7:$A$21,0), MATCH(B$77,Daggett!$B$6:$M$6,0))</f>
        <v>721.76666666666665</v>
      </c>
      <c r="R85" s="4">
        <f t="shared" si="126"/>
        <v>0.90815438934312542</v>
      </c>
      <c r="S85" s="91">
        <f t="shared" si="135"/>
        <v>0.48291997513757207</v>
      </c>
      <c r="T85" s="104">
        <f t="shared" si="136"/>
        <v>0.93370889974822313</v>
      </c>
      <c r="U85" s="91">
        <f t="shared" si="137"/>
        <v>0.49650883588008171</v>
      </c>
      <c r="AD85" s="7" t="s">
        <v>162</v>
      </c>
      <c r="AE85" s="38">
        <v>16</v>
      </c>
      <c r="AF85" s="86">
        <v>34955</v>
      </c>
      <c r="AG85" s="37">
        <f t="shared" si="138"/>
        <v>0.97639664804469273</v>
      </c>
      <c r="AH85" s="38">
        <v>25130</v>
      </c>
      <c r="AI85" s="37">
        <f t="shared" si="127"/>
        <v>0.70195530726256983</v>
      </c>
      <c r="AJ85" s="37">
        <f t="shared" si="139"/>
        <v>0.21856050947491501</v>
      </c>
      <c r="AK85" s="38">
        <v>23783</v>
      </c>
      <c r="AL85" s="37">
        <f t="shared" si="140"/>
        <v>0.94639872662156788</v>
      </c>
      <c r="AM85" s="7">
        <f t="shared" si="128"/>
        <v>1211.2582436974549</v>
      </c>
      <c r="AN85" s="41">
        <v>21485</v>
      </c>
      <c r="AO85" s="37">
        <f t="shared" si="141"/>
        <v>0.90337636126645082</v>
      </c>
      <c r="AP85" s="50">
        <f t="shared" si="129"/>
        <v>6690.8789709425246</v>
      </c>
      <c r="AQ85" s="91">
        <f t="shared" si="142"/>
        <v>0.60013966480446923</v>
      </c>
      <c r="AR85" s="7">
        <f>INDEX(Daggett!$B$7:$M$21, MATCH(AE85,Daggett!$A$7:$A$21,0), MATCH(AC$77,Daggett!$B$6:$M$6,0))</f>
        <v>721.76666666666665</v>
      </c>
      <c r="AS85" s="4">
        <f t="shared" si="130"/>
        <v>0.91861927437398549</v>
      </c>
      <c r="AT85" s="91">
        <f t="shared" si="143"/>
        <v>0.55129986340572845</v>
      </c>
      <c r="AU85" s="104">
        <f t="shared" si="144"/>
        <v>0.94126210493399698</v>
      </c>
      <c r="AV85" s="91">
        <f t="shared" si="145"/>
        <v>0.5648887241482381</v>
      </c>
      <c r="BE85" s="7" t="s">
        <v>162</v>
      </c>
      <c r="BF85" s="38">
        <v>16</v>
      </c>
      <c r="BG85" s="86">
        <f>AF77</f>
        <v>22824</v>
      </c>
      <c r="BH85" s="37">
        <f t="shared" si="146"/>
        <v>0.63754189944134076</v>
      </c>
      <c r="BI85" s="38">
        <f t="shared" ref="BI85:BQ85" si="161">AH77</f>
        <v>20359</v>
      </c>
      <c r="BJ85" s="37">
        <f t="shared" si="161"/>
        <v>0.56868715083798882</v>
      </c>
      <c r="BK85" s="37">
        <f t="shared" si="161"/>
        <v>3.0435163595909809E-2</v>
      </c>
      <c r="BL85" s="38">
        <f t="shared" si="161"/>
        <v>15656</v>
      </c>
      <c r="BM85" s="37">
        <f t="shared" si="161"/>
        <v>0.7689965125988506</v>
      </c>
      <c r="BN85" s="7">
        <f t="shared" si="161"/>
        <v>797.35353249494824</v>
      </c>
      <c r="BO85" s="38">
        <f t="shared" si="161"/>
        <v>14219</v>
      </c>
      <c r="BP85" s="37">
        <f t="shared" si="161"/>
        <v>0.90821410321921303</v>
      </c>
      <c r="BQ85" s="50">
        <f t="shared" si="161"/>
        <v>4428.0943955239354</v>
      </c>
      <c r="BR85" s="91">
        <f t="shared" si="132"/>
        <v>0.39717877094972065</v>
      </c>
      <c r="BS85" s="103">
        <f>INDEX(Daggett!$B$7:$M$21, MATCH(BF85,Daggett!$A$7:$A$21,0), MATCH(BD$77,Daggett!$B$6:$M$6,0))</f>
        <v>721.76666666666665</v>
      </c>
      <c r="BT85" s="4">
        <f t="shared" si="133"/>
        <v>0.87703320275160546</v>
      </c>
      <c r="BU85" s="91">
        <f t="shared" si="134"/>
        <v>0.34833896955097982</v>
      </c>
      <c r="BV85" s="104">
        <f t="shared" si="148"/>
        <v>0.91124666463935045</v>
      </c>
      <c r="BW85" s="91">
        <f t="shared" si="149"/>
        <v>0.36192783029348946</v>
      </c>
    </row>
    <row r="86" spans="2:97">
      <c r="C86" s="7">
        <f>ROW(D86)-ROW(D76)+1</f>
        <v>11</v>
      </c>
      <c r="D86" s="38">
        <v>17</v>
      </c>
      <c r="E86" s="86">
        <f>E76</f>
        <v>27392</v>
      </c>
      <c r="F86" s="37">
        <f t="shared" si="118"/>
        <v>0.76513966480446927</v>
      </c>
      <c r="G86" s="38">
        <f>G76</f>
        <v>15089</v>
      </c>
      <c r="H86" s="37">
        <f t="shared" ref="H86:P86" si="162">H76</f>
        <v>0.4214804469273743</v>
      </c>
      <c r="I86" s="37">
        <f t="shared" si="162"/>
        <v>0.40124536519707432</v>
      </c>
      <c r="J86" s="38">
        <f t="shared" si="162"/>
        <v>12932</v>
      </c>
      <c r="K86" s="37">
        <f t="shared" si="162"/>
        <v>0.85704818079395584</v>
      </c>
      <c r="L86" s="7">
        <f t="shared" si="162"/>
        <v>658.62135170060492</v>
      </c>
      <c r="M86" s="41">
        <f t="shared" si="162"/>
        <v>11588</v>
      </c>
      <c r="N86" s="37">
        <f t="shared" si="162"/>
        <v>0.89607175997525523</v>
      </c>
      <c r="O86" s="50">
        <f t="shared" si="162"/>
        <v>3608.7458931944134</v>
      </c>
      <c r="P86" s="91">
        <f t="shared" si="162"/>
        <v>0.32368715083798882</v>
      </c>
      <c r="Q86" s="7">
        <f>INDEX(Daggett!$B$7:$M$21, MATCH(D86,Daggett!$A$7:$A$21,0), MATCH(B$77,Daggett!$B$6:$M$6,0))</f>
        <v>653.43333333333328</v>
      </c>
      <c r="R86" s="4">
        <f t="shared" si="126"/>
        <v>0.83333516934910001</v>
      </c>
      <c r="S86" s="91">
        <f t="shared" si="135"/>
        <v>0.26973988665970311</v>
      </c>
      <c r="T86" s="104">
        <f t="shared" si="136"/>
        <v>0.89109564415834686</v>
      </c>
      <c r="U86" s="91">
        <f t="shared" si="137"/>
        <v>0.28843621018175764</v>
      </c>
      <c r="AD86" s="7">
        <f>ROW(AE86)-ROW(AE76)+1</f>
        <v>11</v>
      </c>
      <c r="AE86" s="38">
        <v>17</v>
      </c>
      <c r="AF86" s="86">
        <v>33957</v>
      </c>
      <c r="AG86" s="37">
        <f t="shared" si="138"/>
        <v>0.9485195530726257</v>
      </c>
      <c r="AH86" s="38">
        <v>16174</v>
      </c>
      <c r="AI86" s="37">
        <f t="shared" si="127"/>
        <v>0.4517877094972067</v>
      </c>
      <c r="AJ86" s="37">
        <f t="shared" si="139"/>
        <v>0.48227361714495698</v>
      </c>
      <c r="AK86" s="38">
        <v>15270</v>
      </c>
      <c r="AL86" s="37">
        <f t="shared" si="140"/>
        <v>0.94410782737727217</v>
      </c>
      <c r="AM86" s="7">
        <f t="shared" si="128"/>
        <v>777.69471392423736</v>
      </c>
      <c r="AN86" s="41">
        <v>13513</v>
      </c>
      <c r="AO86" s="37">
        <f t="shared" si="141"/>
        <v>0.88493778650949573</v>
      </c>
      <c r="AP86" s="50">
        <f t="shared" si="129"/>
        <v>4208.2312094180279</v>
      </c>
      <c r="AQ86" s="91">
        <f t="shared" si="142"/>
        <v>0.37745810055865919</v>
      </c>
      <c r="AR86" s="7">
        <f>INDEX(Daggett!$B$7:$M$21, MATCH(AE86,Daggett!$A$7:$A$21,0), MATCH(AC$77,Daggett!$B$6:$M$6,0))</f>
        <v>653.43333333333328</v>
      </c>
      <c r="AS86" s="4">
        <f t="shared" si="130"/>
        <v>0.85707747668299938</v>
      </c>
      <c r="AT86" s="91">
        <f t="shared" si="143"/>
        <v>0.32351083638037348</v>
      </c>
      <c r="AU86" s="104">
        <f t="shared" si="144"/>
        <v>0.90660965918056124</v>
      </c>
      <c r="AV86" s="91">
        <f t="shared" si="145"/>
        <v>0.342207159902428</v>
      </c>
      <c r="BE86" s="7">
        <f>ROW(BF86)-ROW(BF76)+1</f>
        <v>11</v>
      </c>
      <c r="BF86" s="38">
        <v>17</v>
      </c>
      <c r="BG86" s="86">
        <f>AF76</f>
        <v>19268</v>
      </c>
      <c r="BH86" s="37">
        <f t="shared" si="146"/>
        <v>0.53821229050279329</v>
      </c>
      <c r="BI86" s="38">
        <f t="shared" ref="BI86:BQ86" si="163">AH76</f>
        <v>14235</v>
      </c>
      <c r="BJ86" s="37">
        <f t="shared" si="163"/>
        <v>0.39762569832402234</v>
      </c>
      <c r="BK86" s="37">
        <f t="shared" si="163"/>
        <v>0.19696771398398794</v>
      </c>
      <c r="BL86" s="38">
        <f t="shared" si="163"/>
        <v>9494</v>
      </c>
      <c r="BM86" s="37">
        <f t="shared" si="163"/>
        <v>0.66694766420793816</v>
      </c>
      <c r="BN86" s="7">
        <f t="shared" si="163"/>
        <v>483.5254495086254</v>
      </c>
      <c r="BO86" s="38">
        <f t="shared" si="163"/>
        <v>8566</v>
      </c>
      <c r="BP86" s="37">
        <f t="shared" si="163"/>
        <v>0.90225405519275337</v>
      </c>
      <c r="BQ86" s="50">
        <f t="shared" si="163"/>
        <v>2667.6318019592118</v>
      </c>
      <c r="BR86" s="91">
        <f t="shared" si="132"/>
        <v>0.23927374301675977</v>
      </c>
      <c r="BS86" s="103">
        <f>INDEX(Daggett!$B$7:$M$21, MATCH(BF86,Daggett!$A$7:$A$21,0), MATCH(BD$77,Daggett!$B$6:$M$6,0))</f>
        <v>653.43333333333328</v>
      </c>
      <c r="BT86" s="4">
        <f t="shared" si="133"/>
        <v>0.77453746701113357</v>
      </c>
      <c r="BU86" s="91">
        <f t="shared" si="134"/>
        <v>0.18532647883847403</v>
      </c>
      <c r="BV86" s="104">
        <f>IF(1-$H$7*(($H$5+273)^4-298^4)/(BQ86*1000)&lt;0,#N/A,1-$H$7*(($H$5+273)^4-298^4)/(BQ86*1000))</f>
        <v>0.85267526552730843</v>
      </c>
      <c r="BW86" s="91">
        <f t="shared" si="149"/>
        <v>0.20402280236052861</v>
      </c>
    </row>
    <row r="87" spans="2:97">
      <c r="C87" s="7"/>
      <c r="D87" s="38"/>
      <c r="E87" s="86"/>
      <c r="F87" s="37"/>
      <c r="G87" s="38"/>
      <c r="H87" s="37"/>
      <c r="I87" s="37"/>
      <c r="J87" s="38"/>
      <c r="K87" s="37"/>
      <c r="L87" s="7"/>
      <c r="M87" s="38"/>
      <c r="N87" s="37"/>
      <c r="O87" s="50"/>
      <c r="P87" s="91"/>
      <c r="Q87" s="4"/>
      <c r="R87" s="4"/>
      <c r="S87" s="91"/>
      <c r="T87" s="104"/>
      <c r="U87" s="91"/>
      <c r="AD87" s="7"/>
      <c r="AE87" s="38"/>
      <c r="AF87" s="86"/>
      <c r="AG87" s="37"/>
      <c r="AH87" s="38"/>
      <c r="AI87" s="37"/>
      <c r="AJ87" s="37"/>
      <c r="AK87" s="38"/>
      <c r="AL87" s="37"/>
      <c r="AM87" s="7"/>
      <c r="AN87" s="38"/>
      <c r="AO87" s="37"/>
      <c r="AP87" s="50"/>
      <c r="AQ87" s="91"/>
      <c r="AR87" s="4"/>
      <c r="AS87" s="4"/>
      <c r="AT87" s="91"/>
      <c r="AU87" s="104"/>
      <c r="AV87" s="91"/>
      <c r="BE87" s="7"/>
      <c r="BF87" s="38"/>
      <c r="BG87" s="86"/>
      <c r="BH87" s="37"/>
      <c r="BI87" s="38"/>
      <c r="BJ87" s="37"/>
      <c r="BK87" s="37"/>
      <c r="BL87" s="38"/>
      <c r="BM87" s="37"/>
      <c r="BN87" s="7"/>
      <c r="BO87" s="38"/>
      <c r="BP87" s="37"/>
      <c r="BQ87" s="50"/>
      <c r="BR87" s="91"/>
      <c r="BS87" s="104"/>
      <c r="BT87" s="4"/>
      <c r="BU87" s="91"/>
      <c r="BV87" s="104"/>
      <c r="BW87" s="91"/>
    </row>
    <row r="88" spans="2:97" ht="49.5">
      <c r="B88" s="34"/>
      <c r="C88" s="63" t="s">
        <v>151</v>
      </c>
      <c r="D88" s="63" t="s">
        <v>89</v>
      </c>
      <c r="E88" s="89" t="s">
        <v>152</v>
      </c>
      <c r="F88" s="34" t="s">
        <v>125</v>
      </c>
      <c r="G88" s="63" t="s">
        <v>153</v>
      </c>
      <c r="H88" s="33" t="s">
        <v>154</v>
      </c>
      <c r="I88" s="34" t="s">
        <v>155</v>
      </c>
      <c r="J88" s="85" t="s">
        <v>156</v>
      </c>
      <c r="K88" s="35" t="s">
        <v>157</v>
      </c>
      <c r="L88" s="35" t="s">
        <v>158</v>
      </c>
      <c r="M88" s="85" t="s">
        <v>159</v>
      </c>
      <c r="N88" s="35" t="s">
        <v>72</v>
      </c>
      <c r="O88" s="35" t="s">
        <v>160</v>
      </c>
      <c r="P88" s="100" t="s">
        <v>129</v>
      </c>
      <c r="Q88" s="138" t="s">
        <v>161</v>
      </c>
      <c r="R88" s="67" t="s">
        <v>130</v>
      </c>
      <c r="S88" s="100" t="s">
        <v>131</v>
      </c>
      <c r="T88" s="107" t="s">
        <v>130</v>
      </c>
      <c r="U88" s="100" t="s">
        <v>131</v>
      </c>
      <c r="AC88" s="34"/>
      <c r="AD88" s="63" t="s">
        <v>151</v>
      </c>
      <c r="AE88" s="63" t="s">
        <v>89</v>
      </c>
      <c r="AF88" s="89" t="s">
        <v>152</v>
      </c>
      <c r="AG88" s="34" t="s">
        <v>125</v>
      </c>
      <c r="AH88" s="63" t="s">
        <v>153</v>
      </c>
      <c r="AI88" s="33" t="s">
        <v>154</v>
      </c>
      <c r="AJ88" s="34" t="s">
        <v>155</v>
      </c>
      <c r="AK88" s="85" t="s">
        <v>156</v>
      </c>
      <c r="AL88" s="35" t="s">
        <v>157</v>
      </c>
      <c r="AM88" s="35" t="s">
        <v>158</v>
      </c>
      <c r="AN88" s="85" t="s">
        <v>159</v>
      </c>
      <c r="AO88" s="35" t="s">
        <v>72</v>
      </c>
      <c r="AP88" s="35" t="s">
        <v>160</v>
      </c>
      <c r="AQ88" s="100" t="s">
        <v>129</v>
      </c>
      <c r="AR88" s="138" t="s">
        <v>161</v>
      </c>
      <c r="AS88" s="67" t="s">
        <v>130</v>
      </c>
      <c r="AT88" s="100" t="s">
        <v>131</v>
      </c>
      <c r="AU88" s="107" t="s">
        <v>130</v>
      </c>
      <c r="AV88" s="100" t="s">
        <v>131</v>
      </c>
      <c r="BD88" s="34"/>
      <c r="BE88" s="63" t="s">
        <v>151</v>
      </c>
      <c r="BF88" s="63" t="s">
        <v>89</v>
      </c>
      <c r="BG88" s="89" t="s">
        <v>152</v>
      </c>
      <c r="BH88" s="34" t="s">
        <v>125</v>
      </c>
      <c r="BI88" s="63" t="s">
        <v>153</v>
      </c>
      <c r="BJ88" s="33" t="s">
        <v>154</v>
      </c>
      <c r="BK88" s="34" t="s">
        <v>155</v>
      </c>
      <c r="BL88" s="85" t="s">
        <v>156</v>
      </c>
      <c r="BM88" s="35" t="s">
        <v>157</v>
      </c>
      <c r="BN88" s="35" t="s">
        <v>158</v>
      </c>
      <c r="BO88" s="85" t="s">
        <v>159</v>
      </c>
      <c r="BP88" s="35" t="s">
        <v>72</v>
      </c>
      <c r="BQ88" s="35" t="s">
        <v>160</v>
      </c>
      <c r="BR88" s="100" t="s">
        <v>129</v>
      </c>
      <c r="BS88" s="144" t="s">
        <v>161</v>
      </c>
      <c r="BT88" s="67" t="s">
        <v>130</v>
      </c>
      <c r="BU88" s="100" t="s">
        <v>131</v>
      </c>
      <c r="BV88" s="107" t="s">
        <v>130</v>
      </c>
      <c r="BW88" s="100" t="s">
        <v>131</v>
      </c>
    </row>
    <row r="89" spans="2:97">
      <c r="B89" s="2" t="s">
        <v>88</v>
      </c>
      <c r="C89" s="7">
        <v>142</v>
      </c>
      <c r="D89" s="38">
        <v>6</v>
      </c>
      <c r="E89" s="86">
        <v>23947</v>
      </c>
      <c r="F89" s="37">
        <f t="shared" ref="F89:F101" si="164">E89/$C$10</f>
        <v>0.66891061452513967</v>
      </c>
      <c r="G89" s="38">
        <v>11379</v>
      </c>
      <c r="H89" s="37">
        <f t="shared" ref="H89:H95" si="165">G89/$C$10</f>
        <v>0.31784916201117319</v>
      </c>
      <c r="I89" s="37">
        <f t="shared" ref="I89:I95" si="166">1-G89/(E89*$C$8)</f>
        <v>0.48350614854179796</v>
      </c>
      <c r="J89" s="38">
        <v>8698</v>
      </c>
      <c r="K89" s="37">
        <f t="shared" ref="K89:K95" si="167">J89/G89</f>
        <v>0.76439054398453288</v>
      </c>
      <c r="L89" s="7">
        <f t="shared" ref="L89:L95" si="168">J89/(PI()*$C$18^2)</f>
        <v>442.98550240425777</v>
      </c>
      <c r="M89" s="41">
        <v>7832</v>
      </c>
      <c r="N89" s="37">
        <f t="shared" ref="N89:N95" si="169">M89/J89</f>
        <v>0.90043688204184869</v>
      </c>
      <c r="O89" s="50">
        <f t="shared" ref="O89:O95" si="170">M89/(PI()*$C$19^2)</f>
        <v>2439.0488294355064</v>
      </c>
      <c r="P89" s="91">
        <f t="shared" ref="P89:P95" si="171">M89/$C$10</f>
        <v>0.2187709497206704</v>
      </c>
      <c r="Q89" s="7">
        <f>INDEX(Daggett!$B$7:$M$21, MATCH(D89,Daggett!$A$7:$A$21,0), MATCH(B$90,Daggett!$B$6:$M$6,0))</f>
        <v>296.74193548387098</v>
      </c>
      <c r="R89" s="4">
        <f t="shared" ref="R89:R101" si="172">IF(1-$H$7*(($H$5+273)^4-298^4)*(PI()*$C$19^2)*1000/(M89*Q89*1000)&lt;0,#N/A,1-$H$7*(($H$5+273)^4-298^4)*(PI()*$C$19^2)*1000/(M89*Q89*1000))</f>
        <v>0.45699711969228907</v>
      </c>
      <c r="S89" s="91">
        <f>R89*P89</f>
        <v>9.9977693894692965E-2</v>
      </c>
      <c r="T89" s="104">
        <f>IF(1-$H$7*(($H$5+273)^4-298^4)/(O89*1000)&lt;0,#N/A,1-$H$7*(($H$5+273)^4-298^4)/(O89*1000))</f>
        <v>0.8388682743241731</v>
      </c>
      <c r="U89" s="91">
        <f>T89*P89</f>
        <v>0.18352000906443922</v>
      </c>
      <c r="AC89" s="2" t="s">
        <v>88</v>
      </c>
      <c r="AD89" s="7">
        <v>142</v>
      </c>
      <c r="AE89" s="38">
        <v>6</v>
      </c>
      <c r="AF89" s="86">
        <v>16273</v>
      </c>
      <c r="AG89" s="37">
        <f t="shared" ref="AG89:AG101" si="173">AF89/$C$10</f>
        <v>0.45455307262569833</v>
      </c>
      <c r="AH89" s="38">
        <v>9731</v>
      </c>
      <c r="AI89" s="37">
        <f t="shared" ref="AI89:AI101" si="174">AH89/$C$10</f>
        <v>0.27181564245810058</v>
      </c>
      <c r="AJ89" s="37">
        <f t="shared" ref="AJ89:AJ101" si="175">1-AH89/(AF89*$C$8)</f>
        <v>0.35001696595320597</v>
      </c>
      <c r="AK89" s="38">
        <v>5620</v>
      </c>
      <c r="AL89" s="37">
        <f t="shared" ref="AL89:AL101" si="176">AK89/AH89</f>
        <v>0.57753571061555853</v>
      </c>
      <c r="AM89" s="7">
        <f t="shared" ref="AM89:AM101" si="177">AK89/(PI()*$C$18^2)</f>
        <v>286.22424965646456</v>
      </c>
      <c r="AN89" s="41">
        <v>5065</v>
      </c>
      <c r="AO89" s="37">
        <f t="shared" ref="AO89:AO101" si="178">AN89/AK89</f>
        <v>0.9012455516014235</v>
      </c>
      <c r="AP89" s="50">
        <f t="shared" ref="AP89:AP101" si="179">AN89/(PI()*$C$19^2)</f>
        <v>1577.347078790965</v>
      </c>
      <c r="AQ89" s="91">
        <f>AN89/$C$10</f>
        <v>0.1414804469273743</v>
      </c>
      <c r="AR89" s="7">
        <f>INDEX(Daggett!$B$7:$M$21, MATCH(AE89,Daggett!$A$7:$A$21,0), MATCH(AC$90,Daggett!$B$6:$M$6,0))</f>
        <v>296.74193548387098</v>
      </c>
      <c r="AS89" s="4">
        <f t="shared" ref="AS89:AS101" si="180">IF(1-$H$7*(($H$5+273)^4-298^4)*(PI()*$C$19^2)*1000/(AN89*AR89*1000)&lt;0,#N/A,1-$H$7*(($H$5+273)^4-298^4)*(PI()*$C$19^2)*1000/(AN89*AR89*1000))</f>
        <v>0.16035566464560869</v>
      </c>
      <c r="AT89" s="91">
        <f>AS89*AQ89</f>
        <v>2.2687191101396872E-2</v>
      </c>
      <c r="AU89" s="104">
        <f>IF(1-$H$7*(($H$5+273)^4-298^4)/(AP89*1000)&lt;0,#N/A,1-$H$7*(($H$5+273)^4-298^4)/(AP89*1000))</f>
        <v>0.75084231480886943</v>
      </c>
      <c r="AV89" s="91">
        <f>AU89*AQ89</f>
        <v>0.10622950627114311</v>
      </c>
      <c r="BD89" s="2" t="s">
        <v>88</v>
      </c>
      <c r="BE89" s="7">
        <v>142</v>
      </c>
      <c r="BF89" s="38">
        <v>6</v>
      </c>
      <c r="BG89" s="86">
        <f>AF101</f>
        <v>32258</v>
      </c>
      <c r="BH89" s="37">
        <f t="shared" ref="BH89:BH101" si="181">BG89/$C$10</f>
        <v>0.90106145251396652</v>
      </c>
      <c r="BI89" s="38">
        <f t="shared" ref="BI89:BQ89" si="182">AH101</f>
        <v>11758</v>
      </c>
      <c r="BJ89" s="37">
        <f t="shared" si="182"/>
        <v>0.32843575418994414</v>
      </c>
      <c r="BK89" s="37">
        <f t="shared" si="182"/>
        <v>0.60380572935058918</v>
      </c>
      <c r="BL89" s="38">
        <f t="shared" si="182"/>
        <v>10968</v>
      </c>
      <c r="BM89" s="37">
        <f t="shared" si="182"/>
        <v>0.93281170267052216</v>
      </c>
      <c r="BN89" s="7">
        <f t="shared" si="182"/>
        <v>558.59565306621062</v>
      </c>
      <c r="BO89" s="38">
        <f t="shared" si="182"/>
        <v>9683</v>
      </c>
      <c r="BP89" s="37">
        <f t="shared" si="182"/>
        <v>0.88284099197665933</v>
      </c>
      <c r="BQ89" s="50">
        <f t="shared" si="182"/>
        <v>3015.4889958406548</v>
      </c>
      <c r="BR89" s="91">
        <f t="shared" ref="BR89:BR101" si="183">BO89/$C$10</f>
        <v>0.27047486033519552</v>
      </c>
      <c r="BS89" s="103">
        <f>INDEX(Daggett!$B$7:$M$21, MATCH(BF89,Daggett!$A$7:$A$21,0), MATCH(BD$90,Daggett!$B$6:$M$6,0))</f>
        <v>296.74193548387098</v>
      </c>
      <c r="BT89" s="4">
        <f t="shared" ref="BT89:BT101" si="184">IF(1-$H$7*(($H$5+273)^4-298^4)*(PI()*$C$19^2)*1000/(BO89*BS89*1000)&lt;0,#N/A,1-$H$7*(($H$5+273)^4-298^4)*(PI()*$C$19^2)*1000/(BO89*BS89*1000))</f>
        <v>0.56079742243416375</v>
      </c>
      <c r="BU89" s="91">
        <f>BT89*BR89</f>
        <v>0.15168160450921808</v>
      </c>
      <c r="BV89" s="104">
        <f>IF(1-$H$7*(($H$5+273)^4-298^4)/(BQ89*1000)&lt;0,#N/A,1-$H$7*(($H$5+273)^4-298^4)/(BQ89*1000))</f>
        <v>0.86967017706360883</v>
      </c>
      <c r="BW89" s="91">
        <f>BV89*BR89</f>
        <v>0.23522391967896436</v>
      </c>
    </row>
    <row r="90" spans="2:97">
      <c r="B90" s="2">
        <v>5</v>
      </c>
      <c r="D90" s="38">
        <v>7</v>
      </c>
      <c r="E90" s="86">
        <v>26801</v>
      </c>
      <c r="F90" s="37">
        <f t="shared" si="164"/>
        <v>0.74863128491620112</v>
      </c>
      <c r="G90" s="38">
        <v>16785</v>
      </c>
      <c r="H90" s="37">
        <f t="shared" si="165"/>
        <v>0.46885474860335197</v>
      </c>
      <c r="I90" s="37">
        <f t="shared" si="166"/>
        <v>0.31925804196144536</v>
      </c>
      <c r="J90" s="38">
        <v>14359</v>
      </c>
      <c r="K90" s="37">
        <f t="shared" si="167"/>
        <v>0.85546619005064051</v>
      </c>
      <c r="L90" s="7">
        <f t="shared" si="168"/>
        <v>731.297864914088</v>
      </c>
      <c r="M90" s="41">
        <v>12973</v>
      </c>
      <c r="N90" s="37">
        <f t="shared" si="169"/>
        <v>0.90347517236576358</v>
      </c>
      <c r="O90" s="50">
        <f t="shared" si="170"/>
        <v>4040.0638999319231</v>
      </c>
      <c r="P90" s="91">
        <f t="shared" si="171"/>
        <v>0.36237430167597767</v>
      </c>
      <c r="Q90" s="7">
        <f>INDEX(Daggett!$B$7:$M$21, MATCH(D90,Daggett!$A$7:$A$21,0), MATCH(B$90,Daggett!$B$6:$M$6,0))</f>
        <v>549.93548387096769</v>
      </c>
      <c r="R90" s="4">
        <f t="shared" si="172"/>
        <v>0.82311069478070698</v>
      </c>
      <c r="S90" s="91">
        <f t="shared" ref="S90:S101" si="185">R90*P90</f>
        <v>0.29827416322318751</v>
      </c>
      <c r="T90" s="104">
        <f t="shared" ref="T90:T101" si="186">IF(1-$H$7*(($H$5+273)^4-298^4)/(O90*1000)&lt;0,#N/A,1-$H$7*(($H$5+273)^4-298^4)/(O90*1000))</f>
        <v>0.90272229434262885</v>
      </c>
      <c r="U90" s="91">
        <f t="shared" ref="U90:U101" si="187">T90*P90</f>
        <v>0.32712336101974648</v>
      </c>
      <c r="AC90" s="2">
        <v>5</v>
      </c>
      <c r="AE90" s="38">
        <v>7</v>
      </c>
      <c r="AF90" s="86">
        <v>19758</v>
      </c>
      <c r="AG90" s="37">
        <f t="shared" si="173"/>
        <v>0.55189944134078217</v>
      </c>
      <c r="AH90" s="38">
        <v>16197</v>
      </c>
      <c r="AI90" s="37">
        <f t="shared" si="174"/>
        <v>0.45243016759776539</v>
      </c>
      <c r="AJ90" s="37">
        <f t="shared" si="175"/>
        <v>0.10894651368515562</v>
      </c>
      <c r="AK90" s="38">
        <v>11090</v>
      </c>
      <c r="AL90" s="37">
        <f t="shared" si="176"/>
        <v>0.6846946965487436</v>
      </c>
      <c r="AM90" s="7">
        <f t="shared" si="177"/>
        <v>564.80906204451821</v>
      </c>
      <c r="AN90" s="41">
        <v>10075</v>
      </c>
      <c r="AO90" s="37">
        <f t="shared" si="178"/>
        <v>0.90847610459873762</v>
      </c>
      <c r="AP90" s="50">
        <f t="shared" si="179"/>
        <v>3137.5660056898269</v>
      </c>
      <c r="AQ90" s="91">
        <f t="shared" ref="AQ90:AQ101" si="188">AN90/$C$10</f>
        <v>0.28142458100558659</v>
      </c>
      <c r="AR90" s="7">
        <f>INDEX(Daggett!$B$7:$M$21, MATCH(AE90,Daggett!$A$7:$A$21,0), MATCH(AC$90,Daggett!$B$6:$M$6,0))</f>
        <v>549.93548387096769</v>
      </c>
      <c r="AS90" s="4">
        <f t="shared" si="180"/>
        <v>0.77222978098164885</v>
      </c>
      <c r="AT90" s="91">
        <f t="shared" ref="AT90:AT101" si="189">AS90*AQ90</f>
        <v>0.21732444255279643</v>
      </c>
      <c r="AU90" s="104">
        <f t="shared" ref="AU90:AU101" si="190">IF(1-$H$7*(($H$5+273)^4-298^4)/(AP90*1000)&lt;0,#N/A,1-$H$7*(($H$5+273)^4-298^4)/(AP90*1000))</f>
        <v>0.87474107439274684</v>
      </c>
      <c r="AV90" s="91">
        <f t="shared" ref="AV90:AV101" si="191">AU90*AQ90</f>
        <v>0.24617364034935543</v>
      </c>
      <c r="BD90" s="2">
        <v>5</v>
      </c>
      <c r="BF90" s="38">
        <v>7</v>
      </c>
      <c r="BG90" s="86">
        <f>AF100</f>
        <v>33760</v>
      </c>
      <c r="BH90" s="37">
        <f t="shared" si="181"/>
        <v>0.94301675977653632</v>
      </c>
      <c r="BI90" s="38">
        <f t="shared" ref="BI90:BQ90" si="192">AH100</f>
        <v>20507</v>
      </c>
      <c r="BJ90" s="37">
        <f t="shared" si="192"/>
        <v>0.57282122905027932</v>
      </c>
      <c r="BK90" s="37">
        <f t="shared" si="192"/>
        <v>0.33974474551823619</v>
      </c>
      <c r="BL90" s="38">
        <f t="shared" si="192"/>
        <v>19315</v>
      </c>
      <c r="BM90" s="37">
        <f t="shared" si="192"/>
        <v>0.94187350660749991</v>
      </c>
      <c r="BN90" s="7">
        <f t="shared" si="192"/>
        <v>983.70487226238663</v>
      </c>
      <c r="BO90" s="38">
        <f t="shared" si="192"/>
        <v>17353</v>
      </c>
      <c r="BP90" s="37">
        <f t="shared" si="192"/>
        <v>0.89842091638622834</v>
      </c>
      <c r="BQ90" s="50">
        <f t="shared" si="192"/>
        <v>5404.087632430329</v>
      </c>
      <c r="BR90" s="91">
        <f t="shared" si="183"/>
        <v>0.48472067039106143</v>
      </c>
      <c r="BS90" s="103">
        <f>INDEX(Daggett!$B$7:$M$21, MATCH(BF90,Daggett!$A$7:$A$21,0), MATCH(BD$90,Daggett!$B$6:$M$6,0))</f>
        <v>549.93548387096769</v>
      </c>
      <c r="BT90" s="4">
        <f t="shared" si="184"/>
        <v>0.867758603318741</v>
      </c>
      <c r="BU90" s="91">
        <f t="shared" ref="BU90:BU101" si="193">BT90*BR90</f>
        <v>0.42062053193827126</v>
      </c>
      <c r="BV90" s="104">
        <f t="shared" ref="BV90:BV101" si="194">IF(1-$H$7*(($H$5+273)^4-298^4)/(BQ90*1000)&lt;0,#N/A,1-$H$7*(($H$5+273)^4-298^4)/(BQ90*1000))</f>
        <v>0.92727576352831931</v>
      </c>
      <c r="BW90" s="91">
        <f t="shared" ref="BW90:BW101" si="195">BV90*BR90</f>
        <v>0.44946972973483029</v>
      </c>
    </row>
    <row r="91" spans="2:97" ht="18" customHeight="1">
      <c r="D91" s="38">
        <v>8</v>
      </c>
      <c r="E91" s="86">
        <v>29211</v>
      </c>
      <c r="F91" s="37">
        <f t="shared" si="164"/>
        <v>0.81594972067039107</v>
      </c>
      <c r="G91" s="38">
        <v>23841</v>
      </c>
      <c r="H91" s="37">
        <f t="shared" si="165"/>
        <v>0.66594972067039104</v>
      </c>
      <c r="I91" s="37">
        <f t="shared" si="166"/>
        <v>0.11286397470875331</v>
      </c>
      <c r="J91" s="38">
        <v>21418</v>
      </c>
      <c r="K91" s="37">
        <f t="shared" si="167"/>
        <v>0.89836835703200368</v>
      </c>
      <c r="L91" s="7">
        <f t="shared" si="168"/>
        <v>1090.8097827655085</v>
      </c>
      <c r="M91" s="41">
        <v>19507</v>
      </c>
      <c r="N91" s="37">
        <f t="shared" si="169"/>
        <v>0.91077598281819028</v>
      </c>
      <c r="O91" s="50">
        <f t="shared" si="170"/>
        <v>6074.8883447137923</v>
      </c>
      <c r="P91" s="91">
        <f t="shared" si="171"/>
        <v>0.54488826815642455</v>
      </c>
      <c r="Q91" s="7">
        <f>INDEX(Daggett!$B$7:$M$21, MATCH(D91,Daggett!$A$7:$A$21,0), MATCH(B$90,Daggett!$B$6:$M$6,0))</f>
        <v>676</v>
      </c>
      <c r="R91" s="4">
        <f t="shared" si="172"/>
        <v>0.90429898207584136</v>
      </c>
      <c r="S91" s="91">
        <f t="shared" si="185"/>
        <v>0.49274190623892278</v>
      </c>
      <c r="T91" s="104">
        <f t="shared" si="186"/>
        <v>0.93530611188326873</v>
      </c>
      <c r="U91" s="91">
        <f t="shared" si="187"/>
        <v>0.5096373275001933</v>
      </c>
      <c r="AE91" s="38">
        <v>8</v>
      </c>
      <c r="AF91" s="86">
        <v>23105</v>
      </c>
      <c r="AG91" s="37">
        <f t="shared" si="173"/>
        <v>0.64539106145251401</v>
      </c>
      <c r="AH91" s="38">
        <v>20878</v>
      </c>
      <c r="AI91" s="37">
        <f t="shared" si="174"/>
        <v>0.58318435754189946</v>
      </c>
      <c r="AJ91" s="37">
        <f t="shared" si="175"/>
        <v>1.7810938720209335E-2</v>
      </c>
      <c r="AK91" s="38">
        <v>16019</v>
      </c>
      <c r="AL91" s="37">
        <f t="shared" si="176"/>
        <v>0.76726697959574675</v>
      </c>
      <c r="AM91" s="7">
        <f t="shared" si="177"/>
        <v>815.84097068450285</v>
      </c>
      <c r="AN91" s="41">
        <v>14612</v>
      </c>
      <c r="AO91" s="37">
        <f t="shared" si="178"/>
        <v>0.91216680192271682</v>
      </c>
      <c r="AP91" s="50">
        <f t="shared" si="179"/>
        <v>4550.4828263166009</v>
      </c>
      <c r="AQ91" s="91">
        <f t="shared" si="188"/>
        <v>0.40815642458100559</v>
      </c>
      <c r="AR91" s="7">
        <f>INDEX(Daggett!$B$7:$M$21, MATCH(AE91,Daggett!$A$7:$A$21,0), MATCH(AC$90,Daggett!$B$6:$M$6,0))</f>
        <v>676</v>
      </c>
      <c r="AS91" s="4">
        <f t="shared" si="180"/>
        <v>0.87223927206087037</v>
      </c>
      <c r="AT91" s="91">
        <f t="shared" si="189"/>
        <v>0.35601006266350388</v>
      </c>
      <c r="AU91" s="104">
        <f t="shared" si="190"/>
        <v>0.91363374791314833</v>
      </c>
      <c r="AV91" s="91">
        <f t="shared" si="191"/>
        <v>0.37290548392477441</v>
      </c>
      <c r="BF91" s="38">
        <v>8</v>
      </c>
      <c r="BG91" s="86">
        <f>AF99</f>
        <v>34722</v>
      </c>
      <c r="BH91" s="37">
        <f t="shared" si="181"/>
        <v>0.96988826815642459</v>
      </c>
      <c r="BI91" s="38">
        <f t="shared" ref="BI91:BQ91" si="196">AH99</f>
        <v>26504</v>
      </c>
      <c r="BJ91" s="37">
        <f t="shared" si="196"/>
        <v>0.74033519553072624</v>
      </c>
      <c r="BK91" s="37">
        <f t="shared" si="196"/>
        <v>0.17030425516462444</v>
      </c>
      <c r="BL91" s="38">
        <f t="shared" si="196"/>
        <v>25069</v>
      </c>
      <c r="BM91" s="37">
        <f t="shared" si="196"/>
        <v>0.9458572290974947</v>
      </c>
      <c r="BN91" s="7">
        <f t="shared" si="196"/>
        <v>1276.7536858786318</v>
      </c>
      <c r="BO91" s="38">
        <f t="shared" si="196"/>
        <v>22697</v>
      </c>
      <c r="BP91" s="37">
        <f t="shared" si="196"/>
        <v>0.90538114803143321</v>
      </c>
      <c r="BQ91" s="50">
        <f t="shared" si="196"/>
        <v>7068.3211544557817</v>
      </c>
      <c r="BR91" s="91">
        <f t="shared" si="183"/>
        <v>0.63399441340782126</v>
      </c>
      <c r="BS91" s="103">
        <f>INDEX(Daggett!$B$7:$M$21, MATCH(BF91,Daggett!$A$7:$A$21,0), MATCH(BD$90,Daggett!$B$6:$M$6,0))</f>
        <v>676</v>
      </c>
      <c r="BT91" s="4">
        <f t="shared" si="184"/>
        <v>0.91774949303227027</v>
      </c>
      <c r="BU91" s="91">
        <f t="shared" si="193"/>
        <v>0.58184805149031948</v>
      </c>
      <c r="BV91" s="104">
        <f t="shared" si="194"/>
        <v>0.94439865728981465</v>
      </c>
      <c r="BW91" s="91">
        <f t="shared" si="195"/>
        <v>0.59874347275159001</v>
      </c>
      <c r="CG91" s="35"/>
    </row>
    <row r="92" spans="2:97">
      <c r="D92" s="38">
        <v>9</v>
      </c>
      <c r="E92" s="86">
        <v>31132</v>
      </c>
      <c r="F92" s="37">
        <f t="shared" si="164"/>
        <v>0.869608938547486</v>
      </c>
      <c r="G92" s="38">
        <v>27311</v>
      </c>
      <c r="H92" s="37">
        <f t="shared" si="165"/>
        <v>0.76287709497206702</v>
      </c>
      <c r="I92" s="37">
        <f t="shared" si="166"/>
        <v>4.6451575060471928E-2</v>
      </c>
      <c r="J92" s="38">
        <v>25199</v>
      </c>
      <c r="K92" s="37">
        <f t="shared" si="167"/>
        <v>0.92266852184101644</v>
      </c>
      <c r="L92" s="7">
        <f t="shared" si="168"/>
        <v>1283.3745315112546</v>
      </c>
      <c r="M92" s="41">
        <v>22908</v>
      </c>
      <c r="N92" s="37">
        <f t="shared" si="169"/>
        <v>0.90908369379737286</v>
      </c>
      <c r="O92" s="50">
        <f t="shared" si="170"/>
        <v>7134.0309735327601</v>
      </c>
      <c r="P92" s="91">
        <f t="shared" si="171"/>
        <v>0.63988826815642463</v>
      </c>
      <c r="Q92" s="7">
        <f>INDEX(Daggett!$B$7:$M$21, MATCH(D92,Daggett!$A$7:$A$21,0), MATCH(B$90,Daggett!$B$6:$M$6,0))</f>
        <v>735.74193548387098</v>
      </c>
      <c r="R92" s="4">
        <f t="shared" si="172"/>
        <v>0.92512427299768873</v>
      </c>
      <c r="S92" s="91">
        <f t="shared" si="185"/>
        <v>0.59197616887796245</v>
      </c>
      <c r="T92" s="104">
        <f t="shared" si="186"/>
        <v>0.9449107876945575</v>
      </c>
      <c r="U92" s="91">
        <f t="shared" si="187"/>
        <v>0.60463732750019339</v>
      </c>
      <c r="AE92" s="38">
        <v>9</v>
      </c>
      <c r="AF92" s="86">
        <v>26180</v>
      </c>
      <c r="AG92" s="37">
        <f t="shared" si="173"/>
        <v>0.73128491620111735</v>
      </c>
      <c r="AH92" s="38">
        <v>23973</v>
      </c>
      <c r="AI92" s="37">
        <f t="shared" si="174"/>
        <v>0.66963687150837992</v>
      </c>
      <c r="AJ92" s="37">
        <f t="shared" si="175"/>
        <v>4.6749925266550418E-3</v>
      </c>
      <c r="AK92" s="38">
        <v>20186</v>
      </c>
      <c r="AL92" s="37">
        <f t="shared" si="176"/>
        <v>0.84203061777833399</v>
      </c>
      <c r="AM92" s="7">
        <f t="shared" si="177"/>
        <v>1028.0645380009598</v>
      </c>
      <c r="AN92" s="41">
        <v>18374</v>
      </c>
      <c r="AO92" s="37">
        <f t="shared" si="178"/>
        <v>0.91023481620925395</v>
      </c>
      <c r="AP92" s="50">
        <f t="shared" si="179"/>
        <v>5722.0484157364644</v>
      </c>
      <c r="AQ92" s="91">
        <f t="shared" si="188"/>
        <v>0.51324022346368714</v>
      </c>
      <c r="AR92" s="7">
        <f>INDEX(Daggett!$B$7:$M$21, MATCH(AE92,Daggett!$A$7:$A$21,0), MATCH(AC$90,Daggett!$B$6:$M$6,0))</f>
        <v>735.74193548387098</v>
      </c>
      <c r="AS92" s="4">
        <f t="shared" si="180"/>
        <v>0.9066478091776996</v>
      </c>
      <c r="AT92" s="91">
        <f t="shared" si="189"/>
        <v>0.4653281241852249</v>
      </c>
      <c r="AU92" s="104">
        <f t="shared" si="190"/>
        <v>0.93131687844274103</v>
      </c>
      <c r="AV92" s="91">
        <f t="shared" si="191"/>
        <v>0.47798928280745595</v>
      </c>
      <c r="BF92" s="38">
        <v>9</v>
      </c>
      <c r="BG92" s="86">
        <f>AF98</f>
        <v>35127</v>
      </c>
      <c r="BH92" s="37">
        <f t="shared" si="181"/>
        <v>0.98120111731843573</v>
      </c>
      <c r="BI92" s="38">
        <f t="shared" ref="BI92:BQ92" si="197">AH98</f>
        <v>29772</v>
      </c>
      <c r="BJ92" s="37">
        <f t="shared" si="197"/>
        <v>0.83162011173184358</v>
      </c>
      <c r="BK92" s="37">
        <f t="shared" si="197"/>
        <v>7.8746560616693939E-2</v>
      </c>
      <c r="BL92" s="38">
        <f t="shared" si="197"/>
        <v>28269</v>
      </c>
      <c r="BM92" s="37">
        <f t="shared" si="197"/>
        <v>0.94951632406287789</v>
      </c>
      <c r="BN92" s="7">
        <f t="shared" si="197"/>
        <v>1439.7283476047326</v>
      </c>
      <c r="BO92" s="38">
        <f t="shared" si="197"/>
        <v>25637</v>
      </c>
      <c r="BP92" s="37">
        <f t="shared" si="197"/>
        <v>0.90689447805016099</v>
      </c>
      <c r="BQ92" s="50">
        <f t="shared" si="197"/>
        <v>7983.8987283245751</v>
      </c>
      <c r="BR92" s="91">
        <f t="shared" si="183"/>
        <v>0.71611731843575421</v>
      </c>
      <c r="BS92" s="103">
        <f>INDEX(Daggett!$B$7:$M$21, MATCH(BF92,Daggett!$A$7:$A$21,0), MATCH(BD$90,Daggett!$B$6:$M$6,0))</f>
        <v>735.74193548387098</v>
      </c>
      <c r="BT92" s="4">
        <f t="shared" si="184"/>
        <v>0.93309462284319744</v>
      </c>
      <c r="BU92" s="91">
        <f t="shared" si="193"/>
        <v>0.66820521915729203</v>
      </c>
      <c r="BV92" s="104">
        <f t="shared" si="194"/>
        <v>0.95077490831637568</v>
      </c>
      <c r="BW92" s="91">
        <f t="shared" si="195"/>
        <v>0.68086637777952297</v>
      </c>
    </row>
    <row r="93" spans="2:97">
      <c r="D93" s="38">
        <v>10</v>
      </c>
      <c r="E93" s="86">
        <v>32529</v>
      </c>
      <c r="F93" s="37">
        <f t="shared" si="164"/>
        <v>0.90863128491620115</v>
      </c>
      <c r="G93" s="38">
        <v>28631</v>
      </c>
      <c r="H93" s="37">
        <f t="shared" si="165"/>
        <v>0.7997486033519553</v>
      </c>
      <c r="I93" s="37">
        <f t="shared" si="166"/>
        <v>4.3295146671799234E-2</v>
      </c>
      <c r="J93" s="38">
        <v>26770</v>
      </c>
      <c r="K93" s="37">
        <f t="shared" si="167"/>
        <v>0.93500052390765254</v>
      </c>
      <c r="L93" s="7">
        <f t="shared" si="168"/>
        <v>1363.3849045024122</v>
      </c>
      <c r="M93" s="41">
        <v>24314</v>
      </c>
      <c r="N93" s="37">
        <f t="shared" si="169"/>
        <v>0.90825550989914083</v>
      </c>
      <c r="O93" s="50">
        <f t="shared" si="170"/>
        <v>7571.8888200836182</v>
      </c>
      <c r="P93" s="91">
        <f t="shared" si="171"/>
        <v>0.67916201117318431</v>
      </c>
      <c r="Q93" s="7">
        <f>INDEX(Daggett!$B$7:$M$21, MATCH(D93,Daggett!$A$7:$A$21,0), MATCH(B$90,Daggett!$B$6:$M$6,0))</f>
        <v>769.9677419354839</v>
      </c>
      <c r="R93" s="4">
        <f t="shared" si="172"/>
        <v>0.93258992752104319</v>
      </c>
      <c r="S93" s="91">
        <f t="shared" si="185"/>
        <v>0.63337965077504588</v>
      </c>
      <c r="T93" s="104">
        <f t="shared" si="186"/>
        <v>0.94809641870967032</v>
      </c>
      <c r="U93" s="91">
        <f t="shared" si="187"/>
        <v>0.64391107051695318</v>
      </c>
      <c r="AE93" s="38">
        <v>10</v>
      </c>
      <c r="AF93" s="86">
        <v>28891</v>
      </c>
      <c r="AG93" s="37">
        <f t="shared" si="173"/>
        <v>0.80701117318435756</v>
      </c>
      <c r="AH93" s="38">
        <v>26296</v>
      </c>
      <c r="AI93" s="37">
        <f t="shared" si="174"/>
        <v>0.73452513966480448</v>
      </c>
      <c r="AJ93" s="37">
        <f t="shared" si="175"/>
        <v>1.0674303566779564E-2</v>
      </c>
      <c r="AK93" s="38">
        <v>23450</v>
      </c>
      <c r="AL93" s="37">
        <f t="shared" si="176"/>
        <v>0.89177061149984793</v>
      </c>
      <c r="AM93" s="7">
        <f t="shared" si="177"/>
        <v>1194.2986929615827</v>
      </c>
      <c r="AN93" s="41">
        <v>21427</v>
      </c>
      <c r="AO93" s="37">
        <f t="shared" si="178"/>
        <v>0.91373134328358208</v>
      </c>
      <c r="AP93" s="50">
        <f t="shared" si="179"/>
        <v>6672.8165562199429</v>
      </c>
      <c r="AQ93" s="91">
        <f t="shared" si="188"/>
        <v>0.59851955307262572</v>
      </c>
      <c r="AR93" s="7">
        <f>INDEX(Daggett!$B$7:$M$21, MATCH(AE93,Daggett!$A$7:$A$21,0), MATCH(AC$90,Daggett!$B$6:$M$6,0))</f>
        <v>769.9677419354839</v>
      </c>
      <c r="AS93" s="4">
        <f t="shared" si="180"/>
        <v>0.92350732709883065</v>
      </c>
      <c r="AT93" s="91">
        <f t="shared" si="189"/>
        <v>0.55273719267448729</v>
      </c>
      <c r="AU93" s="104">
        <f t="shared" si="190"/>
        <v>0.94110310937167707</v>
      </c>
      <c r="AV93" s="91">
        <f t="shared" si="191"/>
        <v>0.56326861241639459</v>
      </c>
      <c r="BF93" s="38">
        <v>10</v>
      </c>
      <c r="BG93" s="86">
        <f>AF97</f>
        <v>34965</v>
      </c>
      <c r="BH93" s="37">
        <f t="shared" si="181"/>
        <v>0.97667597765363123</v>
      </c>
      <c r="BI93" s="38">
        <f t="shared" ref="BI93:BQ93" si="198">AH97</f>
        <v>29749</v>
      </c>
      <c r="BJ93" s="37">
        <f t="shared" si="198"/>
        <v>0.83097765363128495</v>
      </c>
      <c r="BK93" s="37">
        <f t="shared" si="198"/>
        <v>7.5193205627988369E-2</v>
      </c>
      <c r="BL93" s="38">
        <f t="shared" si="198"/>
        <v>28160</v>
      </c>
      <c r="BM93" s="37">
        <f t="shared" si="198"/>
        <v>0.94658643988033209</v>
      </c>
      <c r="BN93" s="7">
        <f t="shared" si="198"/>
        <v>1434.1770231896871</v>
      </c>
      <c r="BO93" s="38">
        <f t="shared" si="198"/>
        <v>25587</v>
      </c>
      <c r="BP93" s="37">
        <f t="shared" si="198"/>
        <v>0.90862926136363631</v>
      </c>
      <c r="BQ93" s="50">
        <f t="shared" si="198"/>
        <v>7968.3276811499354</v>
      </c>
      <c r="BR93" s="91">
        <f t="shared" si="183"/>
        <v>0.71472067039106146</v>
      </c>
      <c r="BS93" s="103">
        <f>INDEX(Daggett!$B$7:$M$21, MATCH(BF93,Daggett!$A$7:$A$21,0), MATCH(BD$90,Daggett!$B$6:$M$6,0))</f>
        <v>769.9677419354839</v>
      </c>
      <c r="BT93" s="4">
        <f t="shared" si="184"/>
        <v>0.93594370179179442</v>
      </c>
      <c r="BU93" s="91">
        <f t="shared" si="193"/>
        <v>0.66893830999292303</v>
      </c>
      <c r="BV93" s="104">
        <f t="shared" si="194"/>
        <v>0.95067871671188198</v>
      </c>
      <c r="BW93" s="91">
        <f t="shared" si="195"/>
        <v>0.67946972973483033</v>
      </c>
    </row>
    <row r="94" spans="2:97">
      <c r="D94" s="38">
        <v>11</v>
      </c>
      <c r="E94" s="86">
        <v>33378</v>
      </c>
      <c r="F94" s="37">
        <f t="shared" si="164"/>
        <v>0.93234636871508381</v>
      </c>
      <c r="G94" s="38">
        <v>29264</v>
      </c>
      <c r="H94" s="37">
        <f t="shared" si="165"/>
        <v>0.81743016759776532</v>
      </c>
      <c r="I94" s="37">
        <f t="shared" si="166"/>
        <v>4.7016128822160996E-2</v>
      </c>
      <c r="J94" s="38">
        <v>27498</v>
      </c>
      <c r="K94" s="37">
        <f t="shared" si="167"/>
        <v>0.93965281574630943</v>
      </c>
      <c r="L94" s="7">
        <f t="shared" si="168"/>
        <v>1400.4616400451002</v>
      </c>
      <c r="M94" s="41">
        <v>25002</v>
      </c>
      <c r="N94" s="37">
        <f t="shared" si="169"/>
        <v>0.909229762164521</v>
      </c>
      <c r="O94" s="50">
        <f t="shared" si="170"/>
        <v>7786.1464292066557</v>
      </c>
      <c r="P94" s="91">
        <f t="shared" si="171"/>
        <v>0.69837988826815645</v>
      </c>
      <c r="Q94" s="7">
        <f>INDEX(Daggett!$B$7:$M$21, MATCH(D94,Daggett!$A$7:$A$21,0), MATCH(B$90,Daggett!$B$6:$M$6,0))</f>
        <v>805.9677419354839</v>
      </c>
      <c r="R94" s="4">
        <f t="shared" si="172"/>
        <v>0.93737304067059812</v>
      </c>
      <c r="S94" s="91">
        <f t="shared" si="185"/>
        <v>0.65464247940911435</v>
      </c>
      <c r="T94" s="104">
        <f t="shared" si="186"/>
        <v>0.94952469100499659</v>
      </c>
      <c r="U94" s="91">
        <f t="shared" si="187"/>
        <v>0.66312894761192531</v>
      </c>
      <c r="AE94" s="38">
        <v>11</v>
      </c>
      <c r="AF94" s="86">
        <v>31170</v>
      </c>
      <c r="AG94" s="37">
        <f t="shared" si="173"/>
        <v>0.8706703910614525</v>
      </c>
      <c r="AH94" s="38">
        <v>27840</v>
      </c>
      <c r="AI94" s="37">
        <f t="shared" si="174"/>
        <v>0.77765363128491616</v>
      </c>
      <c r="AJ94" s="37">
        <f t="shared" si="175"/>
        <v>2.9166841026070256E-2</v>
      </c>
      <c r="AK94" s="38">
        <v>25749</v>
      </c>
      <c r="AL94" s="37">
        <f t="shared" si="176"/>
        <v>0.92489224137931036</v>
      </c>
      <c r="AM94" s="7">
        <f t="shared" si="177"/>
        <v>1311.385801495428</v>
      </c>
      <c r="AN94" s="41">
        <v>23462</v>
      </c>
      <c r="AO94" s="37">
        <f t="shared" si="178"/>
        <v>0.91118101673851415</v>
      </c>
      <c r="AP94" s="50">
        <f t="shared" si="179"/>
        <v>7306.5581762277634</v>
      </c>
      <c r="AQ94" s="91">
        <f t="shared" si="188"/>
        <v>0.65536312849162015</v>
      </c>
      <c r="AR94" s="7">
        <f>INDEX(Daggett!$B$7:$M$21, MATCH(AE94,Daggett!$A$7:$A$21,0), MATCH(AC$90,Daggett!$B$6:$M$6,0))</f>
        <v>805.9677419354839</v>
      </c>
      <c r="AS94" s="4">
        <f t="shared" si="180"/>
        <v>0.9332623289935339</v>
      </c>
      <c r="AT94" s="91">
        <f t="shared" si="189"/>
        <v>0.61162571963257806</v>
      </c>
      <c r="AU94" s="104">
        <f t="shared" si="190"/>
        <v>0.94621158999688537</v>
      </c>
      <c r="AV94" s="91">
        <f t="shared" si="191"/>
        <v>0.62011218783538902</v>
      </c>
      <c r="BF94" s="38">
        <v>11</v>
      </c>
      <c r="BG94" s="86">
        <f>AF96</f>
        <v>34240</v>
      </c>
      <c r="BH94" s="37">
        <f t="shared" si="181"/>
        <v>0.95642458100558658</v>
      </c>
      <c r="BI94" s="38">
        <f t="shared" ref="BI94:BQ94" si="199">AH96</f>
        <v>29324</v>
      </c>
      <c r="BJ94" s="37">
        <f t="shared" si="199"/>
        <v>0.81910614525139669</v>
      </c>
      <c r="BK94" s="37">
        <f t="shared" si="199"/>
        <v>6.9103006907761166E-2</v>
      </c>
      <c r="BL94" s="38">
        <f t="shared" si="199"/>
        <v>27728</v>
      </c>
      <c r="BM94" s="37">
        <f t="shared" si="199"/>
        <v>0.94557359159732646</v>
      </c>
      <c r="BN94" s="7">
        <f t="shared" si="199"/>
        <v>1412.1754438566636</v>
      </c>
      <c r="BO94" s="38">
        <f t="shared" si="199"/>
        <v>25224</v>
      </c>
      <c r="BP94" s="37">
        <f t="shared" si="199"/>
        <v>0.90969417195614544</v>
      </c>
      <c r="BQ94" s="50">
        <f t="shared" si="199"/>
        <v>7855.2818786620537</v>
      </c>
      <c r="BR94" s="91">
        <f t="shared" si="183"/>
        <v>0.7045810055865922</v>
      </c>
      <c r="BS94" s="103">
        <f>INDEX(Daggett!$B$7:$M$21, MATCH(BF94,Daggett!$A$7:$A$21,0), MATCH(BD$90,Daggett!$B$6:$M$6,0))</f>
        <v>805.9677419354839</v>
      </c>
      <c r="BT94" s="4">
        <f t="shared" si="184"/>
        <v>0.93792422941826414</v>
      </c>
      <c r="BU94" s="91">
        <f t="shared" si="193"/>
        <v>0.66084359672755011</v>
      </c>
      <c r="BV94" s="104">
        <f t="shared" si="194"/>
        <v>0.94996893135533322</v>
      </c>
      <c r="BW94" s="91">
        <f t="shared" si="195"/>
        <v>0.66933006493036107</v>
      </c>
    </row>
    <row r="95" spans="2:97">
      <c r="D95" s="38">
        <v>12</v>
      </c>
      <c r="E95" s="86">
        <v>33662</v>
      </c>
      <c r="F95" s="37">
        <f t="shared" si="164"/>
        <v>0.94027932960893856</v>
      </c>
      <c r="G95" s="38">
        <v>29019</v>
      </c>
      <c r="H95" s="37">
        <f t="shared" si="165"/>
        <v>0.81058659217877094</v>
      </c>
      <c r="I95" s="37">
        <f t="shared" si="166"/>
        <v>6.2967402283054308E-2</v>
      </c>
      <c r="J95" s="38">
        <v>27350</v>
      </c>
      <c r="K95" s="37">
        <f t="shared" si="167"/>
        <v>0.94248595747613628</v>
      </c>
      <c r="L95" s="7">
        <f t="shared" si="168"/>
        <v>1392.9240619402681</v>
      </c>
      <c r="M95" s="41">
        <v>24911</v>
      </c>
      <c r="N95" s="37">
        <f t="shared" si="169"/>
        <v>0.91082266910420473</v>
      </c>
      <c r="O95" s="50">
        <f t="shared" si="170"/>
        <v>7757.8071233488117</v>
      </c>
      <c r="P95" s="91">
        <f t="shared" si="171"/>
        <v>0.69583798882681569</v>
      </c>
      <c r="Q95" s="7">
        <f>INDEX(Daggett!$B$7:$M$21, MATCH(D95,Daggett!$A$7:$A$21,0), MATCH(B$90,Daggett!$B$6:$M$6,0))</f>
        <v>829.45161290322585</v>
      </c>
      <c r="R95" s="4">
        <f t="shared" si="172"/>
        <v>0.93892386879746637</v>
      </c>
      <c r="S95" s="91">
        <f t="shared" si="185"/>
        <v>0.65333889652552202</v>
      </c>
      <c r="T95" s="104">
        <f t="shared" si="186"/>
        <v>0.94934030446416939</v>
      </c>
      <c r="U95" s="91">
        <f t="shared" si="187"/>
        <v>0.66058704817058456</v>
      </c>
      <c r="AE95" s="38">
        <v>12</v>
      </c>
      <c r="AF95" s="86">
        <v>32966</v>
      </c>
      <c r="AG95" s="37">
        <f t="shared" si="173"/>
        <v>0.92083798882681567</v>
      </c>
      <c r="AH95" s="38">
        <v>28960</v>
      </c>
      <c r="AI95" s="37">
        <f t="shared" si="174"/>
        <v>0.80893854748603355</v>
      </c>
      <c r="AJ95" s="37">
        <f t="shared" si="175"/>
        <v>4.5129501014220197E-2</v>
      </c>
      <c r="AK95" s="38">
        <v>27121</v>
      </c>
      <c r="AL95" s="37">
        <f t="shared" si="176"/>
        <v>0.93649861878453033</v>
      </c>
      <c r="AM95" s="7">
        <f t="shared" si="177"/>
        <v>1381.2611877104939</v>
      </c>
      <c r="AN95" s="41">
        <v>24647</v>
      </c>
      <c r="AO95" s="37">
        <f t="shared" si="178"/>
        <v>0.90877917480918846</v>
      </c>
      <c r="AP95" s="50">
        <f t="shared" si="179"/>
        <v>7675.591994266716</v>
      </c>
      <c r="AQ95" s="91">
        <f t="shared" si="188"/>
        <v>0.68846368715083794</v>
      </c>
      <c r="AR95" s="7">
        <f>INDEX(Daggett!$B$7:$M$21, MATCH(AE95,Daggett!$A$7:$A$21,0), MATCH(AC$90,Daggett!$B$6:$M$6,0))</f>
        <v>829.45161290322585</v>
      </c>
      <c r="AS95" s="4">
        <f t="shared" si="180"/>
        <v>0.93826966753007202</v>
      </c>
      <c r="AT95" s="91">
        <f t="shared" si="189"/>
        <v>0.64596459484954427</v>
      </c>
      <c r="AU95" s="104">
        <f t="shared" si="190"/>
        <v>0.94879767616776578</v>
      </c>
      <c r="AV95" s="91">
        <f t="shared" si="191"/>
        <v>0.6532127464946067</v>
      </c>
      <c r="BF95" s="38">
        <v>12</v>
      </c>
      <c r="BG95" s="86">
        <f>AF95</f>
        <v>32966</v>
      </c>
      <c r="BH95" s="37">
        <f t="shared" si="181"/>
        <v>0.92083798882681567</v>
      </c>
      <c r="BI95" s="38">
        <f t="shared" ref="BI95:BQ95" si="200">AH95</f>
        <v>28960</v>
      </c>
      <c r="BJ95" s="37">
        <f t="shared" si="200"/>
        <v>0.80893854748603355</v>
      </c>
      <c r="BK95" s="37">
        <f t="shared" si="200"/>
        <v>4.5129501014220197E-2</v>
      </c>
      <c r="BL95" s="38">
        <f t="shared" si="200"/>
        <v>27121</v>
      </c>
      <c r="BM95" s="37">
        <f t="shared" si="200"/>
        <v>0.93649861878453033</v>
      </c>
      <c r="BN95" s="7">
        <f t="shared" si="200"/>
        <v>1381.2611877104939</v>
      </c>
      <c r="BO95" s="38">
        <f t="shared" si="200"/>
        <v>24647</v>
      </c>
      <c r="BP95" s="37">
        <f t="shared" si="200"/>
        <v>0.90877917480918846</v>
      </c>
      <c r="BQ95" s="50">
        <f t="shared" si="200"/>
        <v>7675.591994266716</v>
      </c>
      <c r="BR95" s="91">
        <f t="shared" si="183"/>
        <v>0.68846368715083794</v>
      </c>
      <c r="BS95" s="103">
        <f>INDEX(Daggett!$B$7:$M$21, MATCH(BF95,Daggett!$A$7:$A$21,0), MATCH(BD$90,Daggett!$B$6:$M$6,0))</f>
        <v>829.45161290322585</v>
      </c>
      <c r="BT95" s="4">
        <f t="shared" si="184"/>
        <v>0.93826966753007202</v>
      </c>
      <c r="BU95" s="91">
        <f t="shared" si="193"/>
        <v>0.64596459484954427</v>
      </c>
      <c r="BV95" s="104">
        <f t="shared" si="194"/>
        <v>0.94879767616776578</v>
      </c>
      <c r="BW95" s="91">
        <f t="shared" si="195"/>
        <v>0.6532127464946067</v>
      </c>
    </row>
    <row r="96" spans="2:97">
      <c r="D96" s="38">
        <v>13</v>
      </c>
      <c r="E96" s="86">
        <f>E94</f>
        <v>33378</v>
      </c>
      <c r="F96" s="37">
        <f t="shared" si="164"/>
        <v>0.93234636871508381</v>
      </c>
      <c r="G96" s="38">
        <f>G94</f>
        <v>29264</v>
      </c>
      <c r="H96" s="37">
        <f t="shared" ref="H96:P96" si="201">H94</f>
        <v>0.81743016759776532</v>
      </c>
      <c r="I96" s="37">
        <f t="shared" si="201"/>
        <v>4.7016128822160996E-2</v>
      </c>
      <c r="J96" s="38">
        <f t="shared" si="201"/>
        <v>27498</v>
      </c>
      <c r="K96" s="37">
        <f t="shared" si="201"/>
        <v>0.93965281574630943</v>
      </c>
      <c r="L96" s="7">
        <f t="shared" si="201"/>
        <v>1400.4616400451002</v>
      </c>
      <c r="M96" s="41">
        <f t="shared" si="201"/>
        <v>25002</v>
      </c>
      <c r="N96" s="37">
        <f t="shared" si="201"/>
        <v>0.909229762164521</v>
      </c>
      <c r="O96" s="50">
        <f t="shared" si="201"/>
        <v>7786.1464292066557</v>
      </c>
      <c r="P96" s="91">
        <f t="shared" si="201"/>
        <v>0.69837988826815645</v>
      </c>
      <c r="Q96" s="7">
        <f>INDEX(Daggett!$B$7:$M$21, MATCH(D96,Daggett!$A$7:$A$21,0), MATCH(B$90,Daggett!$B$6:$M$6,0))</f>
        <v>822.61290322580646</v>
      </c>
      <c r="R96" s="4">
        <f t="shared" si="172"/>
        <v>0.93864026591721472</v>
      </c>
      <c r="S96" s="91">
        <f t="shared" si="185"/>
        <v>0.65552748403525707</v>
      </c>
      <c r="T96" s="104">
        <f t="shared" si="186"/>
        <v>0.94952469100499659</v>
      </c>
      <c r="U96" s="91">
        <f t="shared" si="187"/>
        <v>0.66312894761192531</v>
      </c>
      <c r="AE96" s="38">
        <v>13</v>
      </c>
      <c r="AF96" s="86">
        <v>34240</v>
      </c>
      <c r="AG96" s="37">
        <f t="shared" si="173"/>
        <v>0.95642458100558658</v>
      </c>
      <c r="AH96" s="38">
        <v>29324</v>
      </c>
      <c r="AI96" s="37">
        <f t="shared" si="174"/>
        <v>0.81910614525139669</v>
      </c>
      <c r="AJ96" s="37">
        <f t="shared" si="175"/>
        <v>6.9103006907761166E-2</v>
      </c>
      <c r="AK96" s="38">
        <v>27728</v>
      </c>
      <c r="AL96" s="37">
        <f t="shared" si="176"/>
        <v>0.94557359159732646</v>
      </c>
      <c r="AM96" s="7">
        <f t="shared" si="177"/>
        <v>1412.1754438566636</v>
      </c>
      <c r="AN96" s="41">
        <v>25224</v>
      </c>
      <c r="AO96" s="37">
        <f t="shared" si="178"/>
        <v>0.90969417195614544</v>
      </c>
      <c r="AP96" s="50">
        <f t="shared" si="179"/>
        <v>7855.2818786620537</v>
      </c>
      <c r="AQ96" s="91">
        <f t="shared" si="188"/>
        <v>0.7045810055865922</v>
      </c>
      <c r="AR96" s="7">
        <f>INDEX(Daggett!$B$7:$M$21, MATCH(AE96,Daggett!$A$7:$A$21,0), MATCH(AC$90,Daggett!$B$6:$M$6,0))</f>
        <v>822.61290322580646</v>
      </c>
      <c r="AS96" s="4">
        <f t="shared" si="180"/>
        <v>0.93918030163583111</v>
      </c>
      <c r="AT96" s="91">
        <f t="shared" si="189"/>
        <v>0.66172860135369282</v>
      </c>
      <c r="AU96" s="104">
        <f t="shared" si="190"/>
        <v>0.94996893135533322</v>
      </c>
      <c r="AV96" s="91">
        <f t="shared" si="191"/>
        <v>0.66933006493036107</v>
      </c>
      <c r="BF96" s="38">
        <v>13</v>
      </c>
      <c r="BG96" s="86">
        <f>AF94</f>
        <v>31170</v>
      </c>
      <c r="BH96" s="37">
        <f t="shared" si="181"/>
        <v>0.8706703910614525</v>
      </c>
      <c r="BI96" s="38">
        <f t="shared" ref="BI96:BQ96" si="202">AH94</f>
        <v>27840</v>
      </c>
      <c r="BJ96" s="37">
        <f t="shared" si="202"/>
        <v>0.77765363128491616</v>
      </c>
      <c r="BK96" s="37">
        <f t="shared" si="202"/>
        <v>2.9166841026070256E-2</v>
      </c>
      <c r="BL96" s="38">
        <f t="shared" si="202"/>
        <v>25749</v>
      </c>
      <c r="BM96" s="37">
        <f t="shared" si="202"/>
        <v>0.92489224137931036</v>
      </c>
      <c r="BN96" s="7">
        <f t="shared" si="202"/>
        <v>1311.385801495428</v>
      </c>
      <c r="BO96" s="38">
        <f t="shared" si="202"/>
        <v>23462</v>
      </c>
      <c r="BP96" s="37">
        <f t="shared" si="202"/>
        <v>0.91118101673851415</v>
      </c>
      <c r="BQ96" s="50">
        <f t="shared" si="202"/>
        <v>7306.5581762277634</v>
      </c>
      <c r="BR96" s="91">
        <f t="shared" si="183"/>
        <v>0.65536312849162015</v>
      </c>
      <c r="BS96" s="103">
        <f>INDEX(Daggett!$B$7:$M$21, MATCH(BF96,Daggett!$A$7:$A$21,0), MATCH(BD$90,Daggett!$B$6:$M$6,0))</f>
        <v>822.61290322580646</v>
      </c>
      <c r="BT96" s="4">
        <f t="shared" si="184"/>
        <v>0.93461273243807874</v>
      </c>
      <c r="BU96" s="91">
        <f t="shared" si="193"/>
        <v>0.61251072425872077</v>
      </c>
      <c r="BV96" s="104">
        <f t="shared" si="194"/>
        <v>0.94621158999688537</v>
      </c>
      <c r="BW96" s="91">
        <f t="shared" si="195"/>
        <v>0.62011218783538902</v>
      </c>
    </row>
    <row r="97" spans="2:85">
      <c r="D97" s="38">
        <v>14</v>
      </c>
      <c r="E97" s="86">
        <f>E93</f>
        <v>32529</v>
      </c>
      <c r="F97" s="37">
        <f t="shared" si="164"/>
        <v>0.90863128491620115</v>
      </c>
      <c r="G97" s="38">
        <f>G93</f>
        <v>28631</v>
      </c>
      <c r="H97" s="37">
        <f t="shared" ref="H97:P97" si="203">H93</f>
        <v>0.7997486033519553</v>
      </c>
      <c r="I97" s="37">
        <f t="shared" si="203"/>
        <v>4.3295146671799234E-2</v>
      </c>
      <c r="J97" s="38">
        <f t="shared" si="203"/>
        <v>26770</v>
      </c>
      <c r="K97" s="37">
        <f t="shared" si="203"/>
        <v>0.93500052390765254</v>
      </c>
      <c r="L97" s="7">
        <f t="shared" si="203"/>
        <v>1363.3849045024122</v>
      </c>
      <c r="M97" s="41">
        <f t="shared" si="203"/>
        <v>24314</v>
      </c>
      <c r="N97" s="37">
        <f t="shared" si="203"/>
        <v>0.90825550989914083</v>
      </c>
      <c r="O97" s="50">
        <f t="shared" si="203"/>
        <v>7571.8888200836182</v>
      </c>
      <c r="P97" s="91">
        <f t="shared" si="203"/>
        <v>0.67916201117318431</v>
      </c>
      <c r="Q97" s="7">
        <f>INDEX(Daggett!$B$7:$M$21, MATCH(D97,Daggett!$A$7:$A$21,0), MATCH(B$90,Daggett!$B$6:$M$6,0))</f>
        <v>801.67741935483866</v>
      </c>
      <c r="R97" s="4">
        <f t="shared" si="172"/>
        <v>0.93525627635601882</v>
      </c>
      <c r="S97" s="91">
        <f t="shared" si="185"/>
        <v>0.63519053361229716</v>
      </c>
      <c r="T97" s="104">
        <f t="shared" si="186"/>
        <v>0.94809641870967032</v>
      </c>
      <c r="U97" s="91">
        <f t="shared" si="187"/>
        <v>0.64391107051695318</v>
      </c>
      <c r="AE97" s="38">
        <v>14</v>
      </c>
      <c r="AF97" s="86">
        <v>34965</v>
      </c>
      <c r="AG97" s="37">
        <f t="shared" si="173"/>
        <v>0.97667597765363123</v>
      </c>
      <c r="AH97" s="38">
        <v>29749</v>
      </c>
      <c r="AI97" s="37">
        <f t="shared" si="174"/>
        <v>0.83097765363128495</v>
      </c>
      <c r="AJ97" s="37">
        <f t="shared" si="175"/>
        <v>7.5193205627988369E-2</v>
      </c>
      <c r="AK97" s="38">
        <v>28160</v>
      </c>
      <c r="AL97" s="37">
        <f t="shared" si="176"/>
        <v>0.94658643988033209</v>
      </c>
      <c r="AM97" s="7">
        <f t="shared" si="177"/>
        <v>1434.1770231896871</v>
      </c>
      <c r="AN97" s="41">
        <v>25587</v>
      </c>
      <c r="AO97" s="37">
        <f t="shared" si="178"/>
        <v>0.90862926136363631</v>
      </c>
      <c r="AP97" s="50">
        <f t="shared" si="179"/>
        <v>7968.3276811499354</v>
      </c>
      <c r="AQ97" s="91">
        <f t="shared" si="188"/>
        <v>0.71472067039106146</v>
      </c>
      <c r="AR97" s="7">
        <f>INDEX(Daggett!$B$7:$M$21, MATCH(AE97,Daggett!$A$7:$A$21,0), MATCH(AC$90,Daggett!$B$6:$M$6,0))</f>
        <v>801.67741935483866</v>
      </c>
      <c r="AS97" s="4">
        <f t="shared" si="180"/>
        <v>0.93847739490054483</v>
      </c>
      <c r="AT97" s="91">
        <f t="shared" si="189"/>
        <v>0.67074919283017431</v>
      </c>
      <c r="AU97" s="104">
        <f t="shared" si="190"/>
        <v>0.95067871671188198</v>
      </c>
      <c r="AV97" s="91">
        <f t="shared" si="191"/>
        <v>0.67946972973483033</v>
      </c>
      <c r="BF97" s="38">
        <v>14</v>
      </c>
      <c r="BG97" s="86">
        <f>AF93</f>
        <v>28891</v>
      </c>
      <c r="BH97" s="37">
        <f t="shared" si="181"/>
        <v>0.80701117318435756</v>
      </c>
      <c r="BI97" s="38">
        <f t="shared" ref="BI97:BQ97" si="204">AH93</f>
        <v>26296</v>
      </c>
      <c r="BJ97" s="37">
        <f t="shared" si="204"/>
        <v>0.73452513966480448</v>
      </c>
      <c r="BK97" s="37">
        <f t="shared" si="204"/>
        <v>1.0674303566779564E-2</v>
      </c>
      <c r="BL97" s="38">
        <f t="shared" si="204"/>
        <v>23450</v>
      </c>
      <c r="BM97" s="37">
        <f t="shared" si="204"/>
        <v>0.89177061149984793</v>
      </c>
      <c r="BN97" s="7">
        <f t="shared" si="204"/>
        <v>1194.2986929615827</v>
      </c>
      <c r="BO97" s="38">
        <f t="shared" si="204"/>
        <v>21427</v>
      </c>
      <c r="BP97" s="37">
        <f t="shared" si="204"/>
        <v>0.91373134328358208</v>
      </c>
      <c r="BQ97" s="50">
        <f t="shared" si="204"/>
        <v>6672.8165562199429</v>
      </c>
      <c r="BR97" s="91">
        <f t="shared" si="183"/>
        <v>0.59851955307262572</v>
      </c>
      <c r="BS97" s="103">
        <f>INDEX(Daggett!$B$7:$M$21, MATCH(BF97,Daggett!$A$7:$A$21,0), MATCH(BD$90,Daggett!$B$6:$M$6,0))</f>
        <v>801.67741935483866</v>
      </c>
      <c r="BT97" s="4">
        <f t="shared" si="184"/>
        <v>0.92653293056985309</v>
      </c>
      <c r="BU97" s="91">
        <f t="shared" si="193"/>
        <v>0.55454807551173868</v>
      </c>
      <c r="BV97" s="104">
        <f t="shared" si="194"/>
        <v>0.94110310937167707</v>
      </c>
      <c r="BW97" s="91">
        <f t="shared" si="195"/>
        <v>0.56326861241639459</v>
      </c>
    </row>
    <row r="98" spans="2:85">
      <c r="D98" s="38">
        <v>15</v>
      </c>
      <c r="E98" s="86">
        <f>E92</f>
        <v>31132</v>
      </c>
      <c r="F98" s="37">
        <f t="shared" si="164"/>
        <v>0.869608938547486</v>
      </c>
      <c r="G98" s="38">
        <f>G92</f>
        <v>27311</v>
      </c>
      <c r="H98" s="37">
        <f t="shared" ref="H98:P98" si="205">H92</f>
        <v>0.76287709497206702</v>
      </c>
      <c r="I98" s="37">
        <f t="shared" si="205"/>
        <v>4.6451575060471928E-2</v>
      </c>
      <c r="J98" s="38">
        <f t="shared" si="205"/>
        <v>25199</v>
      </c>
      <c r="K98" s="37">
        <f t="shared" si="205"/>
        <v>0.92266852184101644</v>
      </c>
      <c r="L98" s="7">
        <f t="shared" si="205"/>
        <v>1283.3745315112546</v>
      </c>
      <c r="M98" s="41">
        <f t="shared" si="205"/>
        <v>22908</v>
      </c>
      <c r="N98" s="37">
        <f t="shared" si="205"/>
        <v>0.90908369379737286</v>
      </c>
      <c r="O98" s="50">
        <f t="shared" si="205"/>
        <v>7134.0309735327601</v>
      </c>
      <c r="P98" s="91">
        <f t="shared" si="205"/>
        <v>0.63988826815642463</v>
      </c>
      <c r="Q98" s="7">
        <f>INDEX(Daggett!$B$7:$M$21, MATCH(D98,Daggett!$A$7:$A$21,0), MATCH(B$90,Daggett!$B$6:$M$6,0))</f>
        <v>756.32258064516134</v>
      </c>
      <c r="R98" s="4">
        <f t="shared" si="172"/>
        <v>0.92716175119556787</v>
      </c>
      <c r="S98" s="91">
        <f t="shared" si="185"/>
        <v>0.59327992727340984</v>
      </c>
      <c r="T98" s="104">
        <f t="shared" si="186"/>
        <v>0.9449107876945575</v>
      </c>
      <c r="U98" s="91">
        <f t="shared" si="187"/>
        <v>0.60463732750019339</v>
      </c>
      <c r="AE98" s="38">
        <v>15</v>
      </c>
      <c r="AF98" s="86">
        <v>35127</v>
      </c>
      <c r="AG98" s="37">
        <f t="shared" si="173"/>
        <v>0.98120111731843573</v>
      </c>
      <c r="AH98" s="38">
        <v>29772</v>
      </c>
      <c r="AI98" s="37">
        <f t="shared" si="174"/>
        <v>0.83162011173184358</v>
      </c>
      <c r="AJ98" s="37">
        <f t="shared" si="175"/>
        <v>7.8746560616693939E-2</v>
      </c>
      <c r="AK98" s="38">
        <v>28269</v>
      </c>
      <c r="AL98" s="37">
        <f t="shared" si="176"/>
        <v>0.94951632406287789</v>
      </c>
      <c r="AM98" s="7">
        <f t="shared" si="177"/>
        <v>1439.7283476047326</v>
      </c>
      <c r="AN98" s="41">
        <v>25637</v>
      </c>
      <c r="AO98" s="37">
        <f t="shared" si="178"/>
        <v>0.90689447805016099</v>
      </c>
      <c r="AP98" s="50">
        <f t="shared" si="179"/>
        <v>7983.8987283245751</v>
      </c>
      <c r="AQ98" s="91">
        <f t="shared" si="188"/>
        <v>0.71611731843575421</v>
      </c>
      <c r="AR98" s="7">
        <f>INDEX(Daggett!$B$7:$M$21, MATCH(AE98,Daggett!$A$7:$A$21,0), MATCH(AC$90,Daggett!$B$6:$M$6,0))</f>
        <v>756.32258064516134</v>
      </c>
      <c r="AS98" s="4">
        <f t="shared" si="180"/>
        <v>0.93491521614806994</v>
      </c>
      <c r="AT98" s="91">
        <f t="shared" si="189"/>
        <v>0.66950897755273941</v>
      </c>
      <c r="AU98" s="104">
        <f t="shared" si="190"/>
        <v>0.95077490831637568</v>
      </c>
      <c r="AV98" s="91">
        <f t="shared" si="191"/>
        <v>0.68086637777952297</v>
      </c>
      <c r="BF98" s="38">
        <v>15</v>
      </c>
      <c r="BG98" s="86">
        <f>AF92</f>
        <v>26180</v>
      </c>
      <c r="BH98" s="37">
        <f t="shared" si="181"/>
        <v>0.73128491620111735</v>
      </c>
      <c r="BI98" s="38">
        <f t="shared" ref="BI98:BQ98" si="206">AH92</f>
        <v>23973</v>
      </c>
      <c r="BJ98" s="37">
        <f t="shared" si="206"/>
        <v>0.66963687150837992</v>
      </c>
      <c r="BK98" s="37">
        <f t="shared" si="206"/>
        <v>4.6749925266550418E-3</v>
      </c>
      <c r="BL98" s="38">
        <f t="shared" si="206"/>
        <v>20186</v>
      </c>
      <c r="BM98" s="37">
        <f t="shared" si="206"/>
        <v>0.84203061777833399</v>
      </c>
      <c r="BN98" s="7">
        <f t="shared" si="206"/>
        <v>1028.0645380009598</v>
      </c>
      <c r="BO98" s="38">
        <f t="shared" si="206"/>
        <v>18374</v>
      </c>
      <c r="BP98" s="37">
        <f t="shared" si="206"/>
        <v>0.91023481620925395</v>
      </c>
      <c r="BQ98" s="50">
        <f t="shared" si="206"/>
        <v>5722.0484157364644</v>
      </c>
      <c r="BR98" s="91">
        <f t="shared" si="183"/>
        <v>0.51324022346368714</v>
      </c>
      <c r="BS98" s="103">
        <f>INDEX(Daggett!$B$7:$M$21, MATCH(BF98,Daggett!$A$7:$A$21,0), MATCH(BD$90,Daggett!$B$6:$M$6,0))</f>
        <v>756.32258064516134</v>
      </c>
      <c r="BT98" s="4">
        <f t="shared" si="184"/>
        <v>0.90918805901752853</v>
      </c>
      <c r="BU98" s="91">
        <f t="shared" si="193"/>
        <v>0.46663188258067229</v>
      </c>
      <c r="BV98" s="104">
        <f t="shared" si="194"/>
        <v>0.93131687844274103</v>
      </c>
      <c r="BW98" s="91">
        <f t="shared" si="195"/>
        <v>0.47798928280745595</v>
      </c>
    </row>
    <row r="99" spans="2:85">
      <c r="D99" s="38">
        <v>16</v>
      </c>
      <c r="E99" s="86">
        <f>E91</f>
        <v>29211</v>
      </c>
      <c r="F99" s="37">
        <f t="shared" si="164"/>
        <v>0.81594972067039107</v>
      </c>
      <c r="G99" s="38">
        <f>G91</f>
        <v>23841</v>
      </c>
      <c r="H99" s="37">
        <f t="shared" ref="H99:P99" si="207">H91</f>
        <v>0.66594972067039104</v>
      </c>
      <c r="I99" s="37">
        <f t="shared" si="207"/>
        <v>0.11286397470875331</v>
      </c>
      <c r="J99" s="38">
        <f t="shared" si="207"/>
        <v>21418</v>
      </c>
      <c r="K99" s="37">
        <f t="shared" si="207"/>
        <v>0.89836835703200368</v>
      </c>
      <c r="L99" s="7">
        <f t="shared" si="207"/>
        <v>1090.8097827655085</v>
      </c>
      <c r="M99" s="41">
        <f t="shared" si="207"/>
        <v>19507</v>
      </c>
      <c r="N99" s="37">
        <f t="shared" si="207"/>
        <v>0.91077598281819028</v>
      </c>
      <c r="O99" s="50">
        <f t="shared" si="207"/>
        <v>6074.8883447137923</v>
      </c>
      <c r="P99" s="91">
        <f t="shared" si="207"/>
        <v>0.54488826815642455</v>
      </c>
      <c r="Q99" s="7">
        <f>INDEX(Daggett!$B$7:$M$21, MATCH(D99,Daggett!$A$7:$A$21,0), MATCH(B$90,Daggett!$B$6:$M$6,0))</f>
        <v>716.54838709677415</v>
      </c>
      <c r="R99" s="4">
        <f t="shared" si="172"/>
        <v>0.90971455761857167</v>
      </c>
      <c r="S99" s="91">
        <f t="shared" si="185"/>
        <v>0.49569278981747139</v>
      </c>
      <c r="T99" s="104">
        <f t="shared" si="186"/>
        <v>0.93530611188326873</v>
      </c>
      <c r="U99" s="91">
        <f t="shared" si="187"/>
        <v>0.5096373275001933</v>
      </c>
      <c r="AE99" s="38">
        <v>16</v>
      </c>
      <c r="AF99" s="86">
        <v>34722</v>
      </c>
      <c r="AG99" s="37">
        <f t="shared" si="173"/>
        <v>0.96988826815642459</v>
      </c>
      <c r="AH99" s="38">
        <v>26504</v>
      </c>
      <c r="AI99" s="37">
        <f t="shared" si="174"/>
        <v>0.74033519553072624</v>
      </c>
      <c r="AJ99" s="37">
        <f t="shared" si="175"/>
        <v>0.17030425516462444</v>
      </c>
      <c r="AK99" s="38">
        <v>25069</v>
      </c>
      <c r="AL99" s="37">
        <f t="shared" si="176"/>
        <v>0.9458572290974947</v>
      </c>
      <c r="AM99" s="7">
        <f t="shared" si="177"/>
        <v>1276.7536858786318</v>
      </c>
      <c r="AN99" s="41">
        <v>22697</v>
      </c>
      <c r="AO99" s="37">
        <f t="shared" si="178"/>
        <v>0.90538114803143321</v>
      </c>
      <c r="AP99" s="50">
        <f t="shared" si="179"/>
        <v>7068.3211544557817</v>
      </c>
      <c r="AQ99" s="91">
        <f t="shared" si="188"/>
        <v>0.63399441340782126</v>
      </c>
      <c r="AR99" s="7">
        <f>INDEX(Daggett!$B$7:$M$21, MATCH(AE99,Daggett!$A$7:$A$21,0), MATCH(AC$90,Daggett!$B$6:$M$6,0))</f>
        <v>716.54838709677415</v>
      </c>
      <c r="AS99" s="4">
        <f t="shared" si="180"/>
        <v>0.92240392454797893</v>
      </c>
      <c r="AT99" s="91">
        <f t="shared" si="189"/>
        <v>0.58479893506886815</v>
      </c>
      <c r="AU99" s="104">
        <f t="shared" si="190"/>
        <v>0.94439865728981465</v>
      </c>
      <c r="AV99" s="91">
        <f t="shared" si="191"/>
        <v>0.59874347275159001</v>
      </c>
      <c r="BF99" s="38">
        <v>16</v>
      </c>
      <c r="BG99" s="86">
        <f>AF91</f>
        <v>23105</v>
      </c>
      <c r="BH99" s="37">
        <f t="shared" si="181"/>
        <v>0.64539106145251401</v>
      </c>
      <c r="BI99" s="38">
        <f t="shared" ref="BI99:BQ99" si="208">AH91</f>
        <v>20878</v>
      </c>
      <c r="BJ99" s="37">
        <f t="shared" si="208"/>
        <v>0.58318435754189946</v>
      </c>
      <c r="BK99" s="37">
        <f t="shared" si="208"/>
        <v>1.7810938720209335E-2</v>
      </c>
      <c r="BL99" s="38">
        <f t="shared" si="208"/>
        <v>16019</v>
      </c>
      <c r="BM99" s="37">
        <f t="shared" si="208"/>
        <v>0.76726697959574675</v>
      </c>
      <c r="BN99" s="7">
        <f t="shared" si="208"/>
        <v>815.84097068450285</v>
      </c>
      <c r="BO99" s="38">
        <f t="shared" si="208"/>
        <v>14612</v>
      </c>
      <c r="BP99" s="37">
        <f t="shared" si="208"/>
        <v>0.91216680192271682</v>
      </c>
      <c r="BQ99" s="50">
        <f t="shared" si="208"/>
        <v>4550.4828263166009</v>
      </c>
      <c r="BR99" s="91">
        <f t="shared" si="183"/>
        <v>0.40815642458100559</v>
      </c>
      <c r="BS99" s="103">
        <f>INDEX(Daggett!$B$7:$M$21, MATCH(BF99,Daggett!$A$7:$A$21,0), MATCH(BD$90,Daggett!$B$6:$M$6,0))</f>
        <v>716.54838709677415</v>
      </c>
      <c r="BT99" s="4">
        <f t="shared" si="184"/>
        <v>0.87946905799791109</v>
      </c>
      <c r="BU99" s="91">
        <f t="shared" si="193"/>
        <v>0.35896094624205244</v>
      </c>
      <c r="BV99" s="104">
        <f t="shared" si="194"/>
        <v>0.91363374791314833</v>
      </c>
      <c r="BW99" s="91">
        <f t="shared" si="195"/>
        <v>0.37290548392477441</v>
      </c>
    </row>
    <row r="100" spans="2:85">
      <c r="C100" s="7" t="s">
        <v>162</v>
      </c>
      <c r="D100" s="38">
        <v>17</v>
      </c>
      <c r="E100" s="86">
        <f>E90</f>
        <v>26801</v>
      </c>
      <c r="F100" s="37">
        <f t="shared" si="164"/>
        <v>0.74863128491620112</v>
      </c>
      <c r="G100" s="38">
        <f>G90</f>
        <v>16785</v>
      </c>
      <c r="H100" s="37">
        <f t="shared" ref="H100:P100" si="209">H90</f>
        <v>0.46885474860335197</v>
      </c>
      <c r="I100" s="37">
        <f t="shared" si="209"/>
        <v>0.31925804196144536</v>
      </c>
      <c r="J100" s="38">
        <f t="shared" si="209"/>
        <v>14359</v>
      </c>
      <c r="K100" s="37">
        <f t="shared" si="209"/>
        <v>0.85546619005064051</v>
      </c>
      <c r="L100" s="7">
        <f t="shared" si="209"/>
        <v>731.297864914088</v>
      </c>
      <c r="M100" s="41">
        <f t="shared" si="209"/>
        <v>12973</v>
      </c>
      <c r="N100" s="37">
        <f t="shared" si="209"/>
        <v>0.90347517236576358</v>
      </c>
      <c r="O100" s="50">
        <f t="shared" si="209"/>
        <v>4040.0638999319231</v>
      </c>
      <c r="P100" s="91">
        <f t="shared" si="209"/>
        <v>0.36237430167597767</v>
      </c>
      <c r="Q100" s="7">
        <f>INDEX(Daggett!$B$7:$M$21, MATCH(D100,Daggett!$A$7:$A$21,0), MATCH(B$90,Daggett!$B$6:$M$6,0))</f>
        <v>642.87096774193549</v>
      </c>
      <c r="R100" s="4">
        <f t="shared" si="172"/>
        <v>0.84868237867537233</v>
      </c>
      <c r="S100" s="91">
        <f t="shared" si="185"/>
        <v>0.30754068431719567</v>
      </c>
      <c r="T100" s="104">
        <f t="shared" si="186"/>
        <v>0.90272229434262885</v>
      </c>
      <c r="U100" s="91">
        <f t="shared" si="187"/>
        <v>0.32712336101974648</v>
      </c>
      <c r="AD100" s="7" t="s">
        <v>162</v>
      </c>
      <c r="AE100" s="38">
        <v>17</v>
      </c>
      <c r="AF100" s="86">
        <v>33760</v>
      </c>
      <c r="AG100" s="37">
        <f t="shared" si="173"/>
        <v>0.94301675977653632</v>
      </c>
      <c r="AH100" s="38">
        <v>20507</v>
      </c>
      <c r="AI100" s="37">
        <f t="shared" si="174"/>
        <v>0.57282122905027932</v>
      </c>
      <c r="AJ100" s="37">
        <f t="shared" si="175"/>
        <v>0.33974474551823619</v>
      </c>
      <c r="AK100" s="38">
        <v>19315</v>
      </c>
      <c r="AL100" s="37">
        <f t="shared" si="176"/>
        <v>0.94187350660749991</v>
      </c>
      <c r="AM100" s="7">
        <f t="shared" si="177"/>
        <v>983.70487226238663</v>
      </c>
      <c r="AN100" s="41">
        <v>17353</v>
      </c>
      <c r="AO100" s="37">
        <f t="shared" si="178"/>
        <v>0.89842091638622834</v>
      </c>
      <c r="AP100" s="50">
        <f t="shared" si="179"/>
        <v>5404.087632430329</v>
      </c>
      <c r="AQ100" s="91">
        <f t="shared" si="188"/>
        <v>0.48472067039106143</v>
      </c>
      <c r="AR100" s="7">
        <f>INDEX(Daggett!$B$7:$M$21, MATCH(AE100,Daggett!$A$7:$A$21,0), MATCH(AC$90,Daggett!$B$6:$M$6,0))</f>
        <v>642.87096774193549</v>
      </c>
      <c r="AS100" s="4">
        <f t="shared" si="180"/>
        <v>0.88687584271051711</v>
      </c>
      <c r="AT100" s="91">
        <f t="shared" si="189"/>
        <v>0.42988705303227942</v>
      </c>
      <c r="AU100" s="104">
        <f t="shared" si="190"/>
        <v>0.92727576352831931</v>
      </c>
      <c r="AV100" s="91">
        <f t="shared" si="191"/>
        <v>0.44946972973483029</v>
      </c>
      <c r="BE100" s="7" t="s">
        <v>162</v>
      </c>
      <c r="BF100" s="38">
        <v>17</v>
      </c>
      <c r="BG100" s="86">
        <f>AF90</f>
        <v>19758</v>
      </c>
      <c r="BH100" s="37">
        <f t="shared" si="181"/>
        <v>0.55189944134078217</v>
      </c>
      <c r="BI100" s="38">
        <f t="shared" ref="BI100:BQ100" si="210">AH90</f>
        <v>16197</v>
      </c>
      <c r="BJ100" s="37">
        <f t="shared" si="210"/>
        <v>0.45243016759776539</v>
      </c>
      <c r="BK100" s="37">
        <f t="shared" si="210"/>
        <v>0.10894651368515562</v>
      </c>
      <c r="BL100" s="38">
        <f t="shared" si="210"/>
        <v>11090</v>
      </c>
      <c r="BM100" s="37">
        <f t="shared" si="210"/>
        <v>0.6846946965487436</v>
      </c>
      <c r="BN100" s="7">
        <f t="shared" si="210"/>
        <v>564.80906204451821</v>
      </c>
      <c r="BO100" s="38">
        <f t="shared" si="210"/>
        <v>10075</v>
      </c>
      <c r="BP100" s="37">
        <f t="shared" si="210"/>
        <v>0.90847610459873762</v>
      </c>
      <c r="BQ100" s="50">
        <f t="shared" si="210"/>
        <v>3137.5660056898269</v>
      </c>
      <c r="BR100" s="91">
        <f t="shared" si="183"/>
        <v>0.28142458100558659</v>
      </c>
      <c r="BS100" s="103">
        <f>INDEX(Daggett!$B$7:$M$21, MATCH(BF100,Daggett!$A$7:$A$21,0), MATCH(BD$90,Daggett!$B$6:$M$6,0))</f>
        <v>642.87096774193549</v>
      </c>
      <c r="BT100" s="4">
        <f t="shared" si="184"/>
        <v>0.80515697256135033</v>
      </c>
      <c r="BU100" s="91">
        <f t="shared" si="193"/>
        <v>0.22659096364680459</v>
      </c>
      <c r="BV100" s="104">
        <f t="shared" si="194"/>
        <v>0.87474107439274684</v>
      </c>
      <c r="BW100" s="91">
        <f t="shared" si="195"/>
        <v>0.24617364034935543</v>
      </c>
    </row>
    <row r="101" spans="2:85">
      <c r="C101" s="7">
        <f>ROW(D101)-ROW(D89)+1</f>
        <v>13</v>
      </c>
      <c r="D101" s="38">
        <v>18</v>
      </c>
      <c r="E101" s="86">
        <f>E89</f>
        <v>23947</v>
      </c>
      <c r="F101" s="37">
        <f t="shared" si="164"/>
        <v>0.66891061452513967</v>
      </c>
      <c r="G101" s="38">
        <f>G89</f>
        <v>11379</v>
      </c>
      <c r="H101" s="37">
        <f t="shared" ref="H101:P101" si="211">H89</f>
        <v>0.31784916201117319</v>
      </c>
      <c r="I101" s="37">
        <f t="shared" si="211"/>
        <v>0.48350614854179796</v>
      </c>
      <c r="J101" s="38">
        <f t="shared" si="211"/>
        <v>8698</v>
      </c>
      <c r="K101" s="37">
        <f t="shared" si="211"/>
        <v>0.76439054398453288</v>
      </c>
      <c r="L101" s="7">
        <f t="shared" si="211"/>
        <v>442.98550240425777</v>
      </c>
      <c r="M101" s="41">
        <f t="shared" si="211"/>
        <v>7832</v>
      </c>
      <c r="N101" s="37">
        <f t="shared" si="211"/>
        <v>0.90043688204184869</v>
      </c>
      <c r="O101" s="50">
        <f t="shared" si="211"/>
        <v>2439.0488294355064</v>
      </c>
      <c r="P101" s="91">
        <f t="shared" si="211"/>
        <v>0.2187709497206704</v>
      </c>
      <c r="Q101" s="7">
        <f>INDEX(Daggett!$B$7:$M$21, MATCH(D101,Daggett!$A$7:$A$21,0), MATCH(B$90,Daggett!$B$6:$M$6,0))</f>
        <v>457.06451612903226</v>
      </c>
      <c r="R101" s="4">
        <f t="shared" si="172"/>
        <v>0.64746393563761506</v>
      </c>
      <c r="S101" s="91">
        <f t="shared" si="185"/>
        <v>0.14164630010932405</v>
      </c>
      <c r="T101" s="104">
        <f t="shared" si="186"/>
        <v>0.8388682743241731</v>
      </c>
      <c r="U101" s="91">
        <f t="shared" si="187"/>
        <v>0.18352000906443922</v>
      </c>
      <c r="AD101" s="7">
        <f>ROW(AE101)-ROW(AE89)+1</f>
        <v>13</v>
      </c>
      <c r="AE101" s="38">
        <v>18</v>
      </c>
      <c r="AF101" s="86">
        <v>32258</v>
      </c>
      <c r="AG101" s="37">
        <f t="shared" si="173"/>
        <v>0.90106145251396652</v>
      </c>
      <c r="AH101" s="38">
        <v>11758</v>
      </c>
      <c r="AI101" s="37">
        <f t="shared" si="174"/>
        <v>0.32843575418994414</v>
      </c>
      <c r="AJ101" s="37">
        <f t="shared" si="175"/>
        <v>0.60380572935058918</v>
      </c>
      <c r="AK101" s="38">
        <v>10968</v>
      </c>
      <c r="AL101" s="37">
        <f t="shared" si="176"/>
        <v>0.93281170267052216</v>
      </c>
      <c r="AM101" s="7">
        <f t="shared" si="177"/>
        <v>558.59565306621062</v>
      </c>
      <c r="AN101" s="41">
        <v>9683</v>
      </c>
      <c r="AO101" s="37">
        <f t="shared" si="178"/>
        <v>0.88284099197665933</v>
      </c>
      <c r="AP101" s="50">
        <f t="shared" si="179"/>
        <v>3015.4889958406548</v>
      </c>
      <c r="AQ101" s="91">
        <f t="shared" si="188"/>
        <v>0.27047486033519552</v>
      </c>
      <c r="AR101" s="7">
        <f>INDEX(Daggett!$B$7:$M$21, MATCH(AE101,Daggett!$A$7:$A$21,0), MATCH(AC$90,Daggett!$B$6:$M$6,0))</f>
        <v>457.06451612903226</v>
      </c>
      <c r="AS101" s="4">
        <f t="shared" si="180"/>
        <v>0.71485464669150067</v>
      </c>
      <c r="AT101" s="91">
        <f t="shared" si="189"/>
        <v>0.1933502107238492</v>
      </c>
      <c r="AU101" s="104">
        <f t="shared" si="190"/>
        <v>0.86967017706360883</v>
      </c>
      <c r="AV101" s="91">
        <f t="shared" si="191"/>
        <v>0.23522391967896436</v>
      </c>
      <c r="BE101" s="7">
        <f>ROW(BF101)-ROW(BF89)+1</f>
        <v>13</v>
      </c>
      <c r="BF101" s="38">
        <v>18</v>
      </c>
      <c r="BG101" s="86">
        <f>AF89</f>
        <v>16273</v>
      </c>
      <c r="BH101" s="37">
        <f t="shared" si="181"/>
        <v>0.45455307262569833</v>
      </c>
      <c r="BI101" s="38">
        <f t="shared" ref="BI101:BQ101" si="212">AH89</f>
        <v>9731</v>
      </c>
      <c r="BJ101" s="37">
        <f t="shared" si="212"/>
        <v>0.27181564245810058</v>
      </c>
      <c r="BK101" s="37">
        <f t="shared" si="212"/>
        <v>0.35001696595320597</v>
      </c>
      <c r="BL101" s="38">
        <f t="shared" si="212"/>
        <v>5620</v>
      </c>
      <c r="BM101" s="37">
        <f t="shared" si="212"/>
        <v>0.57753571061555853</v>
      </c>
      <c r="BN101" s="7">
        <f t="shared" si="212"/>
        <v>286.22424965646456</v>
      </c>
      <c r="BO101" s="38">
        <f t="shared" si="212"/>
        <v>5065</v>
      </c>
      <c r="BP101" s="37">
        <f t="shared" si="212"/>
        <v>0.9012455516014235</v>
      </c>
      <c r="BQ101" s="50">
        <f t="shared" si="212"/>
        <v>1577.347078790965</v>
      </c>
      <c r="BR101" s="91">
        <f t="shared" si="183"/>
        <v>0.1414804469273743</v>
      </c>
      <c r="BS101" s="103">
        <f>INDEX(Daggett!$B$7:$M$21, MATCH(BF101,Daggett!$A$7:$A$21,0), MATCH(BD$90,Daggett!$B$6:$M$6,0))</f>
        <v>457.06451612903226</v>
      </c>
      <c r="BT101" s="4">
        <f t="shared" si="184"/>
        <v>0.4548741448990723</v>
      </c>
      <c r="BU101" s="91">
        <f t="shared" si="193"/>
        <v>6.435579731602796E-2</v>
      </c>
      <c r="BV101" s="104">
        <f t="shared" si="194"/>
        <v>0.75084231480886943</v>
      </c>
      <c r="BW101" s="91">
        <f t="shared" si="195"/>
        <v>0.10622950627114311</v>
      </c>
    </row>
    <row r="102" spans="2:85">
      <c r="C102" s="7"/>
      <c r="D102" s="38"/>
      <c r="E102" s="86"/>
      <c r="F102" s="37"/>
      <c r="G102" s="38"/>
      <c r="H102" s="37"/>
      <c r="I102" s="37"/>
      <c r="J102" s="38"/>
      <c r="K102" s="37"/>
      <c r="L102" s="7"/>
      <c r="M102" s="38"/>
      <c r="N102" s="37"/>
      <c r="O102" s="50"/>
      <c r="P102" s="91"/>
      <c r="Q102" s="4"/>
      <c r="R102" s="4"/>
      <c r="S102" s="91"/>
      <c r="T102" s="104"/>
      <c r="U102" s="91"/>
      <c r="AD102" s="7"/>
      <c r="AE102" s="38"/>
      <c r="AF102" s="86"/>
      <c r="AG102" s="37"/>
      <c r="AH102" s="38"/>
      <c r="AI102" s="37"/>
      <c r="AJ102" s="37"/>
      <c r="AK102" s="38"/>
      <c r="AL102" s="37"/>
      <c r="AM102" s="7"/>
      <c r="AN102" s="38"/>
      <c r="AO102" s="37"/>
      <c r="AP102" s="50"/>
      <c r="AQ102" s="91"/>
      <c r="AR102" s="4"/>
      <c r="AS102" s="4"/>
      <c r="AT102" s="91"/>
      <c r="AU102" s="104"/>
      <c r="AV102" s="91"/>
      <c r="BE102" s="7"/>
      <c r="BF102" s="38"/>
      <c r="BG102" s="86"/>
      <c r="BH102" s="37"/>
      <c r="BI102" s="38"/>
      <c r="BJ102" s="37"/>
      <c r="BK102" s="37"/>
      <c r="BL102" s="38"/>
      <c r="BM102" s="37"/>
      <c r="BN102" s="7"/>
      <c r="BO102" s="38"/>
      <c r="BP102" s="37"/>
      <c r="BQ102" s="50"/>
      <c r="BR102" s="91"/>
      <c r="BS102" s="104"/>
      <c r="BT102" s="4"/>
      <c r="BU102" s="91"/>
      <c r="BV102" s="104"/>
      <c r="BW102" s="91"/>
    </row>
    <row r="103" spans="2:85" ht="49.5">
      <c r="B103" s="34"/>
      <c r="C103" s="63" t="s">
        <v>151</v>
      </c>
      <c r="D103" s="63" t="s">
        <v>89</v>
      </c>
      <c r="E103" s="89" t="s">
        <v>152</v>
      </c>
      <c r="F103" s="34" t="s">
        <v>125</v>
      </c>
      <c r="G103" s="63" t="s">
        <v>153</v>
      </c>
      <c r="H103" s="33" t="s">
        <v>154</v>
      </c>
      <c r="I103" s="34" t="s">
        <v>155</v>
      </c>
      <c r="J103" s="85" t="s">
        <v>156</v>
      </c>
      <c r="K103" s="35" t="s">
        <v>157</v>
      </c>
      <c r="L103" s="35" t="s">
        <v>158</v>
      </c>
      <c r="M103" s="85" t="s">
        <v>159</v>
      </c>
      <c r="N103" s="35" t="s">
        <v>72</v>
      </c>
      <c r="O103" s="35" t="s">
        <v>160</v>
      </c>
      <c r="P103" s="100" t="s">
        <v>129</v>
      </c>
      <c r="Q103" s="138" t="s">
        <v>161</v>
      </c>
      <c r="R103" s="67" t="s">
        <v>130</v>
      </c>
      <c r="S103" s="100" t="s">
        <v>131</v>
      </c>
      <c r="T103" s="107" t="s">
        <v>130</v>
      </c>
      <c r="U103" s="100" t="s">
        <v>131</v>
      </c>
      <c r="AC103" s="34"/>
      <c r="AD103" s="63" t="s">
        <v>151</v>
      </c>
      <c r="AE103" s="63" t="s">
        <v>89</v>
      </c>
      <c r="AF103" s="89" t="s">
        <v>152</v>
      </c>
      <c r="AG103" s="34" t="s">
        <v>125</v>
      </c>
      <c r="AH103" s="63" t="s">
        <v>153</v>
      </c>
      <c r="AI103" s="33" t="s">
        <v>154</v>
      </c>
      <c r="AJ103" s="34" t="s">
        <v>155</v>
      </c>
      <c r="AK103" s="85" t="s">
        <v>156</v>
      </c>
      <c r="AL103" s="35" t="s">
        <v>157</v>
      </c>
      <c r="AM103" s="35" t="s">
        <v>158</v>
      </c>
      <c r="AN103" s="85" t="s">
        <v>159</v>
      </c>
      <c r="AO103" s="35" t="s">
        <v>72</v>
      </c>
      <c r="AP103" s="35" t="s">
        <v>160</v>
      </c>
      <c r="AQ103" s="100" t="s">
        <v>129</v>
      </c>
      <c r="AR103" s="138" t="s">
        <v>161</v>
      </c>
      <c r="AS103" s="67" t="s">
        <v>130</v>
      </c>
      <c r="AT103" s="100" t="s">
        <v>131</v>
      </c>
      <c r="AU103" s="107" t="s">
        <v>130</v>
      </c>
      <c r="AV103" s="100" t="s">
        <v>131</v>
      </c>
      <c r="BD103" s="34"/>
      <c r="BE103" s="63" t="s">
        <v>151</v>
      </c>
      <c r="BF103" s="63" t="s">
        <v>89</v>
      </c>
      <c r="BG103" s="89" t="s">
        <v>152</v>
      </c>
      <c r="BH103" s="34" t="s">
        <v>125</v>
      </c>
      <c r="BI103" s="63" t="s">
        <v>153</v>
      </c>
      <c r="BJ103" s="33" t="s">
        <v>154</v>
      </c>
      <c r="BK103" s="34" t="s">
        <v>155</v>
      </c>
      <c r="BL103" s="85" t="s">
        <v>156</v>
      </c>
      <c r="BM103" s="35" t="s">
        <v>157</v>
      </c>
      <c r="BN103" s="35" t="s">
        <v>158</v>
      </c>
      <c r="BO103" s="85" t="s">
        <v>159</v>
      </c>
      <c r="BP103" s="35" t="s">
        <v>72</v>
      </c>
      <c r="BQ103" s="35" t="s">
        <v>160</v>
      </c>
      <c r="BR103" s="100" t="s">
        <v>129</v>
      </c>
      <c r="BS103" s="144" t="s">
        <v>161</v>
      </c>
      <c r="BT103" s="67" t="s">
        <v>130</v>
      </c>
      <c r="BU103" s="100" t="s">
        <v>131</v>
      </c>
      <c r="BV103" s="107" t="s">
        <v>130</v>
      </c>
      <c r="BW103" s="100" t="s">
        <v>131</v>
      </c>
    </row>
    <row r="104" spans="2:85" ht="22.9" customHeight="1">
      <c r="B104" s="2" t="s">
        <v>88</v>
      </c>
      <c r="C104" s="7">
        <v>173</v>
      </c>
      <c r="D104" s="38">
        <v>6</v>
      </c>
      <c r="E104" s="86">
        <v>23740</v>
      </c>
      <c r="F104" s="37">
        <f>E104/$C$10</f>
        <v>0.66312849162011178</v>
      </c>
      <c r="G104" s="38">
        <v>12849</v>
      </c>
      <c r="H104" s="37">
        <f t="shared" ref="H104:H110" si="213">G104/$C$10</f>
        <v>0.35891061452513967</v>
      </c>
      <c r="I104" s="37">
        <f t="shared" ref="I104:I110" si="214">1-G104/(E104*$C$8)</f>
        <v>0.4116973737225742</v>
      </c>
      <c r="J104" s="38">
        <v>9870</v>
      </c>
      <c r="K104" s="37">
        <f t="shared" ref="K104:K110" si="215">J104/G104</f>
        <v>0.76815316367032449</v>
      </c>
      <c r="L104" s="7">
        <f t="shared" ref="L104:L110" si="216">J104/(PI()*$C$18^2)</f>
        <v>502.67497226144224</v>
      </c>
      <c r="M104" s="41">
        <v>8902</v>
      </c>
      <c r="N104" s="37">
        <f t="shared" ref="N104:N110" si="217">M104/J104</f>
        <v>0.90192502532928065</v>
      </c>
      <c r="O104" s="50">
        <f t="shared" ref="O104:O110" si="218">M104/(PI()*$C$19^2)</f>
        <v>2772.2692389727881</v>
      </c>
      <c r="P104" s="91">
        <f t="shared" ref="P104:P110" si="219">M104/$C$10</f>
        <v>0.24865921787709497</v>
      </c>
      <c r="Q104" s="7">
        <f>INDEX(Daggett!$B$7:$M$21, MATCH(D104,Daggett!$A$7:$A$21,0), MATCH(B$105,Daggett!$B$6:$M$6,0))</f>
        <v>408.7</v>
      </c>
      <c r="R104" s="4">
        <f t="shared" ref="R104:R116" si="220">IF(1-$H$7*(($H$5+273)^4-298^4)*(PI()*$C$19^2)*1000/(M104*Q104*1000)&lt;0,#N/A,1-$H$7*(($H$5+273)^4-298^4)*(PI()*$C$19^2)*1000/(M104*Q104*1000))</f>
        <v>0.65313417787556838</v>
      </c>
      <c r="S104" s="91">
        <f t="shared" ref="S104:S116" si="221">R104*P104</f>
        <v>0.16240783383933827</v>
      </c>
      <c r="T104" s="104">
        <f>IF(1-$H$7*(($H$5+273)^4-298^4)/(O104*1000)&lt;0,#N/A,1-$H$7*(($H$5+273)^4-298^4)/(O104*1000))</f>
        <v>0.85823593849774482</v>
      </c>
      <c r="U104" s="91">
        <f>T104*P104</f>
        <v>0.21340827722086381</v>
      </c>
      <c r="V104" s="41"/>
      <c r="W104" s="37"/>
      <c r="X104" s="4"/>
      <c r="Y104" s="50"/>
      <c r="Z104" s="37"/>
      <c r="AA104" s="41"/>
      <c r="AC104" s="2" t="s">
        <v>88</v>
      </c>
      <c r="AD104" s="7">
        <v>173</v>
      </c>
      <c r="AE104" s="38">
        <v>6</v>
      </c>
      <c r="AF104" s="86">
        <v>16640</v>
      </c>
      <c r="AG104" s="37">
        <f>AF104/$C$10</f>
        <v>0.46480446927374303</v>
      </c>
      <c r="AH104" s="38">
        <v>11091</v>
      </c>
      <c r="AI104" s="37">
        <f>AH104/$C$10</f>
        <v>0.309804469273743</v>
      </c>
      <c r="AJ104" s="37">
        <f>1-AH104/(AF104*$AE$8)</f>
        <v>0.2755147366220736</v>
      </c>
      <c r="AK104" s="38">
        <v>6597</v>
      </c>
      <c r="AL104" s="37">
        <f>AK104/AH104</f>
        <v>0.59480659994590213</v>
      </c>
      <c r="AM104" s="7">
        <f t="shared" ref="AM104:AM116" si="222">AK104/(PI()*$C$18^2)</f>
        <v>335.98245106471472</v>
      </c>
      <c r="AN104" s="41">
        <v>5958</v>
      </c>
      <c r="AO104" s="37">
        <f>AN104/AK104</f>
        <v>0.903137789904502</v>
      </c>
      <c r="AP104" s="50">
        <f t="shared" ref="AP104:AP116" si="223">AN104/(PI()*$C$19^2)</f>
        <v>1855.4459813300236</v>
      </c>
      <c r="AQ104" s="91">
        <f>AN104/$C$10</f>
        <v>0.1664245810055866</v>
      </c>
      <c r="AR104" s="7">
        <f>INDEX(Daggett!$B$7:$M$21, MATCH(AE104,Daggett!$A$7:$A$21,0), MATCH(AC$105,Daggett!$B$6:$M$6,0))</f>
        <v>408.7</v>
      </c>
      <c r="AS104" s="4">
        <f t="shared" ref="AS104:AS116" si="224">IF(1-$H$7*(($H$5+273)^4-298^4)*(PI()*$C$19^2)*1000/(AN104*AR104*1000)&lt;0,#N/A,1-$H$7*(($H$5+273)^4-298^4)*(PI()*$C$19^2)*1000/(AN104*AR104*1000))</f>
        <v>0.48173891430820892</v>
      </c>
      <c r="AT104" s="91">
        <f>AS104*AQ104</f>
        <v>8.017319696782986E-2</v>
      </c>
      <c r="AU104" s="104">
        <f>IF(1-$H$7*(($H$5+273)^4-298^4)/(AP104*1000)&lt;0,#N/A,1-$H$7*(($H$5+273)^4-298^4)/(AP104*1000))</f>
        <v>0.788186694277765</v>
      </c>
      <c r="AV104" s="91">
        <f>AU104*AQ104</f>
        <v>0.13117364034935541</v>
      </c>
      <c r="BD104" s="2" t="s">
        <v>88</v>
      </c>
      <c r="BE104" s="7">
        <v>173</v>
      </c>
      <c r="BF104" s="38">
        <v>6</v>
      </c>
      <c r="BG104" s="86">
        <f>AF116</f>
        <v>32163</v>
      </c>
      <c r="BH104" s="37">
        <f>BG104/$C$10</f>
        <v>0.89840782122905027</v>
      </c>
      <c r="BI104" s="38">
        <f t="shared" ref="BI104:BQ104" si="225">AH116</f>
        <v>13201</v>
      </c>
      <c r="BJ104" s="37">
        <f t="shared" si="225"/>
        <v>0.36874301675977655</v>
      </c>
      <c r="BK104" s="37">
        <f t="shared" si="225"/>
        <v>0.55386894744028048</v>
      </c>
      <c r="BL104" s="38">
        <f t="shared" si="225"/>
        <v>12306</v>
      </c>
      <c r="BM104" s="37">
        <f t="shared" si="225"/>
        <v>0.93220210590106811</v>
      </c>
      <c r="BN104" s="7">
        <f t="shared" si="225"/>
        <v>626.73943350043646</v>
      </c>
      <c r="BO104" s="38">
        <f t="shared" si="225"/>
        <v>10908</v>
      </c>
      <c r="BP104" s="37">
        <f t="shared" si="225"/>
        <v>0.88639687957094104</v>
      </c>
      <c r="BQ104" s="50">
        <f t="shared" si="225"/>
        <v>3396.9796516193182</v>
      </c>
      <c r="BR104" s="91">
        <f t="shared" ref="BR104:BR116" si="226">BO104/$C$10</f>
        <v>0.30469273743016762</v>
      </c>
      <c r="BS104" s="103">
        <f>INDEX(Daggett!$B$7:$M$21, MATCH(BF104,Daggett!$A$7:$A$21,0), MATCH(BD$105,Daggett!$B$6:$M$6,0))</f>
        <v>408.7</v>
      </c>
      <c r="BT104" s="4">
        <f t="shared" ref="BT104:BT116" si="227">IF(1-$H$7*(($H$5+273)^4-298^4)*(PI()*$C$19^2)*1000/(BO104*BS104*1000)&lt;0,#N/A,1-$H$7*(($H$5+273)^4-298^4)*(PI()*$C$19^2)*1000/(BO104*BS104*1000))</f>
        <v>0.71692340038946734</v>
      </c>
      <c r="BU104" s="91">
        <f t="shared" ref="BU104:BU116" si="228">BT104*BR104</f>
        <v>0.21844135339241089</v>
      </c>
      <c r="BV104" s="104">
        <f>IF(1-$H$7*(($H$5+273)^4-298^4)/(BQ104*1000)&lt;0,#N/A,1-$H$7*(($H$5+273)^4-298^4)/(BQ104*1000))</f>
        <v>0.88430659373917531</v>
      </c>
      <c r="BW104" s="91">
        <f>BV104*BR104</f>
        <v>0.26944179677393643</v>
      </c>
      <c r="CG104" s="35"/>
    </row>
    <row r="105" spans="2:85">
      <c r="B105" s="2">
        <v>6</v>
      </c>
      <c r="C105" s="7"/>
      <c r="D105" s="38">
        <v>7</v>
      </c>
      <c r="E105" s="86">
        <v>26553</v>
      </c>
      <c r="F105" s="37">
        <f t="shared" ref="F105:F116" si="229">E105/$C$10</f>
        <v>0.74170391061452512</v>
      </c>
      <c r="G105" s="38">
        <v>17940</v>
      </c>
      <c r="H105" s="37">
        <f t="shared" si="213"/>
        <v>0.50111731843575424</v>
      </c>
      <c r="I105" s="37">
        <f t="shared" si="214"/>
        <v>0.26561970398824997</v>
      </c>
      <c r="J105" s="38">
        <v>15349</v>
      </c>
      <c r="K105" s="37">
        <f t="shared" si="215"/>
        <v>0.85557413600891863</v>
      </c>
      <c r="L105" s="7">
        <f t="shared" si="216"/>
        <v>781.71815088560049</v>
      </c>
      <c r="M105" s="41">
        <v>13919</v>
      </c>
      <c r="N105" s="37">
        <f t="shared" si="217"/>
        <v>0.90683432145416643</v>
      </c>
      <c r="O105" s="50">
        <f t="shared" si="218"/>
        <v>4334.6681124760999</v>
      </c>
      <c r="P105" s="91">
        <f t="shared" si="219"/>
        <v>0.38879888268156426</v>
      </c>
      <c r="Q105" s="7">
        <f>INDEX(Daggett!$B$7:$M$21, MATCH(D105,Daggett!$A$7:$A$21,0), MATCH(B$105,Daggett!$B$6:$M$6,0))</f>
        <v>642.29999999999995</v>
      </c>
      <c r="R105" s="4">
        <f t="shared" si="220"/>
        <v>0.85884125769356401</v>
      </c>
      <c r="S105" s="91">
        <f t="shared" si="221"/>
        <v>0.33391652139208711</v>
      </c>
      <c r="T105" s="104">
        <f t="shared" ref="T105:T114" si="230">IF(1-$H$7*(($H$5+273)^4-298^4)/(O105*1000)&lt;0,#N/A,1-$H$7*(($H$5+273)^4-298^4)/(O105*1000))</f>
        <v>0.90933373981657617</v>
      </c>
      <c r="U105" s="91">
        <f t="shared" ref="U105:U114" si="231">T105*P105</f>
        <v>0.35354794202533307</v>
      </c>
      <c r="AC105" s="2">
        <v>6</v>
      </c>
      <c r="AD105" s="7"/>
      <c r="AE105" s="38">
        <v>7</v>
      </c>
      <c r="AF105" s="86">
        <v>19988</v>
      </c>
      <c r="AG105" s="37">
        <f t="shared" ref="AG105:AG116" si="232">AF105/$C$10</f>
        <v>0.55832402234636869</v>
      </c>
      <c r="AH105" s="38">
        <v>17075</v>
      </c>
      <c r="AI105" s="37">
        <f t="shared" ref="AI105:AI116" si="233">AH105/$C$10</f>
        <v>0.47695530726256985</v>
      </c>
      <c r="AJ105" s="37">
        <f t="shared" ref="AJ105:AJ116" si="234">1-AH105/(AF105*$AE$8)</f>
        <v>7.1453741810303506E-2</v>
      </c>
      <c r="AK105" s="38">
        <v>11841</v>
      </c>
      <c r="AL105" s="37">
        <f t="shared" ref="AL105:AL116" si="235">AK105/AH105</f>
        <v>0.69346998535871152</v>
      </c>
      <c r="AM105" s="7">
        <f t="shared" si="222"/>
        <v>603.05717796836245</v>
      </c>
      <c r="AN105" s="41">
        <v>10750</v>
      </c>
      <c r="AO105" s="37">
        <f t="shared" ref="AO105:AO116" si="236">AN105/AK105</f>
        <v>0.90786251161219489</v>
      </c>
      <c r="AP105" s="50">
        <f t="shared" si="223"/>
        <v>3347.775142547458</v>
      </c>
      <c r="AQ105" s="91">
        <f t="shared" ref="AQ105:AQ116" si="237">AN105/$C$10</f>
        <v>0.30027932960893855</v>
      </c>
      <c r="AR105" s="7">
        <f>INDEX(Daggett!$B$7:$M$21, MATCH(AE105,Daggett!$A$7:$A$21,0), MATCH(AC$105,Daggett!$B$6:$M$6,0))</f>
        <v>642.29999999999995</v>
      </c>
      <c r="AS105" s="4">
        <f t="shared" si="224"/>
        <v>0.81722897356620627</v>
      </c>
      <c r="AT105" s="91">
        <f t="shared" ref="AT105:AT116" si="238">AS105*AQ105</f>
        <v>0.24539696831946139</v>
      </c>
      <c r="AU105" s="104">
        <f t="shared" ref="AU105:AU116" si="239">IF(1-$H$7*(($H$5+273)^4-298^4)/(AP105*1000)&lt;0,#N/A,1-$H$7*(($H$5+273)^4-298^4)/(AP105*1000))</f>
        <v>0.88260616972157435</v>
      </c>
      <c r="AV105" s="91">
        <f t="shared" ref="AV105:AV116" si="240">AU105*AQ105</f>
        <v>0.26502838895270736</v>
      </c>
      <c r="BD105" s="2">
        <v>6</v>
      </c>
      <c r="BE105" s="7"/>
      <c r="BF105" s="38">
        <v>7</v>
      </c>
      <c r="BG105" s="86">
        <f>AF115</f>
        <v>33634</v>
      </c>
      <c r="BH105" s="37">
        <f t="shared" ref="BH105:BH116" si="241">BG105/$C$10</f>
        <v>0.93949720670391057</v>
      </c>
      <c r="BI105" s="38">
        <f t="shared" ref="BI105:BQ105" si="242">AH115</f>
        <v>21840</v>
      </c>
      <c r="BJ105" s="37">
        <f t="shared" si="242"/>
        <v>0.61005586592178773</v>
      </c>
      <c r="BK105" s="37">
        <f t="shared" si="242"/>
        <v>0.29419247086928091</v>
      </c>
      <c r="BL105" s="38">
        <f t="shared" si="242"/>
        <v>20594</v>
      </c>
      <c r="BM105" s="37">
        <f t="shared" si="242"/>
        <v>0.94294871794871793</v>
      </c>
      <c r="BN105" s="7">
        <f t="shared" si="242"/>
        <v>1048.8438073710377</v>
      </c>
      <c r="BO105" s="38">
        <f t="shared" si="242"/>
        <v>18517</v>
      </c>
      <c r="BP105" s="37">
        <f t="shared" si="242"/>
        <v>0.89914538215014084</v>
      </c>
      <c r="BQ105" s="50">
        <f t="shared" si="242"/>
        <v>5766.5816106559332</v>
      </c>
      <c r="BR105" s="91">
        <f t="shared" si="226"/>
        <v>0.51723463687150839</v>
      </c>
      <c r="BS105" s="103">
        <f>INDEX(Daggett!$B$7:$M$21, MATCH(BF105,Daggett!$A$7:$A$21,0), MATCH(BD$105,Daggett!$B$6:$M$6,0))</f>
        <v>642.29999999999995</v>
      </c>
      <c r="BT105" s="4">
        <f t="shared" si="227"/>
        <v>0.89389271835808815</v>
      </c>
      <c r="BU105" s="91">
        <f t="shared" si="228"/>
        <v>0.46235227558203124</v>
      </c>
      <c r="BV105" s="104">
        <f t="shared" ref="BV105:BV116" si="243">IF(1-$H$7*(($H$5+273)^4-298^4)/(BQ105*1000)&lt;0,#N/A,1-$H$7*(($H$5+273)^4-298^4)/(BQ105*1000))</f>
        <v>0.93184729300140001</v>
      </c>
      <c r="BW105" s="91">
        <f t="shared" ref="BW105:BW116" si="244">BV105*BR105</f>
        <v>0.4819836962152772</v>
      </c>
    </row>
    <row r="106" spans="2:85">
      <c r="C106" s="7"/>
      <c r="D106" s="38">
        <v>8</v>
      </c>
      <c r="E106" s="86">
        <v>28929</v>
      </c>
      <c r="F106" s="37">
        <f t="shared" si="229"/>
        <v>0.80807262569832405</v>
      </c>
      <c r="G106" s="38">
        <v>24126</v>
      </c>
      <c r="H106" s="37">
        <f t="shared" si="213"/>
        <v>0.67391061452513967</v>
      </c>
      <c r="I106" s="37">
        <f t="shared" si="214"/>
        <v>9.3507793443317722E-2</v>
      </c>
      <c r="J106" s="38">
        <v>21524</v>
      </c>
      <c r="K106" s="37">
        <f t="shared" si="215"/>
        <v>0.89214954820525572</v>
      </c>
      <c r="L106" s="7">
        <f t="shared" si="216"/>
        <v>1096.2083184351857</v>
      </c>
      <c r="M106" s="41">
        <v>19632</v>
      </c>
      <c r="N106" s="37">
        <f t="shared" si="217"/>
        <v>0.91209812302546001</v>
      </c>
      <c r="O106" s="50">
        <f t="shared" si="218"/>
        <v>6113.8159626503902</v>
      </c>
      <c r="P106" s="91">
        <f t="shared" si="219"/>
        <v>0.54837988826815642</v>
      </c>
      <c r="Q106" s="7">
        <f>INDEX(Daggett!$B$7:$M$21, MATCH(D106,Daggett!$A$7:$A$21,0), MATCH(B$105,Daggett!$B$6:$M$6,0))</f>
        <v>749.86666666666667</v>
      </c>
      <c r="R106" s="4">
        <f t="shared" si="220"/>
        <v>0.91427546400173154</v>
      </c>
      <c r="S106" s="91">
        <f t="shared" si="221"/>
        <v>0.50137027679558643</v>
      </c>
      <c r="T106" s="104">
        <f t="shared" si="230"/>
        <v>0.93571802793943171</v>
      </c>
      <c r="U106" s="91">
        <f t="shared" si="231"/>
        <v>0.51312894761192518</v>
      </c>
      <c r="AD106" s="7"/>
      <c r="AE106" s="38">
        <v>8</v>
      </c>
      <c r="AF106" s="86">
        <v>23229</v>
      </c>
      <c r="AG106" s="37">
        <f t="shared" si="232"/>
        <v>0.64885474860335191</v>
      </c>
      <c r="AH106" s="38">
        <v>20993</v>
      </c>
      <c r="AI106" s="37">
        <f t="shared" si="233"/>
        <v>0.58639664804469271</v>
      </c>
      <c r="AJ106" s="37">
        <f t="shared" si="234"/>
        <v>1.7672811534307775E-2</v>
      </c>
      <c r="AK106" s="38">
        <v>16311</v>
      </c>
      <c r="AL106" s="37">
        <f t="shared" si="235"/>
        <v>0.77697327680655459</v>
      </c>
      <c r="AM106" s="7">
        <f t="shared" si="222"/>
        <v>830.71240856700956</v>
      </c>
      <c r="AN106" s="41">
        <v>14826</v>
      </c>
      <c r="AO106" s="37">
        <f t="shared" si="236"/>
        <v>0.90895714548464224</v>
      </c>
      <c r="AP106" s="50">
        <f t="shared" si="223"/>
        <v>4617.1269082240569</v>
      </c>
      <c r="AQ106" s="91">
        <f t="shared" si="237"/>
        <v>0.41413407821229048</v>
      </c>
      <c r="AR106" s="7">
        <f>INDEX(Daggett!$B$7:$M$21, MATCH(AE106,Daggett!$A$7:$A$21,0), MATCH(AC$105,Daggett!$B$6:$M$6,0))</f>
        <v>749.86666666666667</v>
      </c>
      <c r="AS106" s="4">
        <f t="shared" si="224"/>
        <v>0.88648697620949635</v>
      </c>
      <c r="AT106" s="91">
        <f t="shared" si="238"/>
        <v>0.36712446673972043</v>
      </c>
      <c r="AU106" s="104">
        <f t="shared" si="239"/>
        <v>0.91488036722696098</v>
      </c>
      <c r="AV106" s="91">
        <f t="shared" si="240"/>
        <v>0.37888313755605929</v>
      </c>
      <c r="BE106" s="7"/>
      <c r="BF106" s="38">
        <v>8</v>
      </c>
      <c r="BG106" s="86">
        <f>AF114</f>
        <v>34578</v>
      </c>
      <c r="BH106" s="37">
        <f t="shared" si="241"/>
        <v>0.96586592178770947</v>
      </c>
      <c r="BI106" s="38">
        <f t="shared" ref="BI106:BQ106" si="245">AH114</f>
        <v>27124</v>
      </c>
      <c r="BJ106" s="37">
        <f t="shared" si="245"/>
        <v>0.75765363128491625</v>
      </c>
      <c r="BK106" s="37">
        <f t="shared" si="245"/>
        <v>0.14735934132534645</v>
      </c>
      <c r="BL106" s="38">
        <f t="shared" si="245"/>
        <v>25630</v>
      </c>
      <c r="BM106" s="37">
        <f t="shared" si="245"/>
        <v>0.94491962837339627</v>
      </c>
      <c r="BN106" s="7">
        <f t="shared" si="245"/>
        <v>1305.3251812624887</v>
      </c>
      <c r="BO106" s="38">
        <f t="shared" si="245"/>
        <v>23254</v>
      </c>
      <c r="BP106" s="37">
        <f t="shared" si="245"/>
        <v>0.90729613733905579</v>
      </c>
      <c r="BQ106" s="50">
        <f t="shared" si="245"/>
        <v>7241.7826199812644</v>
      </c>
      <c r="BR106" s="91">
        <f t="shared" si="226"/>
        <v>0.64955307262569828</v>
      </c>
      <c r="BS106" s="103">
        <f>INDEX(Daggett!$B$7:$M$21, MATCH(BF106,Daggett!$A$7:$A$21,0), MATCH(BD$105,Daggett!$B$6:$M$6,0))</f>
        <v>749.86666666666667</v>
      </c>
      <c r="BT106" s="4">
        <f t="shared" si="227"/>
        <v>0.9276277590643327</v>
      </c>
      <c r="BU106" s="91">
        <f t="shared" si="228"/>
        <v>0.60254346115312829</v>
      </c>
      <c r="BV106" s="104">
        <f t="shared" si="243"/>
        <v>0.94573046893037427</v>
      </c>
      <c r="BW106" s="91">
        <f t="shared" si="244"/>
        <v>0.61430213196946704</v>
      </c>
    </row>
    <row r="107" spans="2:85">
      <c r="D107" s="38">
        <v>9</v>
      </c>
      <c r="E107" s="86">
        <v>30823</v>
      </c>
      <c r="F107" s="37">
        <f t="shared" si="229"/>
        <v>0.86097765363128487</v>
      </c>
      <c r="G107" s="38">
        <v>27147</v>
      </c>
      <c r="H107" s="37">
        <f t="shared" si="213"/>
        <v>0.75829608938547488</v>
      </c>
      <c r="I107" s="37">
        <f t="shared" si="214"/>
        <v>4.2675641707420664E-2</v>
      </c>
      <c r="J107" s="38">
        <v>24923</v>
      </c>
      <c r="K107" s="37">
        <f t="shared" si="215"/>
        <v>0.91807566213577929</v>
      </c>
      <c r="L107" s="7">
        <f t="shared" si="216"/>
        <v>1269.3179669373783</v>
      </c>
      <c r="M107" s="41">
        <v>22689</v>
      </c>
      <c r="N107" s="37">
        <f t="shared" si="217"/>
        <v>0.91036392087629903</v>
      </c>
      <c r="O107" s="50">
        <f t="shared" si="218"/>
        <v>7065.8297869078397</v>
      </c>
      <c r="P107" s="91">
        <f t="shared" si="219"/>
        <v>0.63377094972067038</v>
      </c>
      <c r="Q107" s="7">
        <f>INDEX(Daggett!$B$7:$M$21, MATCH(D107,Daggett!$A$7:$A$21,0), MATCH(B$105,Daggett!$B$6:$M$6,0))</f>
        <v>812.16666666666663</v>
      </c>
      <c r="R107" s="4">
        <f t="shared" si="220"/>
        <v>0.9315153530920024</v>
      </c>
      <c r="S107" s="91">
        <f t="shared" si="221"/>
        <v>0.59036737000850392</v>
      </c>
      <c r="T107" s="104">
        <f t="shared" si="230"/>
        <v>0.9443790526028879</v>
      </c>
      <c r="U107" s="91">
        <f t="shared" si="231"/>
        <v>0.59852000906443925</v>
      </c>
      <c r="AE107" s="38">
        <v>9</v>
      </c>
      <c r="AF107" s="86">
        <v>26221</v>
      </c>
      <c r="AG107" s="37">
        <f t="shared" si="232"/>
        <v>0.73243016759776536</v>
      </c>
      <c r="AH107" s="38">
        <v>24272</v>
      </c>
      <c r="AI107" s="37">
        <f t="shared" si="233"/>
        <v>0.67798882681564243</v>
      </c>
      <c r="AJ107" s="37">
        <f t="shared" si="234"/>
        <v>-6.1633307521518077E-3</v>
      </c>
      <c r="AK107" s="38">
        <v>20480</v>
      </c>
      <c r="AL107" s="37">
        <f t="shared" si="235"/>
        <v>0.84377059986816083</v>
      </c>
      <c r="AM107" s="7">
        <f t="shared" si="222"/>
        <v>1043.0378350470453</v>
      </c>
      <c r="AN107" s="41">
        <v>18582</v>
      </c>
      <c r="AO107" s="37">
        <f t="shared" si="236"/>
        <v>0.90732421875000002</v>
      </c>
      <c r="AP107" s="50">
        <f t="shared" si="223"/>
        <v>5786.8239719829644</v>
      </c>
      <c r="AQ107" s="91">
        <f t="shared" si="237"/>
        <v>0.5190502793296089</v>
      </c>
      <c r="AR107" s="7">
        <f>INDEX(Daggett!$B$7:$M$21, MATCH(AE107,Daggett!$A$7:$A$21,0), MATCH(AC$105,Daggett!$B$6:$M$6,0))</f>
        <v>812.16666666666663</v>
      </c>
      <c r="AS107" s="4">
        <f t="shared" si="224"/>
        <v>0.91637885299238198</v>
      </c>
      <c r="AT107" s="91">
        <f t="shared" si="238"/>
        <v>0.47564669961744249</v>
      </c>
      <c r="AU107" s="104">
        <f t="shared" si="239"/>
        <v>0.93208569177197953</v>
      </c>
      <c r="AV107" s="91">
        <f t="shared" si="240"/>
        <v>0.48379933867337771</v>
      </c>
      <c r="BF107" s="38">
        <v>9</v>
      </c>
      <c r="BG107" s="86">
        <f>AF113</f>
        <v>34975</v>
      </c>
      <c r="BH107" s="37">
        <f t="shared" si="241"/>
        <v>0.97695530726256985</v>
      </c>
      <c r="BI107" s="38">
        <f t="shared" ref="BI107:BQ107" si="246">AH113</f>
        <v>29386</v>
      </c>
      <c r="BJ107" s="37">
        <f t="shared" si="246"/>
        <v>0.82083798882681569</v>
      </c>
      <c r="BK107" s="37">
        <f t="shared" si="246"/>
        <v>8.6738975044286293E-2</v>
      </c>
      <c r="BL107" s="38">
        <f t="shared" si="246"/>
        <v>27815</v>
      </c>
      <c r="BM107" s="37">
        <f t="shared" si="246"/>
        <v>0.9465391683114408</v>
      </c>
      <c r="BN107" s="7">
        <f t="shared" si="246"/>
        <v>1416.606317472342</v>
      </c>
      <c r="BO107" s="38">
        <f t="shared" si="246"/>
        <v>25346</v>
      </c>
      <c r="BP107" s="37">
        <f t="shared" si="246"/>
        <v>0.91123494517346759</v>
      </c>
      <c r="BQ107" s="50">
        <f t="shared" si="246"/>
        <v>7893.2752337681741</v>
      </c>
      <c r="BR107" s="91">
        <f t="shared" si="226"/>
        <v>0.70798882681564246</v>
      </c>
      <c r="BS107" s="103">
        <f>INDEX(Daggett!$B$7:$M$21, MATCH(BF107,Daggett!$A$7:$A$21,0), MATCH(BD$105,Daggett!$B$6:$M$6,0))</f>
        <v>812.16666666666663</v>
      </c>
      <c r="BT107" s="4">
        <f t="shared" si="227"/>
        <v>0.9386945413992126</v>
      </c>
      <c r="BU107" s="91">
        <f t="shared" si="228"/>
        <v>0.664585247103476</v>
      </c>
      <c r="BV107" s="104">
        <f t="shared" si="243"/>
        <v>0.95020975003972719</v>
      </c>
      <c r="BW107" s="91">
        <f t="shared" si="244"/>
        <v>0.67273788615941132</v>
      </c>
    </row>
    <row r="108" spans="2:85">
      <c r="C108" s="7"/>
      <c r="D108" s="38">
        <v>10</v>
      </c>
      <c r="E108" s="86">
        <v>33202</v>
      </c>
      <c r="F108" s="37">
        <f t="shared" si="229"/>
        <v>0.92743016759776531</v>
      </c>
      <c r="G108" s="38">
        <v>28536</v>
      </c>
      <c r="H108" s="37">
        <f t="shared" si="213"/>
        <v>0.79709497206703905</v>
      </c>
      <c r="I108" s="37">
        <f t="shared" si="214"/>
        <v>6.579750303150933E-2</v>
      </c>
      <c r="J108" s="38">
        <v>26598</v>
      </c>
      <c r="K108" s="37">
        <f t="shared" si="215"/>
        <v>0.93208578637510509</v>
      </c>
      <c r="L108" s="7">
        <f t="shared" si="216"/>
        <v>1354.6250164346343</v>
      </c>
      <c r="M108" s="41">
        <v>24191</v>
      </c>
      <c r="N108" s="37">
        <f t="shared" si="217"/>
        <v>0.90950447402060308</v>
      </c>
      <c r="O108" s="50">
        <f t="shared" si="218"/>
        <v>7533.5840440340053</v>
      </c>
      <c r="P108" s="91">
        <f t="shared" si="219"/>
        <v>0.67572625698324018</v>
      </c>
      <c r="Q108" s="7">
        <f>INDEX(Daggett!$B$7:$M$21, MATCH(D108,Daggett!$A$7:$A$21,0), MATCH(B$105,Daggett!$B$6:$M$6,0))</f>
        <v>837.43333333333328</v>
      </c>
      <c r="R108" s="4">
        <f t="shared" si="220"/>
        <v>0.93770550464235936</v>
      </c>
      <c r="S108" s="91">
        <f t="shared" si="221"/>
        <v>0.63363223080456188</v>
      </c>
      <c r="T108" s="104">
        <f t="shared" si="230"/>
        <v>0.94783251310433314</v>
      </c>
      <c r="U108" s="91">
        <f t="shared" si="231"/>
        <v>0.64047531632700894</v>
      </c>
      <c r="AD108" s="7"/>
      <c r="AE108" s="38">
        <v>10</v>
      </c>
      <c r="AF108" s="86">
        <v>28868</v>
      </c>
      <c r="AG108" s="37">
        <f t="shared" si="232"/>
        <v>0.80636871508379893</v>
      </c>
      <c r="AH108" s="38">
        <v>26047</v>
      </c>
      <c r="AI108" s="37">
        <f t="shared" si="233"/>
        <v>0.72756983240223461</v>
      </c>
      <c r="AJ108" s="37">
        <f t="shared" si="234"/>
        <v>1.9261586471555736E-2</v>
      </c>
      <c r="AK108" s="38">
        <v>23211</v>
      </c>
      <c r="AL108" s="37">
        <f t="shared" si="235"/>
        <v>0.8911198986447576</v>
      </c>
      <c r="AM108" s="7">
        <f t="shared" si="222"/>
        <v>1182.1265229139144</v>
      </c>
      <c r="AN108" s="41">
        <v>21122</v>
      </c>
      <c r="AO108" s="37">
        <f t="shared" si="236"/>
        <v>0.90999956916979019</v>
      </c>
      <c r="AP108" s="50">
        <f t="shared" si="223"/>
        <v>6577.8331684546429</v>
      </c>
      <c r="AQ108" s="91">
        <f t="shared" si="237"/>
        <v>0.59</v>
      </c>
      <c r="AR108" s="7">
        <f>INDEX(Daggett!$B$7:$M$21, MATCH(AE108,Daggett!$A$7:$A$21,0), MATCH(AC$105,Daggett!$B$6:$M$6,0))</f>
        <v>837.43333333333328</v>
      </c>
      <c r="AS108" s="4">
        <f t="shared" si="224"/>
        <v>0.9286541929174944</v>
      </c>
      <c r="AT108" s="91">
        <f t="shared" si="238"/>
        <v>0.54790597382132167</v>
      </c>
      <c r="AU108" s="104">
        <f t="shared" si="239"/>
        <v>0.94025264295554034</v>
      </c>
      <c r="AV108" s="91">
        <f t="shared" si="240"/>
        <v>0.55474905934376872</v>
      </c>
      <c r="BE108" s="7"/>
      <c r="BF108" s="38">
        <v>10</v>
      </c>
      <c r="BG108" s="86">
        <f>AF112</f>
        <v>34816</v>
      </c>
      <c r="BH108" s="37">
        <f t="shared" si="241"/>
        <v>0.97251396648044697</v>
      </c>
      <c r="BI108" s="38">
        <f t="shared" ref="BI108:BQ108" si="247">AH112</f>
        <v>30032</v>
      </c>
      <c r="BJ108" s="37">
        <f t="shared" si="247"/>
        <v>0.83888268156424584</v>
      </c>
      <c r="BK108" s="37">
        <f t="shared" si="247"/>
        <v>6.2400095907928388E-2</v>
      </c>
      <c r="BL108" s="38">
        <f t="shared" si="247"/>
        <v>28457</v>
      </c>
      <c r="BM108" s="37">
        <f t="shared" si="247"/>
        <v>0.94755594033031432</v>
      </c>
      <c r="BN108" s="7">
        <f t="shared" si="247"/>
        <v>1449.3031089811409</v>
      </c>
      <c r="BO108" s="38">
        <f t="shared" si="247"/>
        <v>25762</v>
      </c>
      <c r="BP108" s="37">
        <f t="shared" si="247"/>
        <v>0.90529570931580983</v>
      </c>
      <c r="BQ108" s="50">
        <f t="shared" si="247"/>
        <v>8022.8263462611731</v>
      </c>
      <c r="BR108" s="91">
        <f t="shared" si="226"/>
        <v>0.71960893854748609</v>
      </c>
      <c r="BS108" s="103">
        <f>INDEX(Daggett!$B$7:$M$21, MATCH(BF108,Daggett!$A$7:$A$21,0), MATCH(BD$105,Daggett!$B$6:$M$6,0))</f>
        <v>837.43333333333328</v>
      </c>
      <c r="BT108" s="4">
        <f t="shared" si="227"/>
        <v>0.94150430334614221</v>
      </c>
      <c r="BU108" s="91">
        <f t="shared" si="228"/>
        <v>0.67751491236880779</v>
      </c>
      <c r="BV108" s="104">
        <f t="shared" si="243"/>
        <v>0.95101375376550434</v>
      </c>
      <c r="BW108" s="91">
        <f t="shared" si="244"/>
        <v>0.68435799789125484</v>
      </c>
    </row>
    <row r="109" spans="2:85">
      <c r="C109" s="7"/>
      <c r="D109" s="38">
        <v>11</v>
      </c>
      <c r="E109" s="86">
        <v>33039</v>
      </c>
      <c r="F109" s="37">
        <f t="shared" si="229"/>
        <v>0.92287709497206705</v>
      </c>
      <c r="G109" s="38">
        <v>28643</v>
      </c>
      <c r="H109" s="37">
        <f t="shared" si="213"/>
        <v>0.80008379888268155</v>
      </c>
      <c r="I109" s="37">
        <f t="shared" si="214"/>
        <v>5.7668341893704067E-2</v>
      </c>
      <c r="J109" s="38">
        <v>26851</v>
      </c>
      <c r="K109" s="37">
        <f t="shared" si="215"/>
        <v>0.93743672101386033</v>
      </c>
      <c r="L109" s="7">
        <f t="shared" si="216"/>
        <v>1367.5102006273542</v>
      </c>
      <c r="M109" s="41">
        <v>24401</v>
      </c>
      <c r="N109" s="37">
        <f t="shared" si="217"/>
        <v>0.90875572604372279</v>
      </c>
      <c r="O109" s="50">
        <f t="shared" si="218"/>
        <v>7598.9824421674903</v>
      </c>
      <c r="P109" s="91">
        <f t="shared" si="219"/>
        <v>0.68159217877094969</v>
      </c>
      <c r="Q109" s="7">
        <f>INDEX(Daggett!$B$7:$M$21, MATCH(D109,Daggett!$A$7:$A$21,0), MATCH(B$105,Daggett!$B$6:$M$6,0))</f>
        <v>853.83333333333337</v>
      </c>
      <c r="R109" s="4">
        <f t="shared" si="220"/>
        <v>0.9394278475580915</v>
      </c>
      <c r="S109" s="91">
        <f t="shared" si="221"/>
        <v>0.64030667341522318</v>
      </c>
      <c r="T109" s="104">
        <f t="shared" si="230"/>
        <v>0.94828147717335043</v>
      </c>
      <c r="U109" s="91">
        <f t="shared" si="231"/>
        <v>0.64634123811471855</v>
      </c>
      <c r="AD109" s="7"/>
      <c r="AE109" s="38">
        <v>11</v>
      </c>
      <c r="AF109" s="86">
        <v>31098</v>
      </c>
      <c r="AG109" s="37">
        <f t="shared" si="232"/>
        <v>0.86865921787709499</v>
      </c>
      <c r="AH109" s="38">
        <v>27730</v>
      </c>
      <c r="AI109" s="37">
        <f t="shared" si="233"/>
        <v>0.77458100558659215</v>
      </c>
      <c r="AJ109" s="37">
        <f t="shared" si="234"/>
        <v>3.0763896461956208E-2</v>
      </c>
      <c r="AK109" s="38">
        <v>25544</v>
      </c>
      <c r="AL109" s="37">
        <f t="shared" si="235"/>
        <v>0.9211684096646231</v>
      </c>
      <c r="AM109" s="7">
        <f t="shared" si="222"/>
        <v>1300.9452372285998</v>
      </c>
      <c r="AN109" s="41">
        <v>23204</v>
      </c>
      <c r="AO109" s="37">
        <f t="shared" si="236"/>
        <v>0.90839336047604136</v>
      </c>
      <c r="AP109" s="50">
        <f t="shared" si="223"/>
        <v>7226.2115728066246</v>
      </c>
      <c r="AQ109" s="91">
        <f t="shared" si="237"/>
        <v>0.64815642458100564</v>
      </c>
      <c r="AR109" s="7">
        <f>INDEX(Daggett!$B$7:$M$21, MATCH(AE109,Daggett!$A$7:$A$21,0), MATCH(AC$105,Daggett!$B$6:$M$6,0))</f>
        <v>853.83333333333337</v>
      </c>
      <c r="AS109" s="4">
        <f t="shared" si="224"/>
        <v>0.93630317653270945</v>
      </c>
      <c r="AT109" s="91">
        <f t="shared" si="238"/>
        <v>0.60687091922527914</v>
      </c>
      <c r="AU109" s="104">
        <f t="shared" si="239"/>
        <v>0.94561352889617845</v>
      </c>
      <c r="AV109" s="91">
        <f t="shared" si="240"/>
        <v>0.61290548392477451</v>
      </c>
      <c r="BE109" s="7"/>
      <c r="BF109" s="38">
        <v>11</v>
      </c>
      <c r="BG109" s="86">
        <f>AF111</f>
        <v>34105</v>
      </c>
      <c r="BH109" s="37">
        <f t="shared" si="241"/>
        <v>0.9526536312849162</v>
      </c>
      <c r="BI109" s="38">
        <f t="shared" ref="BI109:BQ109" si="248">AH111</f>
        <v>29330</v>
      </c>
      <c r="BJ109" s="37">
        <f t="shared" si="248"/>
        <v>0.81927374301675981</v>
      </c>
      <c r="BK109" s="37">
        <f t="shared" si="248"/>
        <v>6.522695256974953E-2</v>
      </c>
      <c r="BL109" s="38">
        <f t="shared" si="248"/>
        <v>27774</v>
      </c>
      <c r="BM109" s="37">
        <f t="shared" si="248"/>
        <v>0.94694851687691783</v>
      </c>
      <c r="BN109" s="7">
        <f t="shared" si="248"/>
        <v>1414.5182046189764</v>
      </c>
      <c r="BO109" s="38">
        <f t="shared" si="248"/>
        <v>25240</v>
      </c>
      <c r="BP109" s="37">
        <f t="shared" si="248"/>
        <v>0.90876359184849143</v>
      </c>
      <c r="BQ109" s="50">
        <f t="shared" si="248"/>
        <v>7860.2646137579386</v>
      </c>
      <c r="BR109" s="91">
        <f t="shared" si="226"/>
        <v>0.70502793296089383</v>
      </c>
      <c r="BS109" s="103">
        <f>INDEX(Daggett!$B$7:$M$21, MATCH(BF109,Daggett!$A$7:$A$21,0), MATCH(BD$105,Daggett!$B$6:$M$6,0))</f>
        <v>853.83333333333337</v>
      </c>
      <c r="BT109" s="4">
        <f t="shared" si="227"/>
        <v>0.94144131966184585</v>
      </c>
      <c r="BU109" s="91">
        <f t="shared" si="228"/>
        <v>0.66374242760516733</v>
      </c>
      <c r="BV109" s="104">
        <f t="shared" si="243"/>
        <v>0.95000064677127272</v>
      </c>
      <c r="BW109" s="91">
        <f t="shared" si="244"/>
        <v>0.66977699230466259</v>
      </c>
    </row>
    <row r="110" spans="2:85">
      <c r="D110" s="38">
        <v>12</v>
      </c>
      <c r="E110" s="86">
        <v>33319</v>
      </c>
      <c r="F110" s="37">
        <f t="shared" si="229"/>
        <v>0.93069832402234642</v>
      </c>
      <c r="G110" s="38">
        <v>28826</v>
      </c>
      <c r="H110" s="37">
        <f t="shared" si="213"/>
        <v>0.80519553072625694</v>
      </c>
      <c r="I110" s="37">
        <f t="shared" si="214"/>
        <v>5.9617374601513395E-2</v>
      </c>
      <c r="J110" s="38">
        <v>27147</v>
      </c>
      <c r="K110" s="37">
        <f t="shared" si="215"/>
        <v>0.94175397210851319</v>
      </c>
      <c r="L110" s="7">
        <f t="shared" si="216"/>
        <v>1382.5853568370185</v>
      </c>
      <c r="M110" s="41">
        <v>24675</v>
      </c>
      <c r="N110" s="37">
        <f t="shared" si="217"/>
        <v>0.90894021438833017</v>
      </c>
      <c r="O110" s="50">
        <f t="shared" si="218"/>
        <v>7684.3117806845139</v>
      </c>
      <c r="P110" s="91">
        <f t="shared" si="219"/>
        <v>0.68924581005586594</v>
      </c>
      <c r="Q110" s="7">
        <f>INDEX(Daggett!$B$7:$M$21, MATCH(D110,Daggett!$A$7:$A$21,0), MATCH(B$105,Daggett!$B$6:$M$6,0))</f>
        <v>859.43333333333328</v>
      </c>
      <c r="R110" s="4">
        <f t="shared" si="220"/>
        <v>0.94049076301693213</v>
      </c>
      <c r="S110" s="91">
        <f t="shared" si="221"/>
        <v>0.64822931780566484</v>
      </c>
      <c r="T110" s="104">
        <f t="shared" si="230"/>
        <v>0.94885577809551869</v>
      </c>
      <c r="U110" s="91">
        <f t="shared" si="231"/>
        <v>0.6539948693996348</v>
      </c>
      <c r="AE110" s="38">
        <v>12</v>
      </c>
      <c r="AF110" s="86">
        <v>32857</v>
      </c>
      <c r="AG110" s="37">
        <f t="shared" si="232"/>
        <v>0.91779329608938542</v>
      </c>
      <c r="AH110" s="38">
        <v>28972</v>
      </c>
      <c r="AI110" s="37">
        <f t="shared" si="233"/>
        <v>0.80927374301675981</v>
      </c>
      <c r="AJ110" s="37">
        <f t="shared" si="234"/>
        <v>4.1564831000210467E-2</v>
      </c>
      <c r="AK110" s="38">
        <v>27105</v>
      </c>
      <c r="AL110" s="37">
        <f t="shared" si="235"/>
        <v>0.93555847024713512</v>
      </c>
      <c r="AM110" s="7">
        <f t="shared" si="222"/>
        <v>1380.4463144018634</v>
      </c>
      <c r="AN110" s="41">
        <v>24590</v>
      </c>
      <c r="AO110" s="37">
        <f t="shared" si="236"/>
        <v>0.90721269138535321</v>
      </c>
      <c r="AP110" s="50">
        <f t="shared" si="223"/>
        <v>7657.8410004876278</v>
      </c>
      <c r="AQ110" s="91">
        <f t="shared" si="237"/>
        <v>0.68687150837988831</v>
      </c>
      <c r="AR110" s="7">
        <f>INDEX(Daggett!$B$7:$M$21, MATCH(AE110,Daggett!$A$7:$A$21,0), MATCH(AC$105,Daggett!$B$6:$M$6,0))</f>
        <v>859.43333333333328</v>
      </c>
      <c r="AS110" s="4">
        <f t="shared" si="224"/>
        <v>0.94028505804972751</v>
      </c>
      <c r="AT110" s="91">
        <f t="shared" si="238"/>
        <v>0.64585501612968721</v>
      </c>
      <c r="AU110" s="104">
        <f t="shared" si="239"/>
        <v>0.94867898838987086</v>
      </c>
      <c r="AV110" s="91">
        <f t="shared" si="240"/>
        <v>0.65162056772365717</v>
      </c>
      <c r="BF110" s="38">
        <v>12</v>
      </c>
      <c r="BG110" s="86">
        <f>AF110</f>
        <v>32857</v>
      </c>
      <c r="BH110" s="37">
        <f t="shared" si="241"/>
        <v>0.91779329608938542</v>
      </c>
      <c r="BI110" s="38">
        <f t="shared" ref="BI110:BQ110" si="249">AH110</f>
        <v>28972</v>
      </c>
      <c r="BJ110" s="37">
        <f t="shared" si="249"/>
        <v>0.80927374301675981</v>
      </c>
      <c r="BK110" s="37">
        <f t="shared" si="249"/>
        <v>4.1564831000210467E-2</v>
      </c>
      <c r="BL110" s="38">
        <f t="shared" si="249"/>
        <v>27105</v>
      </c>
      <c r="BM110" s="37">
        <f t="shared" si="249"/>
        <v>0.93555847024713512</v>
      </c>
      <c r="BN110" s="7">
        <f t="shared" si="249"/>
        <v>1380.4463144018634</v>
      </c>
      <c r="BO110" s="38">
        <f t="shared" si="249"/>
        <v>24590</v>
      </c>
      <c r="BP110" s="37">
        <f t="shared" si="249"/>
        <v>0.90721269138535321</v>
      </c>
      <c r="BQ110" s="50">
        <f t="shared" si="249"/>
        <v>7657.8410004876278</v>
      </c>
      <c r="BR110" s="91">
        <f t="shared" si="226"/>
        <v>0.68687150837988831</v>
      </c>
      <c r="BS110" s="103">
        <f>INDEX(Daggett!$B$7:$M$21, MATCH(BF110,Daggett!$A$7:$A$21,0), MATCH(BD$105,Daggett!$B$6:$M$6,0))</f>
        <v>859.43333333333328</v>
      </c>
      <c r="BT110" s="4">
        <f t="shared" si="227"/>
        <v>0.94028505804972751</v>
      </c>
      <c r="BU110" s="91">
        <f t="shared" si="228"/>
        <v>0.64585501612968721</v>
      </c>
      <c r="BV110" s="104">
        <f t="shared" si="243"/>
        <v>0.94867898838987086</v>
      </c>
      <c r="BW110" s="91">
        <f t="shared" si="244"/>
        <v>0.65162056772365717</v>
      </c>
    </row>
    <row r="111" spans="2:85">
      <c r="D111" s="38">
        <v>13</v>
      </c>
      <c r="E111" s="86">
        <f>E109</f>
        <v>33039</v>
      </c>
      <c r="F111" s="37">
        <f t="shared" si="229"/>
        <v>0.92287709497206705</v>
      </c>
      <c r="G111" s="38">
        <f>G109</f>
        <v>28643</v>
      </c>
      <c r="H111" s="37">
        <f t="shared" ref="H111:P111" si="250">H109</f>
        <v>0.80008379888268155</v>
      </c>
      <c r="I111" s="37">
        <f t="shared" si="250"/>
        <v>5.7668341893704067E-2</v>
      </c>
      <c r="J111" s="38">
        <f t="shared" si="250"/>
        <v>26851</v>
      </c>
      <c r="K111" s="37">
        <f t="shared" si="250"/>
        <v>0.93743672101386033</v>
      </c>
      <c r="L111" s="7">
        <f t="shared" si="250"/>
        <v>1367.5102006273542</v>
      </c>
      <c r="M111" s="41">
        <f t="shared" si="250"/>
        <v>24401</v>
      </c>
      <c r="N111" s="37">
        <f t="shared" si="250"/>
        <v>0.90875572604372279</v>
      </c>
      <c r="O111" s="50">
        <f t="shared" si="250"/>
        <v>7598.9824421674903</v>
      </c>
      <c r="P111" s="91">
        <f t="shared" si="250"/>
        <v>0.68159217877094969</v>
      </c>
      <c r="Q111" s="7">
        <f>INDEX(Daggett!$B$7:$M$21, MATCH(D111,Daggett!$A$7:$A$21,0), MATCH(B$105,Daggett!$B$6:$M$6,0))</f>
        <v>826.4666666666667</v>
      </c>
      <c r="R111" s="4">
        <f t="shared" si="220"/>
        <v>0.93742213096719018</v>
      </c>
      <c r="S111" s="91">
        <f t="shared" si="221"/>
        <v>0.63893959267403366</v>
      </c>
      <c r="T111" s="104">
        <f t="shared" si="230"/>
        <v>0.94828147717335043</v>
      </c>
      <c r="U111" s="91">
        <f t="shared" si="231"/>
        <v>0.64634123811471855</v>
      </c>
      <c r="AE111" s="38">
        <v>13</v>
      </c>
      <c r="AF111" s="86">
        <v>34105</v>
      </c>
      <c r="AG111" s="37">
        <f t="shared" si="232"/>
        <v>0.9526536312849162</v>
      </c>
      <c r="AH111" s="38">
        <v>29330</v>
      </c>
      <c r="AI111" s="37">
        <f t="shared" si="233"/>
        <v>0.81927374301675981</v>
      </c>
      <c r="AJ111" s="37">
        <f t="shared" si="234"/>
        <v>6.522695256974953E-2</v>
      </c>
      <c r="AK111" s="38">
        <v>27774</v>
      </c>
      <c r="AL111" s="37">
        <f t="shared" si="235"/>
        <v>0.94694851687691783</v>
      </c>
      <c r="AM111" s="7">
        <f t="shared" si="222"/>
        <v>1414.5182046189764</v>
      </c>
      <c r="AN111" s="41">
        <v>25240</v>
      </c>
      <c r="AO111" s="37">
        <f t="shared" si="236"/>
        <v>0.90876359184849143</v>
      </c>
      <c r="AP111" s="50">
        <f t="shared" si="223"/>
        <v>7860.2646137579386</v>
      </c>
      <c r="AQ111" s="91">
        <f t="shared" si="237"/>
        <v>0.70502793296089383</v>
      </c>
      <c r="AR111" s="7">
        <f>INDEX(Daggett!$B$7:$M$21, MATCH(AE111,Daggett!$A$7:$A$21,0), MATCH(AC$105,Daggett!$B$6:$M$6,0))</f>
        <v>826.4666666666667</v>
      </c>
      <c r="AS111" s="4">
        <f t="shared" si="224"/>
        <v>0.9395022748704599</v>
      </c>
      <c r="AT111" s="91">
        <f t="shared" si="238"/>
        <v>0.66237534686397781</v>
      </c>
      <c r="AU111" s="104">
        <f t="shared" si="239"/>
        <v>0.95000064677127272</v>
      </c>
      <c r="AV111" s="91">
        <f t="shared" si="240"/>
        <v>0.66977699230466259</v>
      </c>
      <c r="BF111" s="38">
        <v>13</v>
      </c>
      <c r="BG111" s="86">
        <f>AF109</f>
        <v>31098</v>
      </c>
      <c r="BH111" s="37">
        <f t="shared" si="241"/>
        <v>0.86865921787709499</v>
      </c>
      <c r="BI111" s="38">
        <f t="shared" ref="BI111:BQ111" si="251">AH109</f>
        <v>27730</v>
      </c>
      <c r="BJ111" s="37">
        <f t="shared" si="251"/>
        <v>0.77458100558659215</v>
      </c>
      <c r="BK111" s="37">
        <f t="shared" si="251"/>
        <v>3.0763896461956208E-2</v>
      </c>
      <c r="BL111" s="38">
        <f t="shared" si="251"/>
        <v>25544</v>
      </c>
      <c r="BM111" s="37">
        <f t="shared" si="251"/>
        <v>0.9211684096646231</v>
      </c>
      <c r="BN111" s="7">
        <f t="shared" si="251"/>
        <v>1300.9452372285998</v>
      </c>
      <c r="BO111" s="38">
        <f t="shared" si="251"/>
        <v>23204</v>
      </c>
      <c r="BP111" s="37">
        <f t="shared" si="251"/>
        <v>0.90839336047604136</v>
      </c>
      <c r="BQ111" s="50">
        <f t="shared" si="251"/>
        <v>7226.2115728066246</v>
      </c>
      <c r="BR111" s="91">
        <f t="shared" si="226"/>
        <v>0.64815642458100564</v>
      </c>
      <c r="BS111" s="103">
        <f>INDEX(Daggett!$B$7:$M$21, MATCH(BF111,Daggett!$A$7:$A$21,0), MATCH(BD$105,Daggett!$B$6:$M$6,0))</f>
        <v>826.4666666666667</v>
      </c>
      <c r="BT111" s="4">
        <f t="shared" si="227"/>
        <v>0.93419399317921081</v>
      </c>
      <c r="BU111" s="91">
        <f t="shared" si="228"/>
        <v>0.60550383848408962</v>
      </c>
      <c r="BV111" s="104">
        <f t="shared" si="243"/>
        <v>0.94561352889617845</v>
      </c>
      <c r="BW111" s="91">
        <f t="shared" si="244"/>
        <v>0.61290548392477451</v>
      </c>
    </row>
    <row r="112" spans="2:85">
      <c r="C112" s="7"/>
      <c r="D112" s="38">
        <v>14</v>
      </c>
      <c r="E112" s="86">
        <f>E108</f>
        <v>33202</v>
      </c>
      <c r="F112" s="37">
        <f t="shared" si="229"/>
        <v>0.92743016759776531</v>
      </c>
      <c r="G112" s="38">
        <f>G108</f>
        <v>28536</v>
      </c>
      <c r="H112" s="37">
        <f t="shared" ref="H112:P112" si="252">H108</f>
        <v>0.79709497206703905</v>
      </c>
      <c r="I112" s="37">
        <f t="shared" si="252"/>
        <v>6.579750303150933E-2</v>
      </c>
      <c r="J112" s="38">
        <f t="shared" si="252"/>
        <v>26598</v>
      </c>
      <c r="K112" s="37">
        <f t="shared" si="252"/>
        <v>0.93208578637510509</v>
      </c>
      <c r="L112" s="7">
        <f t="shared" si="252"/>
        <v>1354.6250164346343</v>
      </c>
      <c r="M112" s="41">
        <f t="shared" si="252"/>
        <v>24191</v>
      </c>
      <c r="N112" s="37">
        <f t="shared" si="252"/>
        <v>0.90950447402060308</v>
      </c>
      <c r="O112" s="50">
        <f t="shared" si="252"/>
        <v>7533.5840440340053</v>
      </c>
      <c r="P112" s="91">
        <f t="shared" si="252"/>
        <v>0.67572625698324018</v>
      </c>
      <c r="Q112" s="7">
        <f>INDEX(Daggett!$B$7:$M$21, MATCH(D112,Daggett!$A$7:$A$21,0), MATCH(B$105,Daggett!$B$6:$M$6,0))</f>
        <v>842.2</v>
      </c>
      <c r="R112" s="4">
        <f t="shared" si="220"/>
        <v>0.93805807777764572</v>
      </c>
      <c r="S112" s="91">
        <f t="shared" si="221"/>
        <v>0.63387047372958172</v>
      </c>
      <c r="T112" s="104">
        <f t="shared" si="230"/>
        <v>0.94783251310433314</v>
      </c>
      <c r="U112" s="91">
        <f t="shared" si="231"/>
        <v>0.64047531632700894</v>
      </c>
      <c r="AD112" s="7"/>
      <c r="AE112" s="38">
        <v>14</v>
      </c>
      <c r="AF112" s="86">
        <v>34816</v>
      </c>
      <c r="AG112" s="37">
        <f t="shared" si="232"/>
        <v>0.97251396648044697</v>
      </c>
      <c r="AH112" s="38">
        <v>30032</v>
      </c>
      <c r="AI112" s="37">
        <f t="shared" si="233"/>
        <v>0.83888268156424584</v>
      </c>
      <c r="AJ112" s="37">
        <f t="shared" si="234"/>
        <v>6.2400095907928388E-2</v>
      </c>
      <c r="AK112" s="38">
        <v>28457</v>
      </c>
      <c r="AL112" s="37">
        <f t="shared" si="235"/>
        <v>0.94755594033031432</v>
      </c>
      <c r="AM112" s="7">
        <f t="shared" si="222"/>
        <v>1449.3031089811409</v>
      </c>
      <c r="AN112" s="41">
        <v>25762</v>
      </c>
      <c r="AO112" s="37">
        <f t="shared" si="236"/>
        <v>0.90529570931580983</v>
      </c>
      <c r="AP112" s="50">
        <f t="shared" si="223"/>
        <v>8022.8263462611731</v>
      </c>
      <c r="AQ112" s="91">
        <f t="shared" si="237"/>
        <v>0.71960893854748609</v>
      </c>
      <c r="AR112" s="7">
        <f>INDEX(Daggett!$B$7:$M$21, MATCH(AE112,Daggett!$A$7:$A$21,0), MATCH(AC$105,Daggett!$B$6:$M$6,0))</f>
        <v>842.2</v>
      </c>
      <c r="AS112" s="4">
        <f t="shared" si="224"/>
        <v>0.9418353761167233</v>
      </c>
      <c r="AT112" s="91">
        <f t="shared" si="238"/>
        <v>0.67775315529382762</v>
      </c>
      <c r="AU112" s="104">
        <f t="shared" si="239"/>
        <v>0.95101375376550434</v>
      </c>
      <c r="AV112" s="91">
        <f t="shared" si="240"/>
        <v>0.68435799789125484</v>
      </c>
      <c r="BE112" s="7"/>
      <c r="BF112" s="38">
        <v>14</v>
      </c>
      <c r="BG112" s="86">
        <f>AF108</f>
        <v>28868</v>
      </c>
      <c r="BH112" s="37">
        <f t="shared" si="241"/>
        <v>0.80636871508379893</v>
      </c>
      <c r="BI112" s="38">
        <f t="shared" ref="BI112:BQ112" si="253">AH108</f>
        <v>26047</v>
      </c>
      <c r="BJ112" s="37">
        <f t="shared" si="253"/>
        <v>0.72756983240223461</v>
      </c>
      <c r="BK112" s="37">
        <f t="shared" si="253"/>
        <v>1.9261586471555736E-2</v>
      </c>
      <c r="BL112" s="38">
        <f t="shared" si="253"/>
        <v>23211</v>
      </c>
      <c r="BM112" s="37">
        <f t="shared" si="253"/>
        <v>0.8911198986447576</v>
      </c>
      <c r="BN112" s="7">
        <f t="shared" si="253"/>
        <v>1182.1265229139144</v>
      </c>
      <c r="BO112" s="38">
        <f t="shared" si="253"/>
        <v>21122</v>
      </c>
      <c r="BP112" s="37">
        <f t="shared" si="253"/>
        <v>0.90999956916979019</v>
      </c>
      <c r="BQ112" s="50">
        <f t="shared" si="253"/>
        <v>6577.8331684546429</v>
      </c>
      <c r="BR112" s="91">
        <f t="shared" si="226"/>
        <v>0.59</v>
      </c>
      <c r="BS112" s="103">
        <f>INDEX(Daggett!$B$7:$M$21, MATCH(BF112,Daggett!$A$7:$A$21,0), MATCH(BD$105,Daggett!$B$6:$M$6,0))</f>
        <v>842.2</v>
      </c>
      <c r="BT112" s="4">
        <f t="shared" si="227"/>
        <v>0.92905799448532456</v>
      </c>
      <c r="BU112" s="91">
        <f t="shared" si="228"/>
        <v>0.54814421674634151</v>
      </c>
      <c r="BV112" s="104">
        <f t="shared" si="243"/>
        <v>0.94025264295554034</v>
      </c>
      <c r="BW112" s="91">
        <f t="shared" si="244"/>
        <v>0.55474905934376872</v>
      </c>
    </row>
    <row r="113" spans="2:85">
      <c r="C113" s="7"/>
      <c r="D113" s="38">
        <v>15</v>
      </c>
      <c r="E113" s="86">
        <f>E107</f>
        <v>30823</v>
      </c>
      <c r="F113" s="37">
        <f t="shared" si="229"/>
        <v>0.86097765363128487</v>
      </c>
      <c r="G113" s="38">
        <f>G107</f>
        <v>27147</v>
      </c>
      <c r="H113" s="37">
        <f t="shared" ref="H113:P113" si="254">H107</f>
        <v>0.75829608938547488</v>
      </c>
      <c r="I113" s="37">
        <f t="shared" si="254"/>
        <v>4.2675641707420664E-2</v>
      </c>
      <c r="J113" s="38">
        <f t="shared" si="254"/>
        <v>24923</v>
      </c>
      <c r="K113" s="37">
        <f t="shared" si="254"/>
        <v>0.91807566213577929</v>
      </c>
      <c r="L113" s="7">
        <f t="shared" si="254"/>
        <v>1269.3179669373783</v>
      </c>
      <c r="M113" s="41">
        <f t="shared" si="254"/>
        <v>22689</v>
      </c>
      <c r="N113" s="37">
        <f t="shared" si="254"/>
        <v>0.91036392087629903</v>
      </c>
      <c r="O113" s="50">
        <f t="shared" si="254"/>
        <v>7065.8297869078397</v>
      </c>
      <c r="P113" s="91">
        <f t="shared" si="254"/>
        <v>0.63377094972067038</v>
      </c>
      <c r="Q113" s="7">
        <f>INDEX(Daggett!$B$7:$M$21, MATCH(D113,Daggett!$A$7:$A$21,0), MATCH(B$105,Daggett!$B$6:$M$6,0))</f>
        <v>776.63333333333333</v>
      </c>
      <c r="R113" s="4">
        <f t="shared" si="220"/>
        <v>0.92838197253472843</v>
      </c>
      <c r="S113" s="91">
        <f t="shared" si="221"/>
        <v>0.58838152443688418</v>
      </c>
      <c r="T113" s="104">
        <f t="shared" si="230"/>
        <v>0.9443790526028879</v>
      </c>
      <c r="U113" s="91">
        <f t="shared" si="231"/>
        <v>0.59852000906443925</v>
      </c>
      <c r="AD113" s="7"/>
      <c r="AE113" s="38">
        <v>15</v>
      </c>
      <c r="AF113" s="86">
        <v>34975</v>
      </c>
      <c r="AG113" s="37">
        <f t="shared" si="232"/>
        <v>0.97695530726256985</v>
      </c>
      <c r="AH113" s="38">
        <v>29386</v>
      </c>
      <c r="AI113" s="37">
        <f t="shared" si="233"/>
        <v>0.82083798882681569</v>
      </c>
      <c r="AJ113" s="37">
        <f t="shared" si="234"/>
        <v>8.6738975044286293E-2</v>
      </c>
      <c r="AK113" s="38">
        <v>27815</v>
      </c>
      <c r="AL113" s="37">
        <f t="shared" si="235"/>
        <v>0.9465391683114408</v>
      </c>
      <c r="AM113" s="7">
        <f t="shared" si="222"/>
        <v>1416.606317472342</v>
      </c>
      <c r="AN113" s="41">
        <v>25346</v>
      </c>
      <c r="AO113" s="37">
        <f t="shared" si="236"/>
        <v>0.91123494517346759</v>
      </c>
      <c r="AP113" s="50">
        <f t="shared" si="223"/>
        <v>7893.2752337681741</v>
      </c>
      <c r="AQ113" s="91">
        <f t="shared" si="237"/>
        <v>0.70798882681564246</v>
      </c>
      <c r="AR113" s="7">
        <f>INDEX(Daggett!$B$7:$M$21, MATCH(AE113,Daggett!$A$7:$A$21,0), MATCH(AC$105,Daggett!$B$6:$M$6,0))</f>
        <v>776.63333333333333</v>
      </c>
      <c r="AS113" s="4">
        <f t="shared" si="224"/>
        <v>0.93588963050739582</v>
      </c>
      <c r="AT113" s="91">
        <f t="shared" si="238"/>
        <v>0.66259940153185626</v>
      </c>
      <c r="AU113" s="104">
        <f t="shared" si="239"/>
        <v>0.95020975003972719</v>
      </c>
      <c r="AV113" s="91">
        <f t="shared" si="240"/>
        <v>0.67273788615941132</v>
      </c>
      <c r="BE113" s="7"/>
      <c r="BF113" s="38">
        <v>15</v>
      </c>
      <c r="BG113" s="86">
        <f>AF107</f>
        <v>26221</v>
      </c>
      <c r="BH113" s="37">
        <f t="shared" si="241"/>
        <v>0.73243016759776536</v>
      </c>
      <c r="BI113" s="38">
        <f t="shared" ref="BI113:BQ113" si="255">AH107</f>
        <v>24272</v>
      </c>
      <c r="BJ113" s="37">
        <f t="shared" si="255"/>
        <v>0.67798882681564243</v>
      </c>
      <c r="BK113" s="37">
        <f t="shared" si="255"/>
        <v>-6.1633307521518077E-3</v>
      </c>
      <c r="BL113" s="38">
        <f t="shared" si="255"/>
        <v>20480</v>
      </c>
      <c r="BM113" s="37">
        <f t="shared" si="255"/>
        <v>0.84377059986816083</v>
      </c>
      <c r="BN113" s="7">
        <f t="shared" si="255"/>
        <v>1043.0378350470453</v>
      </c>
      <c r="BO113" s="38">
        <f t="shared" si="255"/>
        <v>18582</v>
      </c>
      <c r="BP113" s="37">
        <f t="shared" si="255"/>
        <v>0.90732421875000002</v>
      </c>
      <c r="BQ113" s="50">
        <f t="shared" si="255"/>
        <v>5786.8239719829644</v>
      </c>
      <c r="BR113" s="91">
        <f t="shared" si="226"/>
        <v>0.5190502793296089</v>
      </c>
      <c r="BS113" s="103">
        <f>INDEX(Daggett!$B$7:$M$21, MATCH(BF113,Daggett!$A$7:$A$21,0), MATCH(BD$105,Daggett!$B$6:$M$6,0))</f>
        <v>776.63333333333333</v>
      </c>
      <c r="BT113" s="4">
        <f t="shared" si="227"/>
        <v>0.91255293159188744</v>
      </c>
      <c r="BU113" s="91">
        <f t="shared" si="228"/>
        <v>0.47366085404582264</v>
      </c>
      <c r="BV113" s="104">
        <f t="shared" si="243"/>
        <v>0.93208569177197953</v>
      </c>
      <c r="BW113" s="91">
        <f t="shared" si="244"/>
        <v>0.48379933867337771</v>
      </c>
    </row>
    <row r="114" spans="2:85">
      <c r="D114" s="38">
        <v>16</v>
      </c>
      <c r="E114" s="86">
        <f>E106</f>
        <v>28929</v>
      </c>
      <c r="F114" s="37">
        <f t="shared" si="229"/>
        <v>0.80807262569832405</v>
      </c>
      <c r="G114" s="38">
        <f>G106</f>
        <v>24126</v>
      </c>
      <c r="H114" s="37">
        <f t="shared" ref="H114:P114" si="256">H106</f>
        <v>0.67391061452513967</v>
      </c>
      <c r="I114" s="37">
        <f t="shared" si="256"/>
        <v>9.3507793443317722E-2</v>
      </c>
      <c r="J114" s="38">
        <f t="shared" si="256"/>
        <v>21524</v>
      </c>
      <c r="K114" s="37">
        <f t="shared" si="256"/>
        <v>0.89214954820525572</v>
      </c>
      <c r="L114" s="7">
        <f t="shared" si="256"/>
        <v>1096.2083184351857</v>
      </c>
      <c r="M114" s="41">
        <f t="shared" si="256"/>
        <v>19632</v>
      </c>
      <c r="N114" s="37">
        <f t="shared" si="256"/>
        <v>0.91209812302546001</v>
      </c>
      <c r="O114" s="50">
        <f t="shared" si="256"/>
        <v>6113.8159626503902</v>
      </c>
      <c r="P114" s="91">
        <f t="shared" si="256"/>
        <v>0.54837988826815642</v>
      </c>
      <c r="Q114" s="7">
        <f>INDEX(Daggett!$B$7:$M$21, MATCH(D114,Daggett!$A$7:$A$21,0), MATCH(B$105,Daggett!$B$6:$M$6,0))</f>
        <v>747.5333333333333</v>
      </c>
      <c r="R114" s="4">
        <f t="shared" si="220"/>
        <v>0.91400788540903199</v>
      </c>
      <c r="S114" s="91">
        <f t="shared" si="221"/>
        <v>0.50122354207681885</v>
      </c>
      <c r="T114" s="104">
        <f t="shared" si="230"/>
        <v>0.93571802793943171</v>
      </c>
      <c r="U114" s="91">
        <f t="shared" si="231"/>
        <v>0.51312894761192518</v>
      </c>
      <c r="AE114" s="38">
        <v>16</v>
      </c>
      <c r="AF114" s="86">
        <v>34578</v>
      </c>
      <c r="AG114" s="37">
        <f t="shared" si="232"/>
        <v>0.96586592178770947</v>
      </c>
      <c r="AH114" s="38">
        <v>27124</v>
      </c>
      <c r="AI114" s="37">
        <f t="shared" si="233"/>
        <v>0.75765363128491625</v>
      </c>
      <c r="AJ114" s="37">
        <f t="shared" si="234"/>
        <v>0.14735934132534645</v>
      </c>
      <c r="AK114" s="38">
        <v>25630</v>
      </c>
      <c r="AL114" s="37">
        <f t="shared" si="235"/>
        <v>0.94491962837339627</v>
      </c>
      <c r="AM114" s="7">
        <f t="shared" si="222"/>
        <v>1305.3251812624887</v>
      </c>
      <c r="AN114" s="41">
        <v>23254</v>
      </c>
      <c r="AO114" s="37">
        <f t="shared" si="236"/>
        <v>0.90729613733905579</v>
      </c>
      <c r="AP114" s="50">
        <f t="shared" si="223"/>
        <v>7241.7826199812644</v>
      </c>
      <c r="AQ114" s="91">
        <f t="shared" si="237"/>
        <v>0.64955307262569828</v>
      </c>
      <c r="AR114" s="7">
        <f>INDEX(Daggett!$B$7:$M$21, MATCH(AE114,Daggett!$A$7:$A$21,0), MATCH(AC$105,Daggett!$B$6:$M$6,0))</f>
        <v>747.5333333333333</v>
      </c>
      <c r="AS114" s="4">
        <f t="shared" si="224"/>
        <v>0.92740185801798036</v>
      </c>
      <c r="AT114" s="91">
        <f t="shared" si="238"/>
        <v>0.60239672643436071</v>
      </c>
      <c r="AU114" s="104">
        <f t="shared" si="239"/>
        <v>0.94573046893037427</v>
      </c>
      <c r="AV114" s="91">
        <f t="shared" si="240"/>
        <v>0.61430213196946704</v>
      </c>
      <c r="BF114" s="38">
        <v>16</v>
      </c>
      <c r="BG114" s="86">
        <f>AF106</f>
        <v>23229</v>
      </c>
      <c r="BH114" s="37">
        <f t="shared" si="241"/>
        <v>0.64885474860335191</v>
      </c>
      <c r="BI114" s="38">
        <f t="shared" ref="BI114:BQ114" si="257">AH106</f>
        <v>20993</v>
      </c>
      <c r="BJ114" s="37">
        <f t="shared" si="257"/>
        <v>0.58639664804469271</v>
      </c>
      <c r="BK114" s="37">
        <f t="shared" si="257"/>
        <v>1.7672811534307775E-2</v>
      </c>
      <c r="BL114" s="38">
        <f t="shared" si="257"/>
        <v>16311</v>
      </c>
      <c r="BM114" s="37">
        <f t="shared" si="257"/>
        <v>0.77697327680655459</v>
      </c>
      <c r="BN114" s="7">
        <f t="shared" si="257"/>
        <v>830.71240856700956</v>
      </c>
      <c r="BO114" s="38">
        <f t="shared" si="257"/>
        <v>14826</v>
      </c>
      <c r="BP114" s="37">
        <f t="shared" si="257"/>
        <v>0.90895714548464224</v>
      </c>
      <c r="BQ114" s="50">
        <f t="shared" si="257"/>
        <v>4617.1269082240569</v>
      </c>
      <c r="BR114" s="91">
        <f t="shared" si="226"/>
        <v>0.41413407821229048</v>
      </c>
      <c r="BS114" s="103">
        <f>INDEX(Daggett!$B$7:$M$21, MATCH(BF114,Daggett!$A$7:$A$21,0), MATCH(BD$105,Daggett!$B$6:$M$6,0))</f>
        <v>747.5333333333333</v>
      </c>
      <c r="BT114" s="4">
        <f t="shared" si="227"/>
        <v>0.88613265927088336</v>
      </c>
      <c r="BU114" s="91">
        <f t="shared" si="228"/>
        <v>0.36697773202095296</v>
      </c>
      <c r="BV114" s="104">
        <f t="shared" si="243"/>
        <v>0.91488036722696098</v>
      </c>
      <c r="BW114" s="91">
        <f t="shared" si="244"/>
        <v>0.37888313755605929</v>
      </c>
    </row>
    <row r="115" spans="2:85">
      <c r="C115" s="7" t="s">
        <v>162</v>
      </c>
      <c r="D115" s="38">
        <v>17</v>
      </c>
      <c r="E115" s="86">
        <f>E105</f>
        <v>26553</v>
      </c>
      <c r="F115" s="37">
        <f t="shared" si="229"/>
        <v>0.74170391061452512</v>
      </c>
      <c r="G115" s="38">
        <f>G105</f>
        <v>17940</v>
      </c>
      <c r="H115" s="37">
        <f t="shared" ref="H115:P115" si="258">H105</f>
        <v>0.50111731843575424</v>
      </c>
      <c r="I115" s="37">
        <f t="shared" si="258"/>
        <v>0.26561970398824997</v>
      </c>
      <c r="J115" s="38">
        <f t="shared" si="258"/>
        <v>15349</v>
      </c>
      <c r="K115" s="37">
        <f t="shared" si="258"/>
        <v>0.85557413600891863</v>
      </c>
      <c r="L115" s="7">
        <f t="shared" si="258"/>
        <v>781.71815088560049</v>
      </c>
      <c r="M115" s="41">
        <f t="shared" si="258"/>
        <v>13919</v>
      </c>
      <c r="N115" s="37">
        <f t="shared" si="258"/>
        <v>0.90683432145416643</v>
      </c>
      <c r="O115" s="50">
        <f t="shared" si="258"/>
        <v>4334.6681124760999</v>
      </c>
      <c r="P115" s="91">
        <f t="shared" si="258"/>
        <v>0.38879888268156426</v>
      </c>
      <c r="Q115" s="7">
        <f>INDEX(Daggett!$B$7:$M$21, MATCH(D115,Daggett!$A$7:$A$21,0), MATCH(B$105,Daggett!$B$6:$M$6,0))</f>
        <v>670.3</v>
      </c>
      <c r="R115" s="4">
        <f t="shared" si="220"/>
        <v>0.86473778877603491</v>
      </c>
      <c r="S115" s="91">
        <f t="shared" si="221"/>
        <v>0.33620908608864891</v>
      </c>
      <c r="T115" s="104">
        <f>IF(1-$H$7*(($H$5+273)^4-298^4)/(O115*1000)&lt;0,#N/A,1-$H$7*(($H$5+273)^4-298^4)/(O115*1000))</f>
        <v>0.90933373981657617</v>
      </c>
      <c r="U115" s="91">
        <f>T115*P115</f>
        <v>0.35354794202533307</v>
      </c>
      <c r="AD115" s="7" t="s">
        <v>162</v>
      </c>
      <c r="AE115" s="38">
        <v>17</v>
      </c>
      <c r="AF115" s="86">
        <v>33634</v>
      </c>
      <c r="AG115" s="37">
        <f t="shared" si="232"/>
        <v>0.93949720670391057</v>
      </c>
      <c r="AH115" s="38">
        <v>21840</v>
      </c>
      <c r="AI115" s="37">
        <f t="shared" si="233"/>
        <v>0.61005586592178773</v>
      </c>
      <c r="AJ115" s="37">
        <f t="shared" si="234"/>
        <v>0.29419247086928091</v>
      </c>
      <c r="AK115" s="38">
        <v>20594</v>
      </c>
      <c r="AL115" s="37">
        <f t="shared" si="235"/>
        <v>0.94294871794871793</v>
      </c>
      <c r="AM115" s="7">
        <f t="shared" si="222"/>
        <v>1048.8438073710377</v>
      </c>
      <c r="AN115" s="41">
        <v>18517</v>
      </c>
      <c r="AO115" s="37">
        <f t="shared" si="236"/>
        <v>0.89914538215014084</v>
      </c>
      <c r="AP115" s="50">
        <f t="shared" si="223"/>
        <v>5766.5816106559332</v>
      </c>
      <c r="AQ115" s="91">
        <f t="shared" si="237"/>
        <v>0.51723463687150839</v>
      </c>
      <c r="AR115" s="7">
        <f>INDEX(Daggett!$B$7:$M$21, MATCH(AE115,Daggett!$A$7:$A$21,0), MATCH(AC$105,Daggett!$B$6:$M$6,0))</f>
        <v>670.3</v>
      </c>
      <c r="AS115" s="4">
        <f t="shared" si="224"/>
        <v>0.89832506788214239</v>
      </c>
      <c r="AT115" s="91">
        <f t="shared" si="238"/>
        <v>0.46464484027859304</v>
      </c>
      <c r="AU115" s="104">
        <f t="shared" si="239"/>
        <v>0.93184729300140001</v>
      </c>
      <c r="AV115" s="91">
        <f t="shared" si="240"/>
        <v>0.4819836962152772</v>
      </c>
      <c r="BE115" s="7" t="s">
        <v>162</v>
      </c>
      <c r="BF115" s="38">
        <v>17</v>
      </c>
      <c r="BG115" s="86">
        <f>AF105</f>
        <v>19988</v>
      </c>
      <c r="BH115" s="37">
        <f t="shared" si="241"/>
        <v>0.55832402234636869</v>
      </c>
      <c r="BI115" s="38">
        <f t="shared" ref="BI115:BQ115" si="259">AH105</f>
        <v>17075</v>
      </c>
      <c r="BJ115" s="37">
        <f t="shared" si="259"/>
        <v>0.47695530726256985</v>
      </c>
      <c r="BK115" s="37">
        <f t="shared" si="259"/>
        <v>7.1453741810303506E-2</v>
      </c>
      <c r="BL115" s="38">
        <f t="shared" si="259"/>
        <v>11841</v>
      </c>
      <c r="BM115" s="37">
        <f t="shared" si="259"/>
        <v>0.69346998535871152</v>
      </c>
      <c r="BN115" s="7">
        <f t="shared" si="259"/>
        <v>603.05717796836245</v>
      </c>
      <c r="BO115" s="38">
        <f t="shared" si="259"/>
        <v>10750</v>
      </c>
      <c r="BP115" s="37">
        <f t="shared" si="259"/>
        <v>0.90786251161219489</v>
      </c>
      <c r="BQ115" s="50">
        <f t="shared" si="259"/>
        <v>3347.775142547458</v>
      </c>
      <c r="BR115" s="91">
        <f t="shared" si="226"/>
        <v>0.30027932960893855</v>
      </c>
      <c r="BS115" s="103">
        <f>INDEX(Daggett!$B$7:$M$21, MATCH(BF115,Daggett!$A$7:$A$21,0), MATCH(BD$105,Daggett!$B$6:$M$6,0))</f>
        <v>670.3</v>
      </c>
      <c r="BT115" s="4">
        <f t="shared" si="227"/>
        <v>0.82486374716033761</v>
      </c>
      <c r="BU115" s="91">
        <f t="shared" si="228"/>
        <v>0.24768953301602317</v>
      </c>
      <c r="BV115" s="104">
        <f t="shared" si="243"/>
        <v>0.88260616972157435</v>
      </c>
      <c r="BW115" s="91">
        <f t="shared" si="244"/>
        <v>0.26502838895270736</v>
      </c>
    </row>
    <row r="116" spans="2:85">
      <c r="C116" s="7">
        <f>ROW(D116)-ROW(D104)+1</f>
        <v>13</v>
      </c>
      <c r="D116" s="38">
        <v>18</v>
      </c>
      <c r="E116" s="86">
        <f>E104</f>
        <v>23740</v>
      </c>
      <c r="F116" s="37">
        <f t="shared" si="229"/>
        <v>0.66312849162011178</v>
      </c>
      <c r="G116" s="38">
        <f>G104</f>
        <v>12849</v>
      </c>
      <c r="H116" s="37">
        <f t="shared" ref="H116:P116" si="260">H104</f>
        <v>0.35891061452513967</v>
      </c>
      <c r="I116" s="37">
        <f t="shared" si="260"/>
        <v>0.4116973737225742</v>
      </c>
      <c r="J116" s="38">
        <f t="shared" si="260"/>
        <v>9870</v>
      </c>
      <c r="K116" s="37">
        <f t="shared" si="260"/>
        <v>0.76815316367032449</v>
      </c>
      <c r="L116" s="7">
        <f t="shared" si="260"/>
        <v>502.67497226144224</v>
      </c>
      <c r="M116" s="41">
        <f t="shared" si="260"/>
        <v>8902</v>
      </c>
      <c r="N116" s="37">
        <f t="shared" si="260"/>
        <v>0.90192502532928065</v>
      </c>
      <c r="O116" s="50">
        <f t="shared" si="260"/>
        <v>2772.2692389727881</v>
      </c>
      <c r="P116" s="91">
        <f t="shared" si="260"/>
        <v>0.24865921787709497</v>
      </c>
      <c r="Q116" s="7">
        <f>INDEX(Daggett!$B$7:$M$21, MATCH(D116,Daggett!$A$7:$A$21,0), MATCH(B$105,Daggett!$B$6:$M$6,0))</f>
        <v>528.06666666666672</v>
      </c>
      <c r="R116" s="4">
        <f t="shared" si="220"/>
        <v>0.73154135556952049</v>
      </c>
      <c r="S116" s="91">
        <f t="shared" si="221"/>
        <v>0.18190450132066679</v>
      </c>
      <c r="T116" s="104">
        <f>IF(1-$H$7*(($H$5+273)^4-298^4)/(O116*1000)&lt;0,#N/A,1-$H$7*(($H$5+273)^4-298^4)/(O116*1000))</f>
        <v>0.85823593849774482</v>
      </c>
      <c r="U116" s="91">
        <f>T116*P116</f>
        <v>0.21340827722086381</v>
      </c>
      <c r="AD116" s="7">
        <f>ROW(AE116)-ROW(AE104)+1</f>
        <v>13</v>
      </c>
      <c r="AE116" s="38">
        <v>18</v>
      </c>
      <c r="AF116" s="86">
        <v>32163</v>
      </c>
      <c r="AG116" s="37">
        <f t="shared" si="232"/>
        <v>0.89840782122905027</v>
      </c>
      <c r="AH116" s="38">
        <v>13201</v>
      </c>
      <c r="AI116" s="37">
        <f t="shared" si="233"/>
        <v>0.36874301675977655</v>
      </c>
      <c r="AJ116" s="37">
        <f t="shared" si="234"/>
        <v>0.55386894744028048</v>
      </c>
      <c r="AK116" s="38">
        <v>12306</v>
      </c>
      <c r="AL116" s="37">
        <f t="shared" si="235"/>
        <v>0.93220210590106811</v>
      </c>
      <c r="AM116" s="7">
        <f t="shared" si="222"/>
        <v>626.73943350043646</v>
      </c>
      <c r="AN116" s="41">
        <v>10908</v>
      </c>
      <c r="AO116" s="37">
        <f t="shared" si="236"/>
        <v>0.88639687957094104</v>
      </c>
      <c r="AP116" s="50">
        <f t="shared" si="223"/>
        <v>3396.9796516193182</v>
      </c>
      <c r="AQ116" s="91">
        <f t="shared" si="237"/>
        <v>0.30469273743016762</v>
      </c>
      <c r="AR116" s="7">
        <f>INDEX(Daggett!$B$7:$M$21, MATCH(AE116,Daggett!$A$7:$A$21,0), MATCH(AC$105,Daggett!$B$6:$M$6,0))</f>
        <v>528.06666666666672</v>
      </c>
      <c r="AS116" s="4">
        <f t="shared" si="224"/>
        <v>0.78091136297028518</v>
      </c>
      <c r="AT116" s="91">
        <f t="shared" si="238"/>
        <v>0.23793802087373941</v>
      </c>
      <c r="AU116" s="104">
        <f t="shared" si="239"/>
        <v>0.88430659373917531</v>
      </c>
      <c r="AV116" s="91">
        <f t="shared" si="240"/>
        <v>0.26944179677393643</v>
      </c>
      <c r="AX116" s="37"/>
      <c r="AY116" s="38"/>
      <c r="AZ116" s="37"/>
      <c r="BA116" s="37"/>
      <c r="BB116" s="38"/>
      <c r="BC116" s="37"/>
      <c r="BE116" s="7">
        <f>ROW(BF116)-ROW(BF104)+1</f>
        <v>13</v>
      </c>
      <c r="BF116" s="38">
        <v>18</v>
      </c>
      <c r="BG116" s="86">
        <f>AF104</f>
        <v>16640</v>
      </c>
      <c r="BH116" s="37">
        <f t="shared" si="241"/>
        <v>0.46480446927374303</v>
      </c>
      <c r="BI116" s="38">
        <f t="shared" ref="BI116:BQ116" si="261">AH104</f>
        <v>11091</v>
      </c>
      <c r="BJ116" s="37">
        <f t="shared" si="261"/>
        <v>0.309804469273743</v>
      </c>
      <c r="BK116" s="37">
        <f t="shared" si="261"/>
        <v>0.2755147366220736</v>
      </c>
      <c r="BL116" s="38">
        <f t="shared" si="261"/>
        <v>6597</v>
      </c>
      <c r="BM116" s="37">
        <f t="shared" si="261"/>
        <v>0.59480659994590213</v>
      </c>
      <c r="BN116" s="7">
        <f t="shared" si="261"/>
        <v>335.98245106471472</v>
      </c>
      <c r="BO116" s="38">
        <f t="shared" si="261"/>
        <v>5958</v>
      </c>
      <c r="BP116" s="37">
        <f t="shared" si="261"/>
        <v>0.903137789904502</v>
      </c>
      <c r="BQ116" s="50">
        <f t="shared" si="261"/>
        <v>1855.4459813300236</v>
      </c>
      <c r="BR116" s="91">
        <f t="shared" si="226"/>
        <v>0.1664245810055866</v>
      </c>
      <c r="BS116" s="103">
        <f>INDEX(Daggett!$B$7:$M$21, MATCH(BF116,Daggett!$A$7:$A$21,0), MATCH(BD$105,Daggett!$B$6:$M$6,0))</f>
        <v>528.06666666666672</v>
      </c>
      <c r="BT116" s="4">
        <f t="shared" si="227"/>
        <v>0.59888908145012942</v>
      </c>
      <c r="BU116" s="91">
        <f t="shared" si="228"/>
        <v>9.9669864449158416E-2</v>
      </c>
      <c r="BV116" s="104">
        <f t="shared" si="243"/>
        <v>0.788186694277765</v>
      </c>
      <c r="BW116" s="91">
        <f t="shared" si="244"/>
        <v>0.13117364034935541</v>
      </c>
      <c r="BX116" s="38"/>
      <c r="BY116" s="37"/>
      <c r="BZ116" s="37"/>
      <c r="CA116" s="38"/>
      <c r="CB116" s="37"/>
      <c r="CC116" s="7"/>
      <c r="CD116" s="41"/>
      <c r="CE116" s="37"/>
    </row>
    <row r="117" spans="2:85">
      <c r="E117" s="87"/>
      <c r="P117" s="88"/>
      <c r="S117" s="88"/>
      <c r="T117" s="87"/>
      <c r="U117" s="88"/>
      <c r="AF117" s="87"/>
      <c r="AQ117" s="88"/>
      <c r="AT117" s="88"/>
      <c r="AU117" s="87"/>
      <c r="AV117" s="88"/>
      <c r="BG117" s="87"/>
      <c r="BR117" s="88"/>
      <c r="BS117" s="87"/>
      <c r="BU117" s="88"/>
      <c r="BV117" s="87"/>
      <c r="BW117" s="88"/>
    </row>
    <row r="118" spans="2:85" ht="49.5">
      <c r="B118" s="34"/>
      <c r="C118" s="63" t="s">
        <v>151</v>
      </c>
      <c r="D118" s="63" t="s">
        <v>89</v>
      </c>
      <c r="E118" s="89" t="s">
        <v>152</v>
      </c>
      <c r="F118" s="34" t="s">
        <v>125</v>
      </c>
      <c r="G118" s="63" t="s">
        <v>153</v>
      </c>
      <c r="H118" s="33" t="s">
        <v>154</v>
      </c>
      <c r="I118" s="34" t="s">
        <v>155</v>
      </c>
      <c r="J118" s="85" t="s">
        <v>156</v>
      </c>
      <c r="K118" s="35" t="s">
        <v>157</v>
      </c>
      <c r="L118" s="35" t="s">
        <v>158</v>
      </c>
      <c r="M118" s="85" t="s">
        <v>159</v>
      </c>
      <c r="N118" s="35" t="s">
        <v>72</v>
      </c>
      <c r="O118" s="35" t="s">
        <v>160</v>
      </c>
      <c r="P118" s="100" t="s">
        <v>129</v>
      </c>
      <c r="Q118" s="138" t="s">
        <v>161</v>
      </c>
      <c r="R118" s="67" t="s">
        <v>130</v>
      </c>
      <c r="S118" s="100" t="s">
        <v>131</v>
      </c>
      <c r="T118" s="107" t="s">
        <v>130</v>
      </c>
      <c r="U118" s="100" t="s">
        <v>131</v>
      </c>
      <c r="AC118" s="34"/>
      <c r="AD118" s="63" t="s">
        <v>151</v>
      </c>
      <c r="AE118" s="63" t="s">
        <v>89</v>
      </c>
      <c r="AF118" s="89" t="s">
        <v>152</v>
      </c>
      <c r="AG118" s="34" t="s">
        <v>125</v>
      </c>
      <c r="AH118" s="63" t="s">
        <v>153</v>
      </c>
      <c r="AI118" s="33" t="s">
        <v>154</v>
      </c>
      <c r="AJ118" s="34" t="s">
        <v>155</v>
      </c>
      <c r="AK118" s="85" t="s">
        <v>156</v>
      </c>
      <c r="AL118" s="35" t="s">
        <v>157</v>
      </c>
      <c r="AM118" s="35" t="s">
        <v>158</v>
      </c>
      <c r="AN118" s="85" t="s">
        <v>159</v>
      </c>
      <c r="AO118" s="35" t="s">
        <v>72</v>
      </c>
      <c r="AP118" s="35" t="s">
        <v>160</v>
      </c>
      <c r="AQ118" s="100" t="s">
        <v>129</v>
      </c>
      <c r="AR118" s="138" t="s">
        <v>161</v>
      </c>
      <c r="AS118" s="67" t="s">
        <v>130</v>
      </c>
      <c r="AT118" s="100" t="s">
        <v>131</v>
      </c>
      <c r="AU118" s="107" t="s">
        <v>130</v>
      </c>
      <c r="AV118" s="100" t="s">
        <v>131</v>
      </c>
      <c r="BD118" s="34"/>
      <c r="BE118" s="63" t="s">
        <v>151</v>
      </c>
      <c r="BF118" s="63" t="s">
        <v>89</v>
      </c>
      <c r="BG118" s="89" t="s">
        <v>152</v>
      </c>
      <c r="BH118" s="34" t="s">
        <v>125</v>
      </c>
      <c r="BI118" s="63" t="s">
        <v>153</v>
      </c>
      <c r="BJ118" s="33" t="s">
        <v>154</v>
      </c>
      <c r="BK118" s="34" t="s">
        <v>155</v>
      </c>
      <c r="BL118" s="85" t="s">
        <v>156</v>
      </c>
      <c r="BM118" s="35" t="s">
        <v>157</v>
      </c>
      <c r="BN118" s="35" t="s">
        <v>158</v>
      </c>
      <c r="BO118" s="85" t="s">
        <v>159</v>
      </c>
      <c r="BP118" s="35" t="s">
        <v>72</v>
      </c>
      <c r="BQ118" s="35" t="s">
        <v>160</v>
      </c>
      <c r="BR118" s="100" t="s">
        <v>129</v>
      </c>
      <c r="BS118" s="144" t="s">
        <v>161</v>
      </c>
      <c r="BT118" s="67" t="s">
        <v>130</v>
      </c>
      <c r="BU118" s="100" t="s">
        <v>131</v>
      </c>
      <c r="BV118" s="107" t="s">
        <v>130</v>
      </c>
      <c r="BW118" s="100" t="s">
        <v>131</v>
      </c>
      <c r="CG118" s="35"/>
    </row>
    <row r="119" spans="2:85">
      <c r="B119" s="2" t="s">
        <v>88</v>
      </c>
      <c r="C119" s="7">
        <v>203</v>
      </c>
      <c r="D119" s="38">
        <v>6</v>
      </c>
      <c r="E119" s="86">
        <f>E89</f>
        <v>23947</v>
      </c>
      <c r="F119" s="37">
        <f t="shared" ref="F119:F131" si="262">E119/$C$10</f>
        <v>0.66891061452513967</v>
      </c>
      <c r="G119" s="38">
        <f>G89</f>
        <v>11379</v>
      </c>
      <c r="H119" s="37">
        <f t="shared" ref="H119:H125" si="263">G119/$C$10</f>
        <v>0.31784916201117319</v>
      </c>
      <c r="I119" s="37">
        <f t="shared" ref="I119:I125" si="264">1-G119/(E119*$C$8)</f>
        <v>0.48350614854179796</v>
      </c>
      <c r="J119" s="38">
        <f t="shared" ref="J119:J131" si="265">J89</f>
        <v>8698</v>
      </c>
      <c r="K119" s="37">
        <f t="shared" ref="K119:K125" si="266">J119/G119</f>
        <v>0.76439054398453288</v>
      </c>
      <c r="L119" s="7">
        <f t="shared" ref="L119:L125" si="267">J119/(PI()*$C$18^2)</f>
        <v>442.98550240425777</v>
      </c>
      <c r="M119" s="38">
        <f t="shared" ref="M119:M131" si="268">M89</f>
        <v>7832</v>
      </c>
      <c r="N119" s="37">
        <f t="shared" ref="N119:N125" si="269">M119/J119</f>
        <v>0.90043688204184869</v>
      </c>
      <c r="O119" s="50">
        <f t="shared" ref="O119:O125" si="270">M119/(PI()*$C$19^2)</f>
        <v>2439.0488294355064</v>
      </c>
      <c r="P119" s="91">
        <f t="shared" ref="P119:P125" si="271">M119/$C$10</f>
        <v>0.2187709497206704</v>
      </c>
      <c r="Q119" s="7">
        <f>INDEX(Daggett!$B$7:$M$21, MATCH(D119,Daggett!$A$7:$A$21,0), MATCH(B$120,Daggett!$B$6:$M$6,0))</f>
        <v>297.22580645161293</v>
      </c>
      <c r="R119" s="4">
        <f t="shared" ref="R119:R131" si="272">IF(1-$H$7*(($H$5+273)^4-298^4)*(PI()*$C$19^2)*1000/(M119*Q119*1000)&lt;0,#N/A,1-$H$7*(($H$5+273)^4-298^4)*(PI()*$C$19^2)*1000/(M119*Q119*1000))</f>
        <v>0.45788110527993997</v>
      </c>
      <c r="S119" s="91">
        <f>R119*P119</f>
        <v>0.10017108426124274</v>
      </c>
      <c r="T119" s="104">
        <f>IF(1-$H$7*(($H$5+273)^4-298^4)/(O119*1000)&lt;0,#N/A,1-$H$7*(($H$5+273)^4-298^4)/(O119*1000))</f>
        <v>0.8388682743241731</v>
      </c>
      <c r="U119" s="91">
        <f>T119*P119</f>
        <v>0.18352000906443922</v>
      </c>
      <c r="AC119" s="2" t="s">
        <v>88</v>
      </c>
      <c r="AD119" s="7">
        <v>203</v>
      </c>
      <c r="AE119" s="38">
        <v>6</v>
      </c>
      <c r="AF119" s="86">
        <f>AF89</f>
        <v>16273</v>
      </c>
      <c r="AG119" s="37">
        <f t="shared" ref="AG119:AG131" si="273">AF119/$C$10</f>
        <v>0.45455307262569833</v>
      </c>
      <c r="AH119" s="38">
        <f>AH89</f>
        <v>9731</v>
      </c>
      <c r="AI119" s="37">
        <f t="shared" ref="AI119:AI131" si="274">AH119/$C$10</f>
        <v>0.27181564245810058</v>
      </c>
      <c r="AJ119" s="37">
        <f t="shared" ref="AJ119:AJ131" si="275">1-AH119/(AF119*$C$8)</f>
        <v>0.35001696595320597</v>
      </c>
      <c r="AK119" s="38">
        <f t="shared" ref="AK119:AK131" si="276">AK89</f>
        <v>5620</v>
      </c>
      <c r="AL119" s="37">
        <f t="shared" ref="AL119:AL131" si="277">AK119/AH119</f>
        <v>0.57753571061555853</v>
      </c>
      <c r="AM119" s="7">
        <f t="shared" ref="AM119:AM131" si="278">AK119/(PI()*$C$18^2)</f>
        <v>286.22424965646456</v>
      </c>
      <c r="AN119" s="38">
        <f t="shared" ref="AN119:AN131" si="279">AN89</f>
        <v>5065</v>
      </c>
      <c r="AO119" s="37">
        <f t="shared" ref="AO119:AO131" si="280">AN119/AK119</f>
        <v>0.9012455516014235</v>
      </c>
      <c r="AP119" s="50">
        <f t="shared" ref="AP119:AP131" si="281">AN119/(PI()*$C$19^2)</f>
        <v>1577.347078790965</v>
      </c>
      <c r="AQ119" s="91">
        <f>AN119/$C$10</f>
        <v>0.1414804469273743</v>
      </c>
      <c r="AR119" s="7">
        <f>INDEX(Daggett!$B$7:$M$21, MATCH(AE119,Daggett!$A$7:$A$21,0), MATCH(AC$120,Daggett!$B$6:$M$6,0))</f>
        <v>297.22580645161293</v>
      </c>
      <c r="AS119" s="4">
        <f t="shared" ref="AS119:AS131" si="282">IF(1-$H$7*(($H$5+273)^4-298^4)*(PI()*$C$19^2)*1000/(AN119*AR119*1000)&lt;0,#N/A,1-$H$7*(($H$5+273)^4-298^4)*(PI()*$C$19^2)*1000/(AN119*AR119*1000))</f>
        <v>0.16172256990177492</v>
      </c>
      <c r="AT119" s="91">
        <f>AS119*AQ119</f>
        <v>2.2880581467946647E-2</v>
      </c>
      <c r="AU119" s="104">
        <f>IF(1-$H$7*(($H$5+273)^4-298^4)/(AP119*1000)&lt;0,#N/A,1-$H$7*(($H$5+273)^4-298^4)/(AP119*1000))</f>
        <v>0.75084231480886943</v>
      </c>
      <c r="AV119" s="91">
        <f>AU119*AQ119</f>
        <v>0.10622950627114311</v>
      </c>
      <c r="BD119" s="2" t="s">
        <v>88</v>
      </c>
      <c r="BE119" s="7">
        <v>203</v>
      </c>
      <c r="BF119" s="38">
        <v>6</v>
      </c>
      <c r="BG119" s="86">
        <f>AF131</f>
        <v>32258</v>
      </c>
      <c r="BH119" s="37">
        <f>BG119/$C$10</f>
        <v>0.90106145251396652</v>
      </c>
      <c r="BI119" s="38">
        <f t="shared" ref="BI119:BQ119" si="283">AH131</f>
        <v>11758</v>
      </c>
      <c r="BJ119" s="37">
        <f t="shared" si="283"/>
        <v>0.32843575418994414</v>
      </c>
      <c r="BK119" s="37">
        <f t="shared" si="283"/>
        <v>0.60380572935058918</v>
      </c>
      <c r="BL119" s="38">
        <f t="shared" si="283"/>
        <v>10968</v>
      </c>
      <c r="BM119" s="37">
        <f t="shared" si="283"/>
        <v>0.93281170267052216</v>
      </c>
      <c r="BN119" s="7">
        <f t="shared" si="283"/>
        <v>558.59565306621062</v>
      </c>
      <c r="BO119" s="38">
        <f t="shared" si="283"/>
        <v>9683</v>
      </c>
      <c r="BP119" s="37">
        <f t="shared" si="283"/>
        <v>0.88284099197665933</v>
      </c>
      <c r="BQ119" s="50">
        <f t="shared" si="283"/>
        <v>3015.4889958406548</v>
      </c>
      <c r="BR119" s="91">
        <f t="shared" ref="BR119:BR131" si="284">BO119/$C$10</f>
        <v>0.27047486033519552</v>
      </c>
      <c r="BS119" s="103">
        <f>INDEX(Daggett!$B$7:$M$21, MATCH(BF119,Daggett!$A$7:$A$21,0), MATCH(BD$120,Daggett!$B$6:$M$6,0))</f>
        <v>297.22580645161293</v>
      </c>
      <c r="BT119" s="4">
        <f t="shared" ref="BT119:BT131" si="285">IF(1-$H$7*(($H$5+273)^4-298^4)*(PI()*$C$19^2)*1000/(BO119*BS119*1000)&lt;0,#N/A,1-$H$7*(($H$5+273)^4-298^4)*(PI()*$C$19^2)*1000/(BO119*BS119*1000))</f>
        <v>0.56151242554502634</v>
      </c>
      <c r="BU119" s="91">
        <f>BT119*BR119</f>
        <v>0.15187499487576786</v>
      </c>
      <c r="BV119" s="104">
        <f>IF(1-$H$7*(($H$5+273)^4-298^4)/(BQ119*1000)&lt;0,#N/A,1-$H$7*(($H$5+273)^4-298^4)/(BQ119*1000))</f>
        <v>0.86967017706360883</v>
      </c>
      <c r="BW119" s="91">
        <f>BV119*BR119</f>
        <v>0.23522391967896436</v>
      </c>
    </row>
    <row r="120" spans="2:85">
      <c r="B120" s="2">
        <v>7</v>
      </c>
      <c r="D120" s="38">
        <v>7</v>
      </c>
      <c r="E120" s="86">
        <f t="shared" ref="E120:G130" si="286">E90</f>
        <v>26801</v>
      </c>
      <c r="F120" s="37">
        <f t="shared" si="262"/>
        <v>0.74863128491620112</v>
      </c>
      <c r="G120" s="38">
        <f t="shared" si="286"/>
        <v>16785</v>
      </c>
      <c r="H120" s="37">
        <f t="shared" si="263"/>
        <v>0.46885474860335197</v>
      </c>
      <c r="I120" s="37">
        <f t="shared" si="264"/>
        <v>0.31925804196144536</v>
      </c>
      <c r="J120" s="38">
        <f t="shared" si="265"/>
        <v>14359</v>
      </c>
      <c r="K120" s="37">
        <f t="shared" si="266"/>
        <v>0.85546619005064051</v>
      </c>
      <c r="L120" s="7">
        <f t="shared" si="267"/>
        <v>731.297864914088</v>
      </c>
      <c r="M120" s="38">
        <f t="shared" si="268"/>
        <v>12973</v>
      </c>
      <c r="N120" s="37">
        <f t="shared" si="269"/>
        <v>0.90347517236576358</v>
      </c>
      <c r="O120" s="50">
        <f t="shared" si="270"/>
        <v>4040.0638999319231</v>
      </c>
      <c r="P120" s="91">
        <f t="shared" si="271"/>
        <v>0.36237430167597767</v>
      </c>
      <c r="Q120" s="7">
        <f>INDEX(Daggett!$B$7:$M$21, MATCH(D120,Daggett!$A$7:$A$21,0), MATCH(B$120,Daggett!$B$6:$M$6,0))</f>
        <v>543.12903225806451</v>
      </c>
      <c r="R120" s="4">
        <f t="shared" si="272"/>
        <v>0.82089393149738643</v>
      </c>
      <c r="S120" s="91">
        <f t="shared" ref="S120:S131" si="287">R120*P120</f>
        <v>0.29747086517641325</v>
      </c>
      <c r="T120" s="104">
        <f t="shared" ref="T120:T131" si="288">IF(1-$H$7*(($H$5+273)^4-298^4)/(O120*1000)&lt;0,#N/A,1-$H$7*(($H$5+273)^4-298^4)/(O120*1000))</f>
        <v>0.90272229434262885</v>
      </c>
      <c r="U120" s="91">
        <f t="shared" ref="U120:U131" si="289">T120*P120</f>
        <v>0.32712336101974648</v>
      </c>
      <c r="AC120" s="2">
        <v>7</v>
      </c>
      <c r="AE120" s="38">
        <v>7</v>
      </c>
      <c r="AF120" s="86">
        <f t="shared" ref="AF120:AH131" si="290">AF90</f>
        <v>19758</v>
      </c>
      <c r="AG120" s="37">
        <f t="shared" si="273"/>
        <v>0.55189944134078217</v>
      </c>
      <c r="AH120" s="38">
        <f t="shared" si="290"/>
        <v>16197</v>
      </c>
      <c r="AI120" s="37">
        <f t="shared" si="274"/>
        <v>0.45243016759776539</v>
      </c>
      <c r="AJ120" s="37">
        <f t="shared" si="275"/>
        <v>0.10894651368515562</v>
      </c>
      <c r="AK120" s="38">
        <f t="shared" si="276"/>
        <v>11090</v>
      </c>
      <c r="AL120" s="37">
        <f t="shared" si="277"/>
        <v>0.6846946965487436</v>
      </c>
      <c r="AM120" s="7">
        <f t="shared" si="278"/>
        <v>564.80906204451821</v>
      </c>
      <c r="AN120" s="38">
        <f t="shared" si="279"/>
        <v>10075</v>
      </c>
      <c r="AO120" s="37">
        <f t="shared" si="280"/>
        <v>0.90847610459873762</v>
      </c>
      <c r="AP120" s="50">
        <f t="shared" si="281"/>
        <v>3137.5660056898269</v>
      </c>
      <c r="AQ120" s="91">
        <f t="shared" ref="AQ120:AQ131" si="291">AN120/$C$10</f>
        <v>0.28142458100558659</v>
      </c>
      <c r="AR120" s="7">
        <f>INDEX(Daggett!$B$7:$M$21, MATCH(AE120,Daggett!$A$7:$A$21,0), MATCH(AC$120,Daggett!$B$6:$M$6,0))</f>
        <v>543.12903225806451</v>
      </c>
      <c r="AS120" s="4">
        <f t="shared" si="282"/>
        <v>0.76937538196680821</v>
      </c>
      <c r="AT120" s="91">
        <f t="shared" ref="AT120:AT131" si="292">AS120*AQ120</f>
        <v>0.21652114450602214</v>
      </c>
      <c r="AU120" s="104">
        <f t="shared" ref="AU120:AU131" si="293">IF(1-$H$7*(($H$5+273)^4-298^4)/(AP120*1000)&lt;0,#N/A,1-$H$7*(($H$5+273)^4-298^4)/(AP120*1000))</f>
        <v>0.87474107439274684</v>
      </c>
      <c r="AV120" s="91">
        <f t="shared" ref="AV120:AV131" si="294">AU120*AQ120</f>
        <v>0.24617364034935543</v>
      </c>
      <c r="BD120" s="2">
        <v>7</v>
      </c>
      <c r="BF120" s="38">
        <v>7</v>
      </c>
      <c r="BG120" s="86">
        <f>AF130</f>
        <v>33760</v>
      </c>
      <c r="BH120" s="37">
        <f t="shared" ref="BH120:BH131" si="295">BG120/$C$10</f>
        <v>0.94301675977653632</v>
      </c>
      <c r="BI120" s="38">
        <f t="shared" ref="BI120:BQ120" si="296">AH130</f>
        <v>20507</v>
      </c>
      <c r="BJ120" s="37">
        <f t="shared" si="296"/>
        <v>0.57282122905027932</v>
      </c>
      <c r="BK120" s="37">
        <f t="shared" si="296"/>
        <v>0.33974474551823619</v>
      </c>
      <c r="BL120" s="38">
        <f t="shared" si="296"/>
        <v>19315</v>
      </c>
      <c r="BM120" s="37">
        <f t="shared" si="296"/>
        <v>0.94187350660749991</v>
      </c>
      <c r="BN120" s="7">
        <f t="shared" si="296"/>
        <v>983.70487226238663</v>
      </c>
      <c r="BO120" s="38">
        <f t="shared" si="296"/>
        <v>17353</v>
      </c>
      <c r="BP120" s="37">
        <f t="shared" si="296"/>
        <v>0.89842091638622834</v>
      </c>
      <c r="BQ120" s="50">
        <f t="shared" si="296"/>
        <v>5404.087632430329</v>
      </c>
      <c r="BR120" s="91">
        <f t="shared" si="284"/>
        <v>0.48472067039106143</v>
      </c>
      <c r="BS120" s="103">
        <f>INDEX(Daggett!$B$7:$M$21, MATCH(BF120,Daggett!$A$7:$A$21,0), MATCH(BD$120,Daggett!$B$6:$M$6,0))</f>
        <v>543.12903225806451</v>
      </c>
      <c r="BT120" s="4">
        <f t="shared" si="285"/>
        <v>0.8661013642203419</v>
      </c>
      <c r="BU120" s="91">
        <f t="shared" ref="BU120:BU131" si="297">BT120*BR120</f>
        <v>0.419817233891497</v>
      </c>
      <c r="BV120" s="104">
        <f t="shared" ref="BV120:BV131" si="298">IF(1-$H$7*(($H$5+273)^4-298^4)/(BQ120*1000)&lt;0,#N/A,1-$H$7*(($H$5+273)^4-298^4)/(BQ120*1000))</f>
        <v>0.92727576352831931</v>
      </c>
      <c r="BW120" s="91">
        <f t="shared" ref="BW120:BW131" si="299">BV120*BR120</f>
        <v>0.44946972973483029</v>
      </c>
    </row>
    <row r="121" spans="2:85">
      <c r="D121" s="38">
        <v>8</v>
      </c>
      <c r="E121" s="86">
        <f t="shared" si="286"/>
        <v>29211</v>
      </c>
      <c r="F121" s="37">
        <f t="shared" si="262"/>
        <v>0.81594972067039107</v>
      </c>
      <c r="G121" s="38">
        <f t="shared" si="286"/>
        <v>23841</v>
      </c>
      <c r="H121" s="37">
        <f t="shared" si="263"/>
        <v>0.66594972067039104</v>
      </c>
      <c r="I121" s="37">
        <f t="shared" si="264"/>
        <v>0.11286397470875331</v>
      </c>
      <c r="J121" s="38">
        <f t="shared" si="265"/>
        <v>21418</v>
      </c>
      <c r="K121" s="37">
        <f t="shared" si="266"/>
        <v>0.89836835703200368</v>
      </c>
      <c r="L121" s="7">
        <f t="shared" si="267"/>
        <v>1090.8097827655085</v>
      </c>
      <c r="M121" s="38">
        <f t="shared" si="268"/>
        <v>19507</v>
      </c>
      <c r="N121" s="37">
        <f t="shared" si="269"/>
        <v>0.91077598281819028</v>
      </c>
      <c r="O121" s="50">
        <f t="shared" si="270"/>
        <v>6074.8883447137923</v>
      </c>
      <c r="P121" s="91">
        <f t="shared" si="271"/>
        <v>0.54488826815642455</v>
      </c>
      <c r="Q121" s="7">
        <f>INDEX(Daggett!$B$7:$M$21, MATCH(D121,Daggett!$A$7:$A$21,0), MATCH(B$120,Daggett!$B$6:$M$6,0))</f>
        <v>667.12903225806451</v>
      </c>
      <c r="R121" s="4">
        <f t="shared" si="272"/>
        <v>0.90302642369234232</v>
      </c>
      <c r="S121" s="91">
        <f t="shared" si="287"/>
        <v>0.49204850410521006</v>
      </c>
      <c r="T121" s="104">
        <f t="shared" si="288"/>
        <v>0.93530611188326873</v>
      </c>
      <c r="U121" s="91">
        <f t="shared" si="289"/>
        <v>0.5096373275001933</v>
      </c>
      <c r="AE121" s="38">
        <v>8</v>
      </c>
      <c r="AF121" s="86">
        <f t="shared" si="290"/>
        <v>23105</v>
      </c>
      <c r="AG121" s="37">
        <f t="shared" si="273"/>
        <v>0.64539106145251401</v>
      </c>
      <c r="AH121" s="38">
        <f t="shared" si="290"/>
        <v>20878</v>
      </c>
      <c r="AI121" s="37">
        <f t="shared" si="274"/>
        <v>0.58318435754189946</v>
      </c>
      <c r="AJ121" s="37">
        <f t="shared" si="275"/>
        <v>1.7810938720209335E-2</v>
      </c>
      <c r="AK121" s="38">
        <f t="shared" si="276"/>
        <v>16019</v>
      </c>
      <c r="AL121" s="37">
        <f t="shared" si="277"/>
        <v>0.76726697959574675</v>
      </c>
      <c r="AM121" s="7">
        <f t="shared" si="278"/>
        <v>815.84097068450285</v>
      </c>
      <c r="AN121" s="38">
        <f t="shared" si="279"/>
        <v>14612</v>
      </c>
      <c r="AO121" s="37">
        <f t="shared" si="280"/>
        <v>0.91216680192271682</v>
      </c>
      <c r="AP121" s="50">
        <f t="shared" si="281"/>
        <v>4550.4828263166009</v>
      </c>
      <c r="AQ121" s="91">
        <f t="shared" si="291"/>
        <v>0.40815642458100559</v>
      </c>
      <c r="AR121" s="7">
        <f>INDEX(Daggett!$B$7:$M$21, MATCH(AE121,Daggett!$A$7:$A$21,0), MATCH(AC$120,Daggett!$B$6:$M$6,0))</f>
        <v>667.12903225806451</v>
      </c>
      <c r="AS121" s="4">
        <f t="shared" si="282"/>
        <v>0.87054040836069824</v>
      </c>
      <c r="AT121" s="91">
        <f t="shared" si="292"/>
        <v>0.35531666052979116</v>
      </c>
      <c r="AU121" s="104">
        <f t="shared" si="293"/>
        <v>0.91363374791314833</v>
      </c>
      <c r="AV121" s="91">
        <f t="shared" si="294"/>
        <v>0.37290548392477441</v>
      </c>
      <c r="BF121" s="38">
        <v>8</v>
      </c>
      <c r="BG121" s="86">
        <f>AF129</f>
        <v>34722</v>
      </c>
      <c r="BH121" s="37">
        <f t="shared" si="295"/>
        <v>0.96988826815642459</v>
      </c>
      <c r="BI121" s="38">
        <f t="shared" ref="BI121:BQ121" si="300">AH129</f>
        <v>26504</v>
      </c>
      <c r="BJ121" s="37">
        <f t="shared" si="300"/>
        <v>0.74033519553072624</v>
      </c>
      <c r="BK121" s="37">
        <f t="shared" si="300"/>
        <v>0.17030425516462444</v>
      </c>
      <c r="BL121" s="38">
        <f t="shared" si="300"/>
        <v>25069</v>
      </c>
      <c r="BM121" s="37">
        <f t="shared" si="300"/>
        <v>0.9458572290974947</v>
      </c>
      <c r="BN121" s="7">
        <f t="shared" si="300"/>
        <v>1276.7536858786318</v>
      </c>
      <c r="BO121" s="38">
        <f t="shared" si="300"/>
        <v>22697</v>
      </c>
      <c r="BP121" s="37">
        <f t="shared" si="300"/>
        <v>0.90538114803143321</v>
      </c>
      <c r="BQ121" s="50">
        <f t="shared" si="300"/>
        <v>7068.3211544557817</v>
      </c>
      <c r="BR121" s="91">
        <f t="shared" si="284"/>
        <v>0.63399441340782126</v>
      </c>
      <c r="BS121" s="103">
        <f>INDEX(Daggett!$B$7:$M$21, MATCH(BF121,Daggett!$A$7:$A$21,0), MATCH(BD$120,Daggett!$B$6:$M$6,0))</f>
        <v>667.12903225806451</v>
      </c>
      <c r="BT121" s="4">
        <f t="shared" si="285"/>
        <v>0.91665578917771162</v>
      </c>
      <c r="BU121" s="91">
        <f t="shared" si="297"/>
        <v>0.58115464935660677</v>
      </c>
      <c r="BV121" s="104">
        <f t="shared" si="298"/>
        <v>0.94439865728981465</v>
      </c>
      <c r="BW121" s="91">
        <f t="shared" si="299"/>
        <v>0.59874347275159001</v>
      </c>
    </row>
    <row r="122" spans="2:85">
      <c r="D122" s="38">
        <v>9</v>
      </c>
      <c r="E122" s="86">
        <f t="shared" si="286"/>
        <v>31132</v>
      </c>
      <c r="F122" s="37">
        <f t="shared" si="262"/>
        <v>0.869608938547486</v>
      </c>
      <c r="G122" s="38">
        <f t="shared" si="286"/>
        <v>27311</v>
      </c>
      <c r="H122" s="37">
        <f t="shared" si="263"/>
        <v>0.76287709497206702</v>
      </c>
      <c r="I122" s="37">
        <f t="shared" si="264"/>
        <v>4.6451575060471928E-2</v>
      </c>
      <c r="J122" s="38">
        <f t="shared" si="265"/>
        <v>25199</v>
      </c>
      <c r="K122" s="37">
        <f t="shared" si="266"/>
        <v>0.92266852184101644</v>
      </c>
      <c r="L122" s="7">
        <f t="shared" si="267"/>
        <v>1283.3745315112546</v>
      </c>
      <c r="M122" s="38">
        <f t="shared" si="268"/>
        <v>22908</v>
      </c>
      <c r="N122" s="37">
        <f t="shared" si="269"/>
        <v>0.90908369379737286</v>
      </c>
      <c r="O122" s="50">
        <f t="shared" si="270"/>
        <v>7134.0309735327601</v>
      </c>
      <c r="P122" s="91">
        <f t="shared" si="271"/>
        <v>0.63988826815642463</v>
      </c>
      <c r="Q122" s="7">
        <f>INDEX(Daggett!$B$7:$M$21, MATCH(D122,Daggett!$A$7:$A$21,0), MATCH(B$120,Daggett!$B$6:$M$6,0))</f>
        <v>731.77419354838707</v>
      </c>
      <c r="R122" s="4">
        <f t="shared" si="272"/>
        <v>0.92471829043558662</v>
      </c>
      <c r="S122" s="91">
        <f t="shared" si="287"/>
        <v>0.59171638539939719</v>
      </c>
      <c r="T122" s="104">
        <f t="shared" si="288"/>
        <v>0.9449107876945575</v>
      </c>
      <c r="U122" s="91">
        <f t="shared" si="289"/>
        <v>0.60463732750019339</v>
      </c>
      <c r="AE122" s="38">
        <v>9</v>
      </c>
      <c r="AF122" s="86">
        <f t="shared" si="290"/>
        <v>26180</v>
      </c>
      <c r="AG122" s="37">
        <f t="shared" si="273"/>
        <v>0.73128491620111735</v>
      </c>
      <c r="AH122" s="38">
        <f t="shared" si="290"/>
        <v>23973</v>
      </c>
      <c r="AI122" s="37">
        <f t="shared" si="274"/>
        <v>0.66963687150837992</v>
      </c>
      <c r="AJ122" s="37">
        <f t="shared" si="275"/>
        <v>4.6749925266550418E-3</v>
      </c>
      <c r="AK122" s="38">
        <f t="shared" si="276"/>
        <v>20186</v>
      </c>
      <c r="AL122" s="37">
        <f t="shared" si="277"/>
        <v>0.84203061777833399</v>
      </c>
      <c r="AM122" s="7">
        <f t="shared" si="278"/>
        <v>1028.0645380009598</v>
      </c>
      <c r="AN122" s="38">
        <f t="shared" si="279"/>
        <v>18374</v>
      </c>
      <c r="AO122" s="37">
        <f t="shared" si="280"/>
        <v>0.91023481620925395</v>
      </c>
      <c r="AP122" s="50">
        <f t="shared" si="281"/>
        <v>5722.0484157364644</v>
      </c>
      <c r="AQ122" s="91">
        <f t="shared" si="291"/>
        <v>0.51324022346368714</v>
      </c>
      <c r="AR122" s="7">
        <f>INDEX(Daggett!$B$7:$M$21, MATCH(AE122,Daggett!$A$7:$A$21,0), MATCH(AC$120,Daggett!$B$6:$M$6,0))</f>
        <v>731.77419354838707</v>
      </c>
      <c r="AS122" s="4">
        <f t="shared" si="282"/>
        <v>0.90614164565682043</v>
      </c>
      <c r="AT122" s="91">
        <f t="shared" si="292"/>
        <v>0.4650683407066597</v>
      </c>
      <c r="AU122" s="104">
        <f t="shared" si="293"/>
        <v>0.93131687844274103</v>
      </c>
      <c r="AV122" s="91">
        <f t="shared" si="294"/>
        <v>0.47798928280745595</v>
      </c>
      <c r="BF122" s="38">
        <v>9</v>
      </c>
      <c r="BG122" s="86">
        <f>AF128</f>
        <v>35127</v>
      </c>
      <c r="BH122" s="37">
        <f t="shared" si="295"/>
        <v>0.98120111731843573</v>
      </c>
      <c r="BI122" s="38">
        <f t="shared" ref="BI122:BQ122" si="301">AH128</f>
        <v>29772</v>
      </c>
      <c r="BJ122" s="37">
        <f t="shared" si="301"/>
        <v>0.83162011173184358</v>
      </c>
      <c r="BK122" s="37">
        <f t="shared" si="301"/>
        <v>7.8746560616693939E-2</v>
      </c>
      <c r="BL122" s="38">
        <f t="shared" si="301"/>
        <v>28269</v>
      </c>
      <c r="BM122" s="37">
        <f t="shared" si="301"/>
        <v>0.94951632406287789</v>
      </c>
      <c r="BN122" s="7">
        <f t="shared" si="301"/>
        <v>1439.7283476047326</v>
      </c>
      <c r="BO122" s="38">
        <f t="shared" si="301"/>
        <v>25637</v>
      </c>
      <c r="BP122" s="37">
        <f t="shared" si="301"/>
        <v>0.90689447805016099</v>
      </c>
      <c r="BQ122" s="50">
        <f t="shared" si="301"/>
        <v>7983.8987283245751</v>
      </c>
      <c r="BR122" s="91">
        <f t="shared" si="284"/>
        <v>0.71611731843575421</v>
      </c>
      <c r="BS122" s="103">
        <f>INDEX(Daggett!$B$7:$M$21, MATCH(BF122,Daggett!$A$7:$A$21,0), MATCH(BD$120,Daggett!$B$6:$M$6,0))</f>
        <v>731.77419354838707</v>
      </c>
      <c r="BT122" s="4">
        <f t="shared" si="285"/>
        <v>0.93273185619606114</v>
      </c>
      <c r="BU122" s="91">
        <f t="shared" si="297"/>
        <v>0.66794543567872677</v>
      </c>
      <c r="BV122" s="104">
        <f t="shared" si="298"/>
        <v>0.95077490831637568</v>
      </c>
      <c r="BW122" s="91">
        <f t="shared" si="299"/>
        <v>0.68086637777952297</v>
      </c>
    </row>
    <row r="123" spans="2:85">
      <c r="D123" s="38">
        <v>10</v>
      </c>
      <c r="E123" s="86">
        <f t="shared" si="286"/>
        <v>32529</v>
      </c>
      <c r="F123" s="37">
        <f t="shared" si="262"/>
        <v>0.90863128491620115</v>
      </c>
      <c r="G123" s="38">
        <f t="shared" si="286"/>
        <v>28631</v>
      </c>
      <c r="H123" s="37">
        <f t="shared" si="263"/>
        <v>0.7997486033519553</v>
      </c>
      <c r="I123" s="37">
        <f t="shared" si="264"/>
        <v>4.3295146671799234E-2</v>
      </c>
      <c r="J123" s="38">
        <f t="shared" si="265"/>
        <v>26770</v>
      </c>
      <c r="K123" s="37">
        <f t="shared" si="266"/>
        <v>0.93500052390765254</v>
      </c>
      <c r="L123" s="7">
        <f t="shared" si="267"/>
        <v>1363.3849045024122</v>
      </c>
      <c r="M123" s="38">
        <f t="shared" si="268"/>
        <v>24314</v>
      </c>
      <c r="N123" s="37">
        <f t="shared" si="269"/>
        <v>0.90825550989914083</v>
      </c>
      <c r="O123" s="50">
        <f t="shared" si="270"/>
        <v>7571.8888200836182</v>
      </c>
      <c r="P123" s="91">
        <f t="shared" si="271"/>
        <v>0.67916201117318431</v>
      </c>
      <c r="Q123" s="7">
        <f>INDEX(Daggett!$B$7:$M$21, MATCH(D123,Daggett!$A$7:$A$21,0), MATCH(B$120,Daggett!$B$6:$M$6,0))</f>
        <v>782.48387096774195</v>
      </c>
      <c r="R123" s="4">
        <f t="shared" si="272"/>
        <v>0.9336681774333091</v>
      </c>
      <c r="S123" s="91">
        <f t="shared" si="287"/>
        <v>0.6341119571540077</v>
      </c>
      <c r="T123" s="104">
        <f t="shared" si="288"/>
        <v>0.94809641870967032</v>
      </c>
      <c r="U123" s="91">
        <f t="shared" si="289"/>
        <v>0.64391107051695318</v>
      </c>
      <c r="AE123" s="38">
        <v>10</v>
      </c>
      <c r="AF123" s="86">
        <f t="shared" si="290"/>
        <v>28891</v>
      </c>
      <c r="AG123" s="37">
        <f t="shared" si="273"/>
        <v>0.80701117318435756</v>
      </c>
      <c r="AH123" s="38">
        <f t="shared" si="290"/>
        <v>26296</v>
      </c>
      <c r="AI123" s="37">
        <f t="shared" si="274"/>
        <v>0.73452513966480448</v>
      </c>
      <c r="AJ123" s="37">
        <f t="shared" si="275"/>
        <v>1.0674303566779564E-2</v>
      </c>
      <c r="AK123" s="38">
        <f t="shared" si="276"/>
        <v>23450</v>
      </c>
      <c r="AL123" s="37">
        <f t="shared" si="277"/>
        <v>0.89177061149984793</v>
      </c>
      <c r="AM123" s="7">
        <f t="shared" si="278"/>
        <v>1194.2986929615827</v>
      </c>
      <c r="AN123" s="38">
        <f t="shared" si="279"/>
        <v>21427</v>
      </c>
      <c r="AO123" s="37">
        <f t="shared" si="280"/>
        <v>0.91373134328358208</v>
      </c>
      <c r="AP123" s="50">
        <f t="shared" si="281"/>
        <v>6672.8165562199429</v>
      </c>
      <c r="AQ123" s="91">
        <f t="shared" si="291"/>
        <v>0.59851955307262572</v>
      </c>
      <c r="AR123" s="7">
        <f>INDEX(Daggett!$B$7:$M$21, MATCH(AE123,Daggett!$A$7:$A$21,0), MATCH(AC$120,Daggett!$B$6:$M$6,0))</f>
        <v>782.48387096774195</v>
      </c>
      <c r="AS123" s="4">
        <f t="shared" si="282"/>
        <v>0.92473085668145227</v>
      </c>
      <c r="AT123" s="91">
        <f t="shared" si="292"/>
        <v>0.55346949905344911</v>
      </c>
      <c r="AU123" s="104">
        <f t="shared" si="293"/>
        <v>0.94110310937167707</v>
      </c>
      <c r="AV123" s="91">
        <f t="shared" si="294"/>
        <v>0.56326861241639459</v>
      </c>
      <c r="BF123" s="38">
        <v>10</v>
      </c>
      <c r="BG123" s="86">
        <f>AF127</f>
        <v>34965</v>
      </c>
      <c r="BH123" s="37">
        <f t="shared" si="295"/>
        <v>0.97667597765363123</v>
      </c>
      <c r="BI123" s="38">
        <f t="shared" ref="BI123:BQ123" si="302">AH127</f>
        <v>29749</v>
      </c>
      <c r="BJ123" s="37">
        <f t="shared" si="302"/>
        <v>0.83097765363128495</v>
      </c>
      <c r="BK123" s="37">
        <f t="shared" si="302"/>
        <v>7.5193205627988369E-2</v>
      </c>
      <c r="BL123" s="38">
        <f t="shared" si="302"/>
        <v>28160</v>
      </c>
      <c r="BM123" s="37">
        <f t="shared" si="302"/>
        <v>0.94658643988033209</v>
      </c>
      <c r="BN123" s="7">
        <f t="shared" si="302"/>
        <v>1434.1770231896871</v>
      </c>
      <c r="BO123" s="38">
        <f t="shared" si="302"/>
        <v>25587</v>
      </c>
      <c r="BP123" s="37">
        <f t="shared" si="302"/>
        <v>0.90862926136363631</v>
      </c>
      <c r="BQ123" s="50">
        <f t="shared" si="302"/>
        <v>7968.3276811499354</v>
      </c>
      <c r="BR123" s="91">
        <f t="shared" si="284"/>
        <v>0.71472067039106146</v>
      </c>
      <c r="BS123" s="103">
        <f>INDEX(Daggett!$B$7:$M$21, MATCH(BF123,Daggett!$A$7:$A$21,0), MATCH(BD$120,Daggett!$B$6:$M$6,0))</f>
        <v>782.48387096774195</v>
      </c>
      <c r="BT123" s="4">
        <f t="shared" si="285"/>
        <v>0.93696830680085508</v>
      </c>
      <c r="BU123" s="91">
        <f t="shared" si="297"/>
        <v>0.66967061637188485</v>
      </c>
      <c r="BV123" s="104">
        <f t="shared" si="298"/>
        <v>0.95067871671188198</v>
      </c>
      <c r="BW123" s="91">
        <f t="shared" si="299"/>
        <v>0.67946972973483033</v>
      </c>
    </row>
    <row r="124" spans="2:85">
      <c r="D124" s="38">
        <v>11</v>
      </c>
      <c r="E124" s="86">
        <f t="shared" si="286"/>
        <v>33378</v>
      </c>
      <c r="F124" s="37">
        <f t="shared" si="262"/>
        <v>0.93234636871508381</v>
      </c>
      <c r="G124" s="38">
        <f t="shared" si="286"/>
        <v>29264</v>
      </c>
      <c r="H124" s="37">
        <f t="shared" si="263"/>
        <v>0.81743016759776532</v>
      </c>
      <c r="I124" s="37">
        <f t="shared" si="264"/>
        <v>4.7016128822160996E-2</v>
      </c>
      <c r="J124" s="38">
        <f t="shared" si="265"/>
        <v>27498</v>
      </c>
      <c r="K124" s="37">
        <f t="shared" si="266"/>
        <v>0.93965281574630943</v>
      </c>
      <c r="L124" s="7">
        <f t="shared" si="267"/>
        <v>1400.4616400451002</v>
      </c>
      <c r="M124" s="38">
        <f t="shared" si="268"/>
        <v>25002</v>
      </c>
      <c r="N124" s="37">
        <f t="shared" si="269"/>
        <v>0.909229762164521</v>
      </c>
      <c r="O124" s="50">
        <f t="shared" si="270"/>
        <v>7786.1464292066557</v>
      </c>
      <c r="P124" s="91">
        <f t="shared" si="271"/>
        <v>0.69837988826815645</v>
      </c>
      <c r="Q124" s="7">
        <f>INDEX(Daggett!$B$7:$M$21, MATCH(D124,Daggett!$A$7:$A$21,0), MATCH(B$120,Daggett!$B$6:$M$6,0))</f>
        <v>798.35483870967744</v>
      </c>
      <c r="R124" s="4">
        <f t="shared" si="272"/>
        <v>0.93677584634348432</v>
      </c>
      <c r="S124" s="91">
        <f t="shared" si="287"/>
        <v>0.6542254109016703</v>
      </c>
      <c r="T124" s="104">
        <f t="shared" si="288"/>
        <v>0.94952469100499659</v>
      </c>
      <c r="U124" s="91">
        <f t="shared" si="289"/>
        <v>0.66312894761192531</v>
      </c>
      <c r="AE124" s="38">
        <v>11</v>
      </c>
      <c r="AF124" s="86">
        <f t="shared" si="290"/>
        <v>31170</v>
      </c>
      <c r="AG124" s="37">
        <f t="shared" si="273"/>
        <v>0.8706703910614525</v>
      </c>
      <c r="AH124" s="38">
        <f t="shared" si="290"/>
        <v>27840</v>
      </c>
      <c r="AI124" s="37">
        <f t="shared" si="274"/>
        <v>0.77765363128491616</v>
      </c>
      <c r="AJ124" s="37">
        <f t="shared" si="275"/>
        <v>2.9166841026070256E-2</v>
      </c>
      <c r="AK124" s="38">
        <f t="shared" si="276"/>
        <v>25749</v>
      </c>
      <c r="AL124" s="37">
        <f t="shared" si="277"/>
        <v>0.92489224137931036</v>
      </c>
      <c r="AM124" s="7">
        <f t="shared" si="278"/>
        <v>1311.385801495428</v>
      </c>
      <c r="AN124" s="38">
        <f t="shared" si="279"/>
        <v>23462</v>
      </c>
      <c r="AO124" s="37">
        <f t="shared" si="280"/>
        <v>0.91118101673851415</v>
      </c>
      <c r="AP124" s="50">
        <f t="shared" si="281"/>
        <v>7306.5581762277634</v>
      </c>
      <c r="AQ124" s="91">
        <f t="shared" si="291"/>
        <v>0.65536312849162015</v>
      </c>
      <c r="AR124" s="7">
        <f>INDEX(Daggett!$B$7:$M$21, MATCH(AE124,Daggett!$A$7:$A$21,0), MATCH(AC$120,Daggett!$B$6:$M$6,0))</f>
        <v>798.35483870967744</v>
      </c>
      <c r="AS124" s="4">
        <f t="shared" si="282"/>
        <v>0.93262593599351273</v>
      </c>
      <c r="AT124" s="91">
        <f t="shared" si="292"/>
        <v>0.61120865112513401</v>
      </c>
      <c r="AU124" s="104">
        <f t="shared" si="293"/>
        <v>0.94621158999688537</v>
      </c>
      <c r="AV124" s="91">
        <f t="shared" si="294"/>
        <v>0.62011218783538902</v>
      </c>
      <c r="BF124" s="38">
        <v>11</v>
      </c>
      <c r="BG124" s="86">
        <f>AF126</f>
        <v>34240</v>
      </c>
      <c r="BH124" s="37">
        <f t="shared" si="295"/>
        <v>0.95642458100558658</v>
      </c>
      <c r="BI124" s="38">
        <f t="shared" ref="BI124:BQ124" si="303">AH126</f>
        <v>29324</v>
      </c>
      <c r="BJ124" s="37">
        <f t="shared" si="303"/>
        <v>0.81910614525139669</v>
      </c>
      <c r="BK124" s="37">
        <f t="shared" si="303"/>
        <v>6.9103006907761166E-2</v>
      </c>
      <c r="BL124" s="38">
        <f t="shared" si="303"/>
        <v>27728</v>
      </c>
      <c r="BM124" s="37">
        <f t="shared" si="303"/>
        <v>0.94557359159732646</v>
      </c>
      <c r="BN124" s="7">
        <f t="shared" si="303"/>
        <v>1412.1754438566636</v>
      </c>
      <c r="BO124" s="38">
        <f t="shared" si="303"/>
        <v>25224</v>
      </c>
      <c r="BP124" s="37">
        <f t="shared" si="303"/>
        <v>0.90969417195614544</v>
      </c>
      <c r="BQ124" s="50">
        <f t="shared" si="303"/>
        <v>7855.2818786620537</v>
      </c>
      <c r="BR124" s="91">
        <f t="shared" si="284"/>
        <v>0.7045810055865922</v>
      </c>
      <c r="BS124" s="103">
        <f>INDEX(Daggett!$B$7:$M$21, MATCH(BF124,Daggett!$A$7:$A$21,0), MATCH(BD$120,Daggett!$B$6:$M$6,0))</f>
        <v>798.35483870967744</v>
      </c>
      <c r="BT124" s="4">
        <f t="shared" si="285"/>
        <v>0.93733229108308735</v>
      </c>
      <c r="BU124" s="91">
        <f t="shared" si="297"/>
        <v>0.66042652822010606</v>
      </c>
      <c r="BV124" s="104">
        <f t="shared" si="298"/>
        <v>0.94996893135533322</v>
      </c>
      <c r="BW124" s="91">
        <f t="shared" si="299"/>
        <v>0.66933006493036107</v>
      </c>
    </row>
    <row r="125" spans="2:85">
      <c r="D125" s="38">
        <v>12</v>
      </c>
      <c r="E125" s="86">
        <f t="shared" si="286"/>
        <v>33662</v>
      </c>
      <c r="F125" s="37">
        <f t="shared" si="262"/>
        <v>0.94027932960893856</v>
      </c>
      <c r="G125" s="38">
        <f t="shared" si="286"/>
        <v>29019</v>
      </c>
      <c r="H125" s="37">
        <f t="shared" si="263"/>
        <v>0.81058659217877094</v>
      </c>
      <c r="I125" s="37">
        <f t="shared" si="264"/>
        <v>6.2967402283054308E-2</v>
      </c>
      <c r="J125" s="38">
        <f t="shared" si="265"/>
        <v>27350</v>
      </c>
      <c r="K125" s="37">
        <f t="shared" si="266"/>
        <v>0.94248595747613628</v>
      </c>
      <c r="L125" s="7">
        <f t="shared" si="267"/>
        <v>1392.9240619402681</v>
      </c>
      <c r="M125" s="38">
        <f t="shared" si="268"/>
        <v>24911</v>
      </c>
      <c r="N125" s="37">
        <f t="shared" si="269"/>
        <v>0.91082266910420473</v>
      </c>
      <c r="O125" s="50">
        <f t="shared" si="270"/>
        <v>7757.8071233488117</v>
      </c>
      <c r="P125" s="91">
        <f t="shared" si="271"/>
        <v>0.69583798882681569</v>
      </c>
      <c r="Q125" s="7">
        <f>INDEX(Daggett!$B$7:$M$21, MATCH(D125,Daggett!$A$7:$A$21,0), MATCH(B$120,Daggett!$B$6:$M$6,0))</f>
        <v>806.58064516129036</v>
      </c>
      <c r="R125" s="4">
        <f t="shared" si="272"/>
        <v>0.93719202681128022</v>
      </c>
      <c r="S125" s="91">
        <f t="shared" si="287"/>
        <v>0.6521338150808883</v>
      </c>
      <c r="T125" s="104">
        <f t="shared" si="288"/>
        <v>0.94934030446416939</v>
      </c>
      <c r="U125" s="91">
        <f t="shared" si="289"/>
        <v>0.66058704817058456</v>
      </c>
      <c r="AE125" s="38">
        <v>12</v>
      </c>
      <c r="AF125" s="86">
        <f t="shared" si="290"/>
        <v>32966</v>
      </c>
      <c r="AG125" s="37">
        <f t="shared" si="273"/>
        <v>0.92083798882681567</v>
      </c>
      <c r="AH125" s="38">
        <f t="shared" si="290"/>
        <v>28960</v>
      </c>
      <c r="AI125" s="37">
        <f t="shared" si="274"/>
        <v>0.80893854748603355</v>
      </c>
      <c r="AJ125" s="37">
        <f t="shared" si="275"/>
        <v>4.5129501014220197E-2</v>
      </c>
      <c r="AK125" s="38">
        <f t="shared" si="276"/>
        <v>27121</v>
      </c>
      <c r="AL125" s="37">
        <f t="shared" si="277"/>
        <v>0.93649861878453033</v>
      </c>
      <c r="AM125" s="7">
        <f t="shared" si="278"/>
        <v>1381.2611877104939</v>
      </c>
      <c r="AN125" s="38">
        <f t="shared" si="279"/>
        <v>24647</v>
      </c>
      <c r="AO125" s="37">
        <f t="shared" si="280"/>
        <v>0.90877917480918846</v>
      </c>
      <c r="AP125" s="50">
        <f t="shared" si="281"/>
        <v>7675.591994266716</v>
      </c>
      <c r="AQ125" s="91">
        <f t="shared" si="291"/>
        <v>0.68846368715083794</v>
      </c>
      <c r="AR125" s="7">
        <f>INDEX(Daggett!$B$7:$M$21, MATCH(AE125,Daggett!$A$7:$A$21,0), MATCH(AC$120,Daggett!$B$6:$M$6,0))</f>
        <v>806.58064516129036</v>
      </c>
      <c r="AS125" s="4">
        <f t="shared" si="282"/>
        <v>0.93651927536397139</v>
      </c>
      <c r="AT125" s="91">
        <f t="shared" si="292"/>
        <v>0.64475951340491067</v>
      </c>
      <c r="AU125" s="104">
        <f t="shared" si="293"/>
        <v>0.94879767616776578</v>
      </c>
      <c r="AV125" s="91">
        <f t="shared" si="294"/>
        <v>0.6532127464946067</v>
      </c>
      <c r="BF125" s="38">
        <v>12</v>
      </c>
      <c r="BG125" s="86">
        <f>AF125</f>
        <v>32966</v>
      </c>
      <c r="BH125" s="37">
        <f t="shared" si="295"/>
        <v>0.92083798882681567</v>
      </c>
      <c r="BI125" s="38">
        <f t="shared" ref="BI125:BQ125" si="304">AH125</f>
        <v>28960</v>
      </c>
      <c r="BJ125" s="37">
        <f t="shared" si="304"/>
        <v>0.80893854748603355</v>
      </c>
      <c r="BK125" s="37">
        <f t="shared" si="304"/>
        <v>4.5129501014220197E-2</v>
      </c>
      <c r="BL125" s="38">
        <f t="shared" si="304"/>
        <v>27121</v>
      </c>
      <c r="BM125" s="37">
        <f t="shared" si="304"/>
        <v>0.93649861878453033</v>
      </c>
      <c r="BN125" s="7">
        <f t="shared" si="304"/>
        <v>1381.2611877104939</v>
      </c>
      <c r="BO125" s="38">
        <f t="shared" si="304"/>
        <v>24647</v>
      </c>
      <c r="BP125" s="37">
        <f t="shared" si="304"/>
        <v>0.90877917480918846</v>
      </c>
      <c r="BQ125" s="50">
        <f t="shared" si="304"/>
        <v>7675.591994266716</v>
      </c>
      <c r="BR125" s="91">
        <f t="shared" si="284"/>
        <v>0.68846368715083794</v>
      </c>
      <c r="BS125" s="103">
        <f>INDEX(Daggett!$B$7:$M$21, MATCH(BF125,Daggett!$A$7:$A$21,0), MATCH(BD$120,Daggett!$B$6:$M$6,0))</f>
        <v>806.58064516129036</v>
      </c>
      <c r="BT125" s="4">
        <f t="shared" si="285"/>
        <v>0.93651927536397139</v>
      </c>
      <c r="BU125" s="91">
        <f t="shared" si="297"/>
        <v>0.64475951340491067</v>
      </c>
      <c r="BV125" s="104">
        <f t="shared" si="298"/>
        <v>0.94879767616776578</v>
      </c>
      <c r="BW125" s="91">
        <f t="shared" si="299"/>
        <v>0.6532127464946067</v>
      </c>
    </row>
    <row r="126" spans="2:85">
      <c r="D126" s="38">
        <v>13</v>
      </c>
      <c r="E126" s="86">
        <f t="shared" si="286"/>
        <v>33378</v>
      </c>
      <c r="F126" s="37">
        <f t="shared" si="262"/>
        <v>0.93234636871508381</v>
      </c>
      <c r="G126" s="38">
        <f t="shared" si="286"/>
        <v>29264</v>
      </c>
      <c r="H126" s="37">
        <f t="shared" ref="H126:P126" si="305">H124</f>
        <v>0.81743016759776532</v>
      </c>
      <c r="I126" s="37">
        <f t="shared" si="305"/>
        <v>4.7016128822160996E-2</v>
      </c>
      <c r="J126" s="38">
        <f t="shared" si="265"/>
        <v>27498</v>
      </c>
      <c r="K126" s="37">
        <f t="shared" si="305"/>
        <v>0.93965281574630943</v>
      </c>
      <c r="L126" s="7">
        <f t="shared" si="305"/>
        <v>1400.4616400451002</v>
      </c>
      <c r="M126" s="38">
        <f t="shared" si="268"/>
        <v>25002</v>
      </c>
      <c r="N126" s="37">
        <f t="shared" si="305"/>
        <v>0.909229762164521</v>
      </c>
      <c r="O126" s="50">
        <f t="shared" si="305"/>
        <v>7786.1464292066557</v>
      </c>
      <c r="P126" s="91">
        <f t="shared" si="305"/>
        <v>0.69837988826815645</v>
      </c>
      <c r="Q126" s="7">
        <f>INDEX(Daggett!$B$7:$M$21, MATCH(D126,Daggett!$A$7:$A$21,0), MATCH(B$120,Daggett!$B$6:$M$6,0))</f>
        <v>821.32258064516134</v>
      </c>
      <c r="R126" s="4">
        <f t="shared" si="272"/>
        <v>0.93854386792171929</v>
      </c>
      <c r="S126" s="91">
        <f t="shared" si="287"/>
        <v>0.65546016161393372</v>
      </c>
      <c r="T126" s="104">
        <f t="shared" si="288"/>
        <v>0.94952469100499659</v>
      </c>
      <c r="U126" s="91">
        <f t="shared" si="289"/>
        <v>0.66312894761192531</v>
      </c>
      <c r="AE126" s="38">
        <v>13</v>
      </c>
      <c r="AF126" s="86">
        <f t="shared" si="290"/>
        <v>34240</v>
      </c>
      <c r="AG126" s="37">
        <f t="shared" si="273"/>
        <v>0.95642458100558658</v>
      </c>
      <c r="AH126" s="38">
        <f t="shared" si="290"/>
        <v>29324</v>
      </c>
      <c r="AI126" s="37">
        <f t="shared" si="274"/>
        <v>0.81910614525139669</v>
      </c>
      <c r="AJ126" s="37">
        <f t="shared" si="275"/>
        <v>6.9103006907761166E-2</v>
      </c>
      <c r="AK126" s="38">
        <f t="shared" si="276"/>
        <v>27728</v>
      </c>
      <c r="AL126" s="37">
        <f t="shared" si="277"/>
        <v>0.94557359159732646</v>
      </c>
      <c r="AM126" s="7">
        <f t="shared" si="278"/>
        <v>1412.1754438566636</v>
      </c>
      <c r="AN126" s="38">
        <f t="shared" si="279"/>
        <v>25224</v>
      </c>
      <c r="AO126" s="37">
        <f t="shared" si="280"/>
        <v>0.90969417195614544</v>
      </c>
      <c r="AP126" s="50">
        <f t="shared" si="281"/>
        <v>7855.2818786620537</v>
      </c>
      <c r="AQ126" s="91">
        <f t="shared" si="291"/>
        <v>0.7045810055865922</v>
      </c>
      <c r="AR126" s="7">
        <f>INDEX(Daggett!$B$7:$M$21, MATCH(AE126,Daggett!$A$7:$A$21,0), MATCH(AC$120,Daggett!$B$6:$M$6,0))</f>
        <v>821.32258064516134</v>
      </c>
      <c r="AS126" s="4">
        <f t="shared" si="282"/>
        <v>0.93908475205276021</v>
      </c>
      <c r="AT126" s="91">
        <f t="shared" si="292"/>
        <v>0.66166127893236937</v>
      </c>
      <c r="AU126" s="104">
        <f t="shared" si="293"/>
        <v>0.94996893135533322</v>
      </c>
      <c r="AV126" s="91">
        <f t="shared" si="294"/>
        <v>0.66933006493036107</v>
      </c>
      <c r="BF126" s="38">
        <v>13</v>
      </c>
      <c r="BG126" s="86">
        <f>AF124</f>
        <v>31170</v>
      </c>
      <c r="BH126" s="37">
        <f t="shared" si="295"/>
        <v>0.8706703910614525</v>
      </c>
      <c r="BI126" s="38">
        <f t="shared" ref="BI126:BQ126" si="306">AH124</f>
        <v>27840</v>
      </c>
      <c r="BJ126" s="37">
        <f t="shared" si="306"/>
        <v>0.77765363128491616</v>
      </c>
      <c r="BK126" s="37">
        <f t="shared" si="306"/>
        <v>2.9166841026070256E-2</v>
      </c>
      <c r="BL126" s="38">
        <f t="shared" si="306"/>
        <v>25749</v>
      </c>
      <c r="BM126" s="37">
        <f t="shared" si="306"/>
        <v>0.92489224137931036</v>
      </c>
      <c r="BN126" s="7">
        <f t="shared" si="306"/>
        <v>1311.385801495428</v>
      </c>
      <c r="BO126" s="38">
        <f t="shared" si="306"/>
        <v>23462</v>
      </c>
      <c r="BP126" s="37">
        <f t="shared" si="306"/>
        <v>0.91118101673851415</v>
      </c>
      <c r="BQ126" s="50">
        <f t="shared" si="306"/>
        <v>7306.5581762277634</v>
      </c>
      <c r="BR126" s="91">
        <f t="shared" si="284"/>
        <v>0.65536312849162015</v>
      </c>
      <c r="BS126" s="103">
        <f>INDEX(Daggett!$B$7:$M$21, MATCH(BF126,Daggett!$A$7:$A$21,0), MATCH(BD$120,Daggett!$B$6:$M$6,0))</f>
        <v>821.32258064516134</v>
      </c>
      <c r="BT126" s="4">
        <f t="shared" si="285"/>
        <v>0.93451000706584364</v>
      </c>
      <c r="BU126" s="91">
        <f t="shared" si="297"/>
        <v>0.61244340183739732</v>
      </c>
      <c r="BV126" s="104">
        <f t="shared" si="298"/>
        <v>0.94621158999688537</v>
      </c>
      <c r="BW126" s="91">
        <f t="shared" si="299"/>
        <v>0.62011218783538902</v>
      </c>
    </row>
    <row r="127" spans="2:85">
      <c r="D127" s="38">
        <v>14</v>
      </c>
      <c r="E127" s="86">
        <f t="shared" si="286"/>
        <v>32529</v>
      </c>
      <c r="F127" s="37">
        <f t="shared" si="262"/>
        <v>0.90863128491620115</v>
      </c>
      <c r="G127" s="38">
        <f t="shared" si="286"/>
        <v>28631</v>
      </c>
      <c r="H127" s="37">
        <f t="shared" ref="H127:P127" si="307">H123</f>
        <v>0.7997486033519553</v>
      </c>
      <c r="I127" s="37">
        <f t="shared" si="307"/>
        <v>4.3295146671799234E-2</v>
      </c>
      <c r="J127" s="38">
        <f t="shared" si="265"/>
        <v>26770</v>
      </c>
      <c r="K127" s="37">
        <f t="shared" si="307"/>
        <v>0.93500052390765254</v>
      </c>
      <c r="L127" s="7">
        <f t="shared" si="307"/>
        <v>1363.3849045024122</v>
      </c>
      <c r="M127" s="38">
        <f t="shared" si="268"/>
        <v>24314</v>
      </c>
      <c r="N127" s="37">
        <f t="shared" si="307"/>
        <v>0.90825550989914083</v>
      </c>
      <c r="O127" s="50">
        <f t="shared" si="307"/>
        <v>7571.8888200836182</v>
      </c>
      <c r="P127" s="91">
        <f t="shared" si="307"/>
        <v>0.67916201117318431</v>
      </c>
      <c r="Q127" s="7">
        <f>INDEX(Daggett!$B$7:$M$21, MATCH(D127,Daggett!$A$7:$A$21,0), MATCH(B$120,Daggett!$B$6:$M$6,0))</f>
        <v>801.80645161290317</v>
      </c>
      <c r="R127" s="4">
        <f t="shared" si="272"/>
        <v>0.93526669536529528</v>
      </c>
      <c r="S127" s="91">
        <f t="shared" si="287"/>
        <v>0.63519760980759188</v>
      </c>
      <c r="T127" s="104">
        <f t="shared" si="288"/>
        <v>0.94809641870967032</v>
      </c>
      <c r="U127" s="91">
        <f t="shared" si="289"/>
        <v>0.64391107051695318</v>
      </c>
      <c r="AE127" s="38">
        <v>14</v>
      </c>
      <c r="AF127" s="86">
        <f t="shared" si="290"/>
        <v>34965</v>
      </c>
      <c r="AG127" s="37">
        <f t="shared" si="273"/>
        <v>0.97667597765363123</v>
      </c>
      <c r="AH127" s="38">
        <f t="shared" si="290"/>
        <v>29749</v>
      </c>
      <c r="AI127" s="37">
        <f t="shared" si="274"/>
        <v>0.83097765363128495</v>
      </c>
      <c r="AJ127" s="37">
        <f t="shared" si="275"/>
        <v>7.5193205627988369E-2</v>
      </c>
      <c r="AK127" s="38">
        <f t="shared" si="276"/>
        <v>28160</v>
      </c>
      <c r="AL127" s="37">
        <f t="shared" si="277"/>
        <v>0.94658643988033209</v>
      </c>
      <c r="AM127" s="7">
        <f t="shared" si="278"/>
        <v>1434.1770231896871</v>
      </c>
      <c r="AN127" s="38">
        <f t="shared" si="279"/>
        <v>25587</v>
      </c>
      <c r="AO127" s="37">
        <f t="shared" si="280"/>
        <v>0.90862926136363631</v>
      </c>
      <c r="AP127" s="50">
        <f t="shared" si="281"/>
        <v>7968.3276811499354</v>
      </c>
      <c r="AQ127" s="91">
        <f t="shared" si="291"/>
        <v>0.71472067039106146</v>
      </c>
      <c r="AR127" s="7">
        <f>INDEX(Daggett!$B$7:$M$21, MATCH(AE127,Daggett!$A$7:$A$21,0), MATCH(AC$120,Daggett!$B$6:$M$6,0))</f>
        <v>801.80645161290317</v>
      </c>
      <c r="AS127" s="4">
        <f t="shared" si="282"/>
        <v>0.93848729554507326</v>
      </c>
      <c r="AT127" s="91">
        <f t="shared" si="292"/>
        <v>0.67075626902546903</v>
      </c>
      <c r="AU127" s="104">
        <f t="shared" si="293"/>
        <v>0.95067871671188198</v>
      </c>
      <c r="AV127" s="91">
        <f t="shared" si="294"/>
        <v>0.67946972973483033</v>
      </c>
      <c r="BF127" s="38">
        <v>14</v>
      </c>
      <c r="BG127" s="86">
        <f>AF123</f>
        <v>28891</v>
      </c>
      <c r="BH127" s="37">
        <f t="shared" si="295"/>
        <v>0.80701117318435756</v>
      </c>
      <c r="BI127" s="38">
        <f t="shared" ref="BI127:BQ127" si="308">AH123</f>
        <v>26296</v>
      </c>
      <c r="BJ127" s="37">
        <f t="shared" si="308"/>
        <v>0.73452513966480448</v>
      </c>
      <c r="BK127" s="37">
        <f t="shared" si="308"/>
        <v>1.0674303566779564E-2</v>
      </c>
      <c r="BL127" s="38">
        <f t="shared" si="308"/>
        <v>23450</v>
      </c>
      <c r="BM127" s="37">
        <f t="shared" si="308"/>
        <v>0.89177061149984793</v>
      </c>
      <c r="BN127" s="7">
        <f t="shared" si="308"/>
        <v>1194.2986929615827</v>
      </c>
      <c r="BO127" s="38">
        <f t="shared" si="308"/>
        <v>21427</v>
      </c>
      <c r="BP127" s="37">
        <f t="shared" si="308"/>
        <v>0.91373134328358208</v>
      </c>
      <c r="BQ127" s="50">
        <f t="shared" si="308"/>
        <v>6672.8165562199429</v>
      </c>
      <c r="BR127" s="91">
        <f t="shared" si="284"/>
        <v>0.59851955307262572</v>
      </c>
      <c r="BS127" s="103">
        <f>INDEX(Daggett!$B$7:$M$21, MATCH(BF127,Daggett!$A$7:$A$21,0), MATCH(BD$120,Daggett!$B$6:$M$6,0))</f>
        <v>801.80645161290317</v>
      </c>
      <c r="BT127" s="4">
        <f t="shared" si="285"/>
        <v>0.92654475340046616</v>
      </c>
      <c r="BU127" s="91">
        <f t="shared" si="297"/>
        <v>0.55455515170703318</v>
      </c>
      <c r="BV127" s="104">
        <f t="shared" si="298"/>
        <v>0.94110310937167707</v>
      </c>
      <c r="BW127" s="91">
        <f t="shared" si="299"/>
        <v>0.56326861241639459</v>
      </c>
    </row>
    <row r="128" spans="2:85">
      <c r="D128" s="38">
        <v>15</v>
      </c>
      <c r="E128" s="86">
        <f t="shared" si="286"/>
        <v>31132</v>
      </c>
      <c r="F128" s="37">
        <f t="shared" si="262"/>
        <v>0.869608938547486</v>
      </c>
      <c r="G128" s="38">
        <f t="shared" si="286"/>
        <v>27311</v>
      </c>
      <c r="H128" s="37">
        <f t="shared" ref="H128:P128" si="309">H122</f>
        <v>0.76287709497206702</v>
      </c>
      <c r="I128" s="37">
        <f t="shared" si="309"/>
        <v>4.6451575060471928E-2</v>
      </c>
      <c r="J128" s="38">
        <f t="shared" si="265"/>
        <v>25199</v>
      </c>
      <c r="K128" s="37">
        <f t="shared" si="309"/>
        <v>0.92266852184101644</v>
      </c>
      <c r="L128" s="7">
        <f t="shared" si="309"/>
        <v>1283.3745315112546</v>
      </c>
      <c r="M128" s="38">
        <f t="shared" si="268"/>
        <v>22908</v>
      </c>
      <c r="N128" s="37">
        <f t="shared" si="309"/>
        <v>0.90908369379737286</v>
      </c>
      <c r="O128" s="50">
        <f t="shared" si="309"/>
        <v>7134.0309735327601</v>
      </c>
      <c r="P128" s="91">
        <f t="shared" si="309"/>
        <v>0.63988826815642463</v>
      </c>
      <c r="Q128" s="7">
        <f>INDEX(Daggett!$B$7:$M$21, MATCH(D128,Daggett!$A$7:$A$21,0), MATCH(B$120,Daggett!$B$6:$M$6,0))</f>
        <v>796.93548387096769</v>
      </c>
      <c r="R128" s="4">
        <f t="shared" si="272"/>
        <v>0.93087368623887001</v>
      </c>
      <c r="S128" s="91">
        <f t="shared" si="287"/>
        <v>0.5956551509597775</v>
      </c>
      <c r="T128" s="104">
        <f t="shared" si="288"/>
        <v>0.9449107876945575</v>
      </c>
      <c r="U128" s="91">
        <f t="shared" si="289"/>
        <v>0.60463732750019339</v>
      </c>
      <c r="AE128" s="38">
        <v>15</v>
      </c>
      <c r="AF128" s="86">
        <f t="shared" si="290"/>
        <v>35127</v>
      </c>
      <c r="AG128" s="37">
        <f t="shared" si="273"/>
        <v>0.98120111731843573</v>
      </c>
      <c r="AH128" s="38">
        <f t="shared" si="290"/>
        <v>29772</v>
      </c>
      <c r="AI128" s="37">
        <f t="shared" si="274"/>
        <v>0.83162011173184358</v>
      </c>
      <c r="AJ128" s="37">
        <f t="shared" si="275"/>
        <v>7.8746560616693939E-2</v>
      </c>
      <c r="AK128" s="38">
        <f t="shared" si="276"/>
        <v>28269</v>
      </c>
      <c r="AL128" s="37">
        <f t="shared" si="277"/>
        <v>0.94951632406287789</v>
      </c>
      <c r="AM128" s="7">
        <f t="shared" si="278"/>
        <v>1439.7283476047326</v>
      </c>
      <c r="AN128" s="38">
        <f t="shared" si="279"/>
        <v>25637</v>
      </c>
      <c r="AO128" s="37">
        <f t="shared" si="280"/>
        <v>0.90689447805016099</v>
      </c>
      <c r="AP128" s="50">
        <f t="shared" si="281"/>
        <v>7983.8987283245751</v>
      </c>
      <c r="AQ128" s="91">
        <f t="shared" si="291"/>
        <v>0.71611731843575421</v>
      </c>
      <c r="AR128" s="7">
        <f>INDEX(Daggett!$B$7:$M$21, MATCH(AE128,Daggett!$A$7:$A$21,0), MATCH(AC$120,Daggett!$B$6:$M$6,0))</f>
        <v>796.93548387096769</v>
      </c>
      <c r="AS128" s="4">
        <f t="shared" si="282"/>
        <v>0.93823202419784035</v>
      </c>
      <c r="AT128" s="91">
        <f t="shared" si="292"/>
        <v>0.67188420123910708</v>
      </c>
      <c r="AU128" s="104">
        <f t="shared" si="293"/>
        <v>0.95077490831637568</v>
      </c>
      <c r="AV128" s="91">
        <f t="shared" si="294"/>
        <v>0.68086637777952297</v>
      </c>
      <c r="BF128" s="38">
        <v>15</v>
      </c>
      <c r="BG128" s="86">
        <f>AF122</f>
        <v>26180</v>
      </c>
      <c r="BH128" s="37">
        <f t="shared" si="295"/>
        <v>0.73128491620111735</v>
      </c>
      <c r="BI128" s="38">
        <f t="shared" ref="BI128:BQ128" si="310">AH122</f>
        <v>23973</v>
      </c>
      <c r="BJ128" s="37">
        <f t="shared" si="310"/>
        <v>0.66963687150837992</v>
      </c>
      <c r="BK128" s="37">
        <f t="shared" si="310"/>
        <v>4.6749925266550418E-3</v>
      </c>
      <c r="BL128" s="38">
        <f t="shared" si="310"/>
        <v>20186</v>
      </c>
      <c r="BM128" s="37">
        <f t="shared" si="310"/>
        <v>0.84203061777833399</v>
      </c>
      <c r="BN128" s="7">
        <f t="shared" si="310"/>
        <v>1028.0645380009598</v>
      </c>
      <c r="BO128" s="38">
        <f t="shared" si="310"/>
        <v>18374</v>
      </c>
      <c r="BP128" s="37">
        <f t="shared" si="310"/>
        <v>0.91023481620925395</v>
      </c>
      <c r="BQ128" s="50">
        <f t="shared" si="310"/>
        <v>5722.0484157364644</v>
      </c>
      <c r="BR128" s="91">
        <f t="shared" si="284"/>
        <v>0.51324022346368714</v>
      </c>
      <c r="BS128" s="103">
        <f>INDEX(Daggett!$B$7:$M$21, MATCH(BF128,Daggett!$A$7:$A$21,0), MATCH(BD$120,Daggett!$B$6:$M$6,0))</f>
        <v>796.93548387096769</v>
      </c>
      <c r="BT128" s="4">
        <f t="shared" si="285"/>
        <v>0.91381595756830492</v>
      </c>
      <c r="BU128" s="91">
        <f t="shared" si="297"/>
        <v>0.46900710626704006</v>
      </c>
      <c r="BV128" s="104">
        <f t="shared" si="298"/>
        <v>0.93131687844274103</v>
      </c>
      <c r="BW128" s="91">
        <f t="shared" si="299"/>
        <v>0.47798928280745595</v>
      </c>
    </row>
    <row r="129" spans="2:83">
      <c r="D129" s="38">
        <v>16</v>
      </c>
      <c r="E129" s="86">
        <f t="shared" si="286"/>
        <v>29211</v>
      </c>
      <c r="F129" s="37">
        <f t="shared" si="262"/>
        <v>0.81594972067039107</v>
      </c>
      <c r="G129" s="38">
        <f t="shared" si="286"/>
        <v>23841</v>
      </c>
      <c r="H129" s="37">
        <f t="shared" ref="H129:P129" si="311">H121</f>
        <v>0.66594972067039104</v>
      </c>
      <c r="I129" s="37">
        <f t="shared" si="311"/>
        <v>0.11286397470875331</v>
      </c>
      <c r="J129" s="38">
        <f t="shared" si="265"/>
        <v>21418</v>
      </c>
      <c r="K129" s="37">
        <f t="shared" si="311"/>
        <v>0.89836835703200368</v>
      </c>
      <c r="L129" s="7">
        <f t="shared" si="311"/>
        <v>1090.8097827655085</v>
      </c>
      <c r="M129" s="38">
        <f t="shared" si="268"/>
        <v>19507</v>
      </c>
      <c r="N129" s="37">
        <f t="shared" si="311"/>
        <v>0.91077598281819028</v>
      </c>
      <c r="O129" s="50">
        <f t="shared" si="311"/>
        <v>6074.8883447137923</v>
      </c>
      <c r="P129" s="91">
        <f t="shared" si="311"/>
        <v>0.54488826815642455</v>
      </c>
      <c r="Q129" s="7">
        <f>INDEX(Daggett!$B$7:$M$21, MATCH(D129,Daggett!$A$7:$A$21,0), MATCH(B$120,Daggett!$B$6:$M$6,0))</f>
        <v>749.29032258064512</v>
      </c>
      <c r="R129" s="4">
        <f t="shared" si="272"/>
        <v>0.91365978424235106</v>
      </c>
      <c r="S129" s="91">
        <f t="shared" si="287"/>
        <v>0.49784249751998716</v>
      </c>
      <c r="T129" s="104">
        <f t="shared" si="288"/>
        <v>0.93530611188326873</v>
      </c>
      <c r="U129" s="91">
        <f t="shared" si="289"/>
        <v>0.5096373275001933</v>
      </c>
      <c r="AE129" s="38">
        <v>16</v>
      </c>
      <c r="AF129" s="86">
        <f t="shared" si="290"/>
        <v>34722</v>
      </c>
      <c r="AG129" s="37">
        <f t="shared" si="273"/>
        <v>0.96988826815642459</v>
      </c>
      <c r="AH129" s="38">
        <f t="shared" si="290"/>
        <v>26504</v>
      </c>
      <c r="AI129" s="37">
        <f t="shared" si="274"/>
        <v>0.74033519553072624</v>
      </c>
      <c r="AJ129" s="37">
        <f t="shared" si="275"/>
        <v>0.17030425516462444</v>
      </c>
      <c r="AK129" s="38">
        <f t="shared" si="276"/>
        <v>25069</v>
      </c>
      <c r="AL129" s="37">
        <f t="shared" si="277"/>
        <v>0.9458572290974947</v>
      </c>
      <c r="AM129" s="7">
        <f t="shared" si="278"/>
        <v>1276.7536858786318</v>
      </c>
      <c r="AN129" s="38">
        <f t="shared" si="279"/>
        <v>22697</v>
      </c>
      <c r="AO129" s="37">
        <f t="shared" si="280"/>
        <v>0.90538114803143321</v>
      </c>
      <c r="AP129" s="50">
        <f t="shared" si="281"/>
        <v>7068.3211544557817</v>
      </c>
      <c r="AQ129" s="91">
        <f t="shared" si="291"/>
        <v>0.63399441340782126</v>
      </c>
      <c r="AR129" s="7">
        <f>INDEX(Daggett!$B$7:$M$21, MATCH(AE129,Daggett!$A$7:$A$21,0), MATCH(AC$120,Daggett!$B$6:$M$6,0))</f>
        <v>749.29032258064512</v>
      </c>
      <c r="AS129" s="4">
        <f t="shared" si="282"/>
        <v>0.92579466058137827</v>
      </c>
      <c r="AT129" s="91">
        <f t="shared" si="292"/>
        <v>0.58694864277138392</v>
      </c>
      <c r="AU129" s="104">
        <f t="shared" si="293"/>
        <v>0.94439865728981465</v>
      </c>
      <c r="AV129" s="91">
        <f t="shared" si="294"/>
        <v>0.59874347275159001</v>
      </c>
      <c r="BF129" s="38">
        <v>16</v>
      </c>
      <c r="BG129" s="86">
        <f>AF121</f>
        <v>23105</v>
      </c>
      <c r="BH129" s="37">
        <f t="shared" si="295"/>
        <v>0.64539106145251401</v>
      </c>
      <c r="BI129" s="38">
        <f t="shared" ref="BI129:BQ129" si="312">AH121</f>
        <v>20878</v>
      </c>
      <c r="BJ129" s="37">
        <f t="shared" si="312"/>
        <v>0.58318435754189946</v>
      </c>
      <c r="BK129" s="37">
        <f t="shared" si="312"/>
        <v>1.7810938720209335E-2</v>
      </c>
      <c r="BL129" s="38">
        <f t="shared" si="312"/>
        <v>16019</v>
      </c>
      <c r="BM129" s="37">
        <f t="shared" si="312"/>
        <v>0.76726697959574675</v>
      </c>
      <c r="BN129" s="7">
        <f t="shared" si="312"/>
        <v>815.84097068450285</v>
      </c>
      <c r="BO129" s="38">
        <f t="shared" si="312"/>
        <v>14612</v>
      </c>
      <c r="BP129" s="37">
        <f t="shared" si="312"/>
        <v>0.91216680192271682</v>
      </c>
      <c r="BQ129" s="50">
        <f t="shared" si="312"/>
        <v>4550.4828263166009</v>
      </c>
      <c r="BR129" s="91">
        <f t="shared" si="284"/>
        <v>0.40815642458100559</v>
      </c>
      <c r="BS129" s="103">
        <f>INDEX(Daggett!$B$7:$M$21, MATCH(BF129,Daggett!$A$7:$A$21,0), MATCH(BD$120,Daggett!$B$6:$M$6,0))</f>
        <v>749.29032258064512</v>
      </c>
      <c r="BT129" s="4">
        <f t="shared" si="285"/>
        <v>0.88473593014067498</v>
      </c>
      <c r="BU129" s="91">
        <f t="shared" si="297"/>
        <v>0.36111065394456826</v>
      </c>
      <c r="BV129" s="104">
        <f t="shared" si="298"/>
        <v>0.91363374791314833</v>
      </c>
      <c r="BW129" s="91">
        <f t="shared" si="299"/>
        <v>0.37290548392477441</v>
      </c>
    </row>
    <row r="130" spans="2:83">
      <c r="C130" s="7" t="s">
        <v>162</v>
      </c>
      <c r="D130" s="38">
        <v>17</v>
      </c>
      <c r="E130" s="86">
        <f t="shared" si="286"/>
        <v>26801</v>
      </c>
      <c r="F130" s="37">
        <f t="shared" si="262"/>
        <v>0.74863128491620112</v>
      </c>
      <c r="G130" s="38">
        <f t="shared" si="286"/>
        <v>16785</v>
      </c>
      <c r="H130" s="37">
        <f t="shared" ref="H130:P130" si="313">H120</f>
        <v>0.46885474860335197</v>
      </c>
      <c r="I130" s="37">
        <f t="shared" si="313"/>
        <v>0.31925804196144536</v>
      </c>
      <c r="J130" s="38">
        <f t="shared" si="265"/>
        <v>14359</v>
      </c>
      <c r="K130" s="37">
        <f t="shared" si="313"/>
        <v>0.85546619005064051</v>
      </c>
      <c r="L130" s="7">
        <f t="shared" si="313"/>
        <v>731.297864914088</v>
      </c>
      <c r="M130" s="38">
        <f t="shared" si="268"/>
        <v>12973</v>
      </c>
      <c r="N130" s="37">
        <f t="shared" si="313"/>
        <v>0.90347517236576358</v>
      </c>
      <c r="O130" s="50">
        <f t="shared" si="313"/>
        <v>4040.0638999319231</v>
      </c>
      <c r="P130" s="91">
        <f t="shared" si="313"/>
        <v>0.36237430167597767</v>
      </c>
      <c r="Q130" s="7">
        <f>INDEX(Daggett!$B$7:$M$21, MATCH(D130,Daggett!$A$7:$A$21,0), MATCH(B$120,Daggett!$B$6:$M$6,0))</f>
        <v>658.83870967741939</v>
      </c>
      <c r="R130" s="4">
        <f t="shared" si="272"/>
        <v>0.85234974170688871</v>
      </c>
      <c r="S130" s="91">
        <f t="shared" si="287"/>
        <v>0.30886964243473375</v>
      </c>
      <c r="T130" s="104">
        <f t="shared" si="288"/>
        <v>0.90272229434262885</v>
      </c>
      <c r="U130" s="91">
        <f t="shared" si="289"/>
        <v>0.32712336101974648</v>
      </c>
      <c r="AD130" s="7" t="s">
        <v>162</v>
      </c>
      <c r="AE130" s="38">
        <v>17</v>
      </c>
      <c r="AF130" s="86">
        <f t="shared" si="290"/>
        <v>33760</v>
      </c>
      <c r="AG130" s="37">
        <f t="shared" si="273"/>
        <v>0.94301675977653632</v>
      </c>
      <c r="AH130" s="38">
        <f t="shared" si="290"/>
        <v>20507</v>
      </c>
      <c r="AI130" s="37">
        <f t="shared" si="274"/>
        <v>0.57282122905027932</v>
      </c>
      <c r="AJ130" s="37">
        <f t="shared" si="275"/>
        <v>0.33974474551823619</v>
      </c>
      <c r="AK130" s="38">
        <f t="shared" si="276"/>
        <v>19315</v>
      </c>
      <c r="AL130" s="37">
        <f t="shared" si="277"/>
        <v>0.94187350660749991</v>
      </c>
      <c r="AM130" s="7">
        <f t="shared" si="278"/>
        <v>983.70487226238663</v>
      </c>
      <c r="AN130" s="38">
        <f t="shared" si="279"/>
        <v>17353</v>
      </c>
      <c r="AO130" s="37">
        <f t="shared" si="280"/>
        <v>0.89842091638622834</v>
      </c>
      <c r="AP130" s="50">
        <f t="shared" si="281"/>
        <v>5404.087632430329</v>
      </c>
      <c r="AQ130" s="91">
        <f t="shared" si="291"/>
        <v>0.48472067039106143</v>
      </c>
      <c r="AR130" s="7">
        <f>INDEX(Daggett!$B$7:$M$21, MATCH(AE130,Daggett!$A$7:$A$21,0), MATCH(AC$120,Daggett!$B$6:$M$6,0))</f>
        <v>658.83870967741939</v>
      </c>
      <c r="AS130" s="4">
        <f t="shared" si="282"/>
        <v>0.88961754158724526</v>
      </c>
      <c r="AT130" s="91">
        <f t="shared" si="292"/>
        <v>0.4312160111498175</v>
      </c>
      <c r="AU130" s="104">
        <f t="shared" si="293"/>
        <v>0.92727576352831931</v>
      </c>
      <c r="AV130" s="91">
        <f t="shared" si="294"/>
        <v>0.44946972973483029</v>
      </c>
      <c r="BE130" s="7" t="s">
        <v>162</v>
      </c>
      <c r="BF130" s="38">
        <v>17</v>
      </c>
      <c r="BG130" s="86">
        <f>AF120</f>
        <v>19758</v>
      </c>
      <c r="BH130" s="37">
        <f t="shared" si="295"/>
        <v>0.55189944134078217</v>
      </c>
      <c r="BI130" s="38">
        <f t="shared" ref="BI130:BQ130" si="314">AH120</f>
        <v>16197</v>
      </c>
      <c r="BJ130" s="37">
        <f t="shared" si="314"/>
        <v>0.45243016759776539</v>
      </c>
      <c r="BK130" s="37">
        <f t="shared" si="314"/>
        <v>0.10894651368515562</v>
      </c>
      <c r="BL130" s="38">
        <f t="shared" si="314"/>
        <v>11090</v>
      </c>
      <c r="BM130" s="37">
        <f t="shared" si="314"/>
        <v>0.6846946965487436</v>
      </c>
      <c r="BN130" s="7">
        <f t="shared" si="314"/>
        <v>564.80906204451821</v>
      </c>
      <c r="BO130" s="38">
        <f t="shared" si="314"/>
        <v>10075</v>
      </c>
      <c r="BP130" s="37">
        <f t="shared" si="314"/>
        <v>0.90847610459873762</v>
      </c>
      <c r="BQ130" s="50">
        <f t="shared" si="314"/>
        <v>3137.5660056898269</v>
      </c>
      <c r="BR130" s="91">
        <f t="shared" si="284"/>
        <v>0.28142458100558659</v>
      </c>
      <c r="BS130" s="103">
        <f>INDEX(Daggett!$B$7:$M$21, MATCH(BF130,Daggett!$A$7:$A$21,0), MATCH(BD$120,Daggett!$B$6:$M$6,0))</f>
        <v>658.83870967741939</v>
      </c>
      <c r="BT130" s="4">
        <f t="shared" si="285"/>
        <v>0.80987922572342097</v>
      </c>
      <c r="BU130" s="91">
        <f t="shared" si="297"/>
        <v>0.22791992176434264</v>
      </c>
      <c r="BV130" s="104">
        <f t="shared" si="298"/>
        <v>0.87474107439274684</v>
      </c>
      <c r="BW130" s="91">
        <f t="shared" si="299"/>
        <v>0.24617364034935543</v>
      </c>
    </row>
    <row r="131" spans="2:83">
      <c r="C131" s="7">
        <f>ROW(D131)-ROW(D119)+1</f>
        <v>13</v>
      </c>
      <c r="D131" s="38">
        <v>18</v>
      </c>
      <c r="E131" s="86">
        <f>E101</f>
        <v>23947</v>
      </c>
      <c r="F131" s="37">
        <f t="shared" si="262"/>
        <v>0.66891061452513967</v>
      </c>
      <c r="G131" s="38">
        <f>G101</f>
        <v>11379</v>
      </c>
      <c r="H131" s="37">
        <f t="shared" ref="H131:P131" si="315">H119</f>
        <v>0.31784916201117319</v>
      </c>
      <c r="I131" s="37">
        <f t="shared" si="315"/>
        <v>0.48350614854179796</v>
      </c>
      <c r="J131" s="38">
        <f t="shared" si="265"/>
        <v>8698</v>
      </c>
      <c r="K131" s="37">
        <f t="shared" si="315"/>
        <v>0.76439054398453288</v>
      </c>
      <c r="L131" s="7">
        <f t="shared" si="315"/>
        <v>442.98550240425777</v>
      </c>
      <c r="M131" s="38">
        <f t="shared" si="268"/>
        <v>7832</v>
      </c>
      <c r="N131" s="37">
        <f t="shared" si="315"/>
        <v>0.90043688204184869</v>
      </c>
      <c r="O131" s="50">
        <f t="shared" si="315"/>
        <v>2439.0488294355064</v>
      </c>
      <c r="P131" s="91">
        <f t="shared" si="315"/>
        <v>0.2187709497206704</v>
      </c>
      <c r="Q131" s="7">
        <f>INDEX(Daggett!$B$7:$M$21, MATCH(D131,Daggett!$A$7:$A$21,0), MATCH(B$120,Daggett!$B$6:$M$6,0))</f>
        <v>519.06451612903231</v>
      </c>
      <c r="R131" s="4">
        <f t="shared" si="272"/>
        <v>0.68957283599834485</v>
      </c>
      <c r="S131" s="91">
        <f t="shared" si="287"/>
        <v>0.15085850423293401</v>
      </c>
      <c r="T131" s="104">
        <f t="shared" si="288"/>
        <v>0.8388682743241731</v>
      </c>
      <c r="U131" s="91">
        <f t="shared" si="289"/>
        <v>0.18352000906443922</v>
      </c>
      <c r="AD131" s="7">
        <f>ROW(AE131)-ROW(AE119)+1</f>
        <v>13</v>
      </c>
      <c r="AE131" s="38">
        <v>18</v>
      </c>
      <c r="AF131" s="86">
        <f t="shared" si="290"/>
        <v>32258</v>
      </c>
      <c r="AG131" s="37">
        <f t="shared" si="273"/>
        <v>0.90106145251396652</v>
      </c>
      <c r="AH131" s="38">
        <f t="shared" si="290"/>
        <v>11758</v>
      </c>
      <c r="AI131" s="37">
        <f t="shared" si="274"/>
        <v>0.32843575418994414</v>
      </c>
      <c r="AJ131" s="37">
        <f t="shared" si="275"/>
        <v>0.60380572935058918</v>
      </c>
      <c r="AK131" s="38">
        <f t="shared" si="276"/>
        <v>10968</v>
      </c>
      <c r="AL131" s="37">
        <f t="shared" si="277"/>
        <v>0.93281170267052216</v>
      </c>
      <c r="AM131" s="7">
        <f t="shared" si="278"/>
        <v>558.59565306621062</v>
      </c>
      <c r="AN131" s="38">
        <f t="shared" si="279"/>
        <v>9683</v>
      </c>
      <c r="AO131" s="37">
        <f t="shared" si="280"/>
        <v>0.88284099197665933</v>
      </c>
      <c r="AP131" s="50">
        <f t="shared" si="281"/>
        <v>3015.4889958406548</v>
      </c>
      <c r="AQ131" s="91">
        <f t="shared" si="291"/>
        <v>0.27047486033519552</v>
      </c>
      <c r="AR131" s="7">
        <f>INDEX(Daggett!$B$7:$M$21, MATCH(AE131,Daggett!$A$7:$A$21,0), MATCH(AC$120,Daggett!$B$6:$M$6,0))</f>
        <v>519.06451612903231</v>
      </c>
      <c r="AS131" s="4">
        <f t="shared" si="282"/>
        <v>0.74891401957441261</v>
      </c>
      <c r="AT131" s="91">
        <f t="shared" si="292"/>
        <v>0.20256241484745913</v>
      </c>
      <c r="AU131" s="104">
        <f t="shared" si="293"/>
        <v>0.86967017706360883</v>
      </c>
      <c r="AV131" s="91">
        <f t="shared" si="294"/>
        <v>0.23522391967896436</v>
      </c>
      <c r="BE131" s="7">
        <f>ROW(BF131)-ROW(BF119)+1</f>
        <v>13</v>
      </c>
      <c r="BF131" s="38">
        <v>18</v>
      </c>
      <c r="BG131" s="86">
        <f>AF119</f>
        <v>16273</v>
      </c>
      <c r="BH131" s="37">
        <f t="shared" si="295"/>
        <v>0.45455307262569833</v>
      </c>
      <c r="BI131" s="38">
        <f t="shared" ref="BI131:BQ131" si="316">AH119</f>
        <v>9731</v>
      </c>
      <c r="BJ131" s="37">
        <f t="shared" si="316"/>
        <v>0.27181564245810058</v>
      </c>
      <c r="BK131" s="37">
        <f t="shared" si="316"/>
        <v>0.35001696595320597</v>
      </c>
      <c r="BL131" s="38">
        <f t="shared" si="316"/>
        <v>5620</v>
      </c>
      <c r="BM131" s="37">
        <f t="shared" si="316"/>
        <v>0.57753571061555853</v>
      </c>
      <c r="BN131" s="7">
        <f t="shared" si="316"/>
        <v>286.22424965646456</v>
      </c>
      <c r="BO131" s="38">
        <f t="shared" si="316"/>
        <v>5065</v>
      </c>
      <c r="BP131" s="37">
        <f t="shared" si="316"/>
        <v>0.9012455516014235</v>
      </c>
      <c r="BQ131" s="50">
        <f t="shared" si="316"/>
        <v>1577.347078790965</v>
      </c>
      <c r="BR131" s="91">
        <f t="shared" si="284"/>
        <v>0.1414804469273743</v>
      </c>
      <c r="BS131" s="103">
        <f>INDEX(Daggett!$B$7:$M$21, MATCH(BF131,Daggett!$A$7:$A$21,0), MATCH(BD$120,Daggett!$B$6:$M$6,0))</f>
        <v>519.06451612903231</v>
      </c>
      <c r="BT131" s="4">
        <f t="shared" si="285"/>
        <v>0.51998705854670035</v>
      </c>
      <c r="BU131" s="91">
        <f t="shared" si="297"/>
        <v>7.3568001439637917E-2</v>
      </c>
      <c r="BV131" s="104">
        <f t="shared" si="298"/>
        <v>0.75084231480886943</v>
      </c>
      <c r="BW131" s="91">
        <f t="shared" si="299"/>
        <v>0.10622950627114311</v>
      </c>
    </row>
    <row r="132" spans="2:83">
      <c r="E132" s="87"/>
      <c r="P132" s="88"/>
      <c r="S132" s="88"/>
      <c r="T132" s="87"/>
      <c r="U132" s="88"/>
      <c r="AF132" s="87"/>
      <c r="AQ132" s="88"/>
      <c r="AT132" s="88"/>
      <c r="AU132" s="87"/>
      <c r="AV132" s="88"/>
      <c r="BG132" s="87"/>
      <c r="BR132" s="88"/>
      <c r="BS132" s="87"/>
      <c r="BU132" s="88"/>
      <c r="BV132" s="87"/>
      <c r="BW132" s="88"/>
    </row>
    <row r="133" spans="2:83" ht="49.5">
      <c r="B133" s="34"/>
      <c r="C133" s="63" t="s">
        <v>151</v>
      </c>
      <c r="D133" s="63" t="s">
        <v>89</v>
      </c>
      <c r="E133" s="89" t="s">
        <v>152</v>
      </c>
      <c r="F133" s="34" t="s">
        <v>125</v>
      </c>
      <c r="G133" s="63" t="s">
        <v>153</v>
      </c>
      <c r="H133" s="33" t="s">
        <v>154</v>
      </c>
      <c r="I133" s="34" t="s">
        <v>155</v>
      </c>
      <c r="J133" s="85" t="s">
        <v>156</v>
      </c>
      <c r="K133" s="35" t="s">
        <v>157</v>
      </c>
      <c r="L133" s="35" t="s">
        <v>158</v>
      </c>
      <c r="M133" s="85" t="s">
        <v>159</v>
      </c>
      <c r="N133" s="35" t="s">
        <v>72</v>
      </c>
      <c r="O133" s="35" t="s">
        <v>160</v>
      </c>
      <c r="P133" s="100" t="s">
        <v>129</v>
      </c>
      <c r="Q133" s="138" t="s">
        <v>161</v>
      </c>
      <c r="R133" s="67" t="s">
        <v>130</v>
      </c>
      <c r="S133" s="100" t="s">
        <v>131</v>
      </c>
      <c r="T133" s="107" t="s">
        <v>130</v>
      </c>
      <c r="U133" s="100" t="s">
        <v>131</v>
      </c>
      <c r="AC133" s="34"/>
      <c r="AD133" s="63" t="s">
        <v>151</v>
      </c>
      <c r="AE133" s="63" t="s">
        <v>89</v>
      </c>
      <c r="AF133" s="89" t="s">
        <v>152</v>
      </c>
      <c r="AG133" s="34" t="s">
        <v>125</v>
      </c>
      <c r="AH133" s="63" t="s">
        <v>153</v>
      </c>
      <c r="AI133" s="33" t="s">
        <v>154</v>
      </c>
      <c r="AJ133" s="34" t="s">
        <v>155</v>
      </c>
      <c r="AK133" s="85" t="s">
        <v>156</v>
      </c>
      <c r="AL133" s="35" t="s">
        <v>157</v>
      </c>
      <c r="AM133" s="35" t="s">
        <v>158</v>
      </c>
      <c r="AN133" s="85" t="s">
        <v>159</v>
      </c>
      <c r="AO133" s="35" t="s">
        <v>72</v>
      </c>
      <c r="AP133" s="35" t="s">
        <v>160</v>
      </c>
      <c r="AQ133" s="100" t="s">
        <v>129</v>
      </c>
      <c r="AR133" s="138" t="s">
        <v>161</v>
      </c>
      <c r="AS133" s="67" t="s">
        <v>130</v>
      </c>
      <c r="AT133" s="100" t="s">
        <v>131</v>
      </c>
      <c r="AU133" s="107" t="s">
        <v>130</v>
      </c>
      <c r="AV133" s="100" t="s">
        <v>131</v>
      </c>
      <c r="BD133" s="34"/>
      <c r="BE133" s="63" t="s">
        <v>151</v>
      </c>
      <c r="BF133" s="63" t="s">
        <v>89</v>
      </c>
      <c r="BG133" s="89" t="s">
        <v>152</v>
      </c>
      <c r="BH133" s="34" t="s">
        <v>125</v>
      </c>
      <c r="BI133" s="63" t="s">
        <v>153</v>
      </c>
      <c r="BJ133" s="33" t="s">
        <v>154</v>
      </c>
      <c r="BK133" s="34" t="s">
        <v>155</v>
      </c>
      <c r="BL133" s="85" t="s">
        <v>156</v>
      </c>
      <c r="BM133" s="35" t="s">
        <v>157</v>
      </c>
      <c r="BN133" s="35" t="s">
        <v>158</v>
      </c>
      <c r="BO133" s="85" t="s">
        <v>159</v>
      </c>
      <c r="BP133" s="35" t="s">
        <v>72</v>
      </c>
      <c r="BQ133" s="35" t="s">
        <v>160</v>
      </c>
      <c r="BR133" s="100" t="s">
        <v>129</v>
      </c>
      <c r="BS133" s="144" t="s">
        <v>161</v>
      </c>
      <c r="BT133" s="67" t="s">
        <v>130</v>
      </c>
      <c r="BU133" s="100" t="s">
        <v>131</v>
      </c>
      <c r="BV133" s="107" t="s">
        <v>130</v>
      </c>
      <c r="BW133" s="100" t="s">
        <v>131</v>
      </c>
    </row>
    <row r="134" spans="2:83">
      <c r="B134" s="2" t="s">
        <v>88</v>
      </c>
      <c r="C134" s="7">
        <v>234</v>
      </c>
      <c r="D134" s="38">
        <v>7</v>
      </c>
      <c r="E134" s="86">
        <f>E76</f>
        <v>27392</v>
      </c>
      <c r="F134" s="37">
        <f t="shared" ref="F134:O134" si="317">F76</f>
        <v>0.76513966480446927</v>
      </c>
      <c r="G134" s="38">
        <f t="shared" si="317"/>
        <v>15089</v>
      </c>
      <c r="H134" s="37">
        <f t="shared" si="317"/>
        <v>0.4214804469273743</v>
      </c>
      <c r="I134" s="37">
        <f t="shared" si="317"/>
        <v>0.40124536519707432</v>
      </c>
      <c r="J134" s="38">
        <f t="shared" si="317"/>
        <v>12932</v>
      </c>
      <c r="K134" s="37">
        <f t="shared" si="317"/>
        <v>0.85704818079395584</v>
      </c>
      <c r="L134" s="7">
        <f t="shared" si="317"/>
        <v>658.62135170060492</v>
      </c>
      <c r="M134" s="38">
        <f t="shared" si="317"/>
        <v>11588</v>
      </c>
      <c r="N134" s="37">
        <f t="shared" si="317"/>
        <v>0.89607175997525523</v>
      </c>
      <c r="O134" s="50">
        <f t="shared" si="317"/>
        <v>3608.7458931944134</v>
      </c>
      <c r="P134" s="91">
        <f t="shared" ref="P134:P139" si="318">M134/$C$10</f>
        <v>0.32368715083798882</v>
      </c>
      <c r="Q134" s="7">
        <f>INDEX(Daggett!$B$7:$M$21, MATCH(D134,Daggett!$A$7:$A$21,0), MATCH(B$135,Daggett!$B$6:$M$6,0))</f>
        <v>504.64516129032256</v>
      </c>
      <c r="R134" s="4">
        <f t="shared" ref="R134:R144" si="319">IF(1-$H$7*(($H$5+273)^4-298^4)*(PI()*$C$19^2)*1000/(M134*Q134*1000)&lt;0,#N/A,1-$H$7*(($H$5+273)^4-298^4)*(PI()*$C$19^2)*1000/(M134*Q134*1000))</f>
        <v>0.78419617546079989</v>
      </c>
      <c r="S134" s="91">
        <f>R134*P134</f>
        <v>0.25383422573295389</v>
      </c>
      <c r="T134" s="104">
        <f>IF(1-$H$7*(($H$5+273)^4-298^4)/(O134*1000)&lt;0,#N/A,1-$H$7*(($H$5+273)^4-298^4)/(O134*1000))</f>
        <v>0.89109564415834686</v>
      </c>
      <c r="U134" s="91">
        <f>T134*P134</f>
        <v>0.28843621018175764</v>
      </c>
      <c r="AC134" s="2" t="s">
        <v>88</v>
      </c>
      <c r="AD134" s="7">
        <v>234</v>
      </c>
      <c r="AE134" s="38">
        <v>7</v>
      </c>
      <c r="AF134" s="86">
        <f>AF76</f>
        <v>19268</v>
      </c>
      <c r="AG134" s="37">
        <f t="shared" ref="AG134:AP134" si="320">AG76</f>
        <v>0.53821229050279329</v>
      </c>
      <c r="AH134" s="38">
        <f t="shared" si="320"/>
        <v>14235</v>
      </c>
      <c r="AI134" s="37">
        <f t="shared" si="320"/>
        <v>0.39762569832402234</v>
      </c>
      <c r="AJ134" s="37">
        <f t="shared" si="320"/>
        <v>0.19696771398398794</v>
      </c>
      <c r="AK134" s="38">
        <f t="shared" si="320"/>
        <v>9494</v>
      </c>
      <c r="AL134" s="37">
        <f t="shared" si="320"/>
        <v>0.66694766420793816</v>
      </c>
      <c r="AM134" s="7">
        <f t="shared" si="320"/>
        <v>483.5254495086254</v>
      </c>
      <c r="AN134" s="38">
        <f t="shared" si="320"/>
        <v>8566</v>
      </c>
      <c r="AO134" s="37">
        <f t="shared" si="320"/>
        <v>0.90225405519275337</v>
      </c>
      <c r="AP134" s="50">
        <f t="shared" si="320"/>
        <v>2667.6318019592118</v>
      </c>
      <c r="AQ134" s="91">
        <f>AN134/$C$10</f>
        <v>0.23927374301675977</v>
      </c>
      <c r="AR134" s="7">
        <f>INDEX(Daggett!$B$7:$M$21, MATCH(AE134,Daggett!$A$7:$A$21,0), MATCH(AC$135,Daggett!$B$6:$M$6,0))</f>
        <v>504.64516129032256</v>
      </c>
      <c r="AS134" s="4">
        <f t="shared" ref="AS134:AS144" si="321">IF(1-$H$7*(($H$5+273)^4-298^4)*(PI()*$C$19^2)*1000/(AN134*AR134*1000)&lt;0,#N/A,1-$H$7*(($H$5+273)^4-298^4)*(PI()*$C$19^2)*1000/(AN134*AR134*1000))</f>
        <v>0.70806272253557667</v>
      </c>
      <c r="AT134" s="91">
        <f>AS134*AQ134</f>
        <v>0.16942081791172486</v>
      </c>
      <c r="AU134" s="104">
        <f>IF(1-$H$7*(($H$5+273)^4-298^4)/(AP134*1000)&lt;0,#N/A,1-$H$7*(($H$5+273)^4-298^4)/(AP134*1000))</f>
        <v>0.85267526552730843</v>
      </c>
      <c r="AV134" s="91">
        <f>AU134*AQ134</f>
        <v>0.20402280236052861</v>
      </c>
      <c r="AW134" s="38"/>
      <c r="AX134" s="37"/>
      <c r="AY134" s="38"/>
      <c r="AZ134" s="37"/>
      <c r="BA134" s="37"/>
      <c r="BB134" s="38"/>
      <c r="BC134" s="37"/>
      <c r="BD134" s="2" t="s">
        <v>88</v>
      </c>
      <c r="BE134" s="7">
        <v>234</v>
      </c>
      <c r="BF134" s="38">
        <v>7</v>
      </c>
      <c r="BG134" s="86">
        <f>BG76</f>
        <v>33957</v>
      </c>
      <c r="BH134" s="37">
        <f t="shared" ref="BH134:BQ134" si="322">BH76</f>
        <v>0.9485195530726257</v>
      </c>
      <c r="BI134" s="38">
        <f t="shared" si="322"/>
        <v>16174</v>
      </c>
      <c r="BJ134" s="37">
        <f t="shared" si="322"/>
        <v>0.4517877094972067</v>
      </c>
      <c r="BK134" s="37">
        <f t="shared" si="322"/>
        <v>0.48227361714495698</v>
      </c>
      <c r="BL134" s="38">
        <f t="shared" si="322"/>
        <v>15270</v>
      </c>
      <c r="BM134" s="37">
        <f t="shared" si="322"/>
        <v>0.94410782737727217</v>
      </c>
      <c r="BN134" s="7">
        <f t="shared" si="322"/>
        <v>777.69471392423736</v>
      </c>
      <c r="BO134" s="38">
        <f t="shared" si="322"/>
        <v>13513</v>
      </c>
      <c r="BP134" s="37">
        <f t="shared" si="322"/>
        <v>0.88493778650949573</v>
      </c>
      <c r="BQ134" s="50">
        <f t="shared" si="322"/>
        <v>4208.2312094180279</v>
      </c>
      <c r="BR134" s="91">
        <f t="shared" ref="BR134:BR144" si="323">BO134/$C$10</f>
        <v>0.37745810055865919</v>
      </c>
      <c r="BS134" s="103">
        <f>INDEX(Daggett!$B$7:$M$21, MATCH(BF134,Daggett!$A$7:$A$21,0), MATCH(BD$135,Daggett!$B$6:$M$6,0))</f>
        <v>504.64516129032256</v>
      </c>
      <c r="BT134" s="4">
        <f t="shared" ref="BT134:BT144" si="324">IF(1-$H$7*(($H$5+273)^4-298^4)*(PI()*$C$19^2)*1000/(BO134*BS134*1000)&lt;0,#N/A,1-$H$7*(($H$5+273)^4-298^4)*(PI()*$C$19^2)*1000/(BO134*BS134*1000))</f>
        <v>0.8149385984784836</v>
      </c>
      <c r="BU134" s="91">
        <f>BT134*BR134</f>
        <v>0.30760517545362426</v>
      </c>
      <c r="BV134" s="104">
        <f>IF(1-$H$7*(($H$5+273)^4-298^4)/(BQ134*1000)&lt;0,#N/A,1-$H$7*(($H$5+273)^4-298^4)/(BQ134*1000))</f>
        <v>0.90660965918056124</v>
      </c>
      <c r="BW134" s="91">
        <f>BV134*BR134</f>
        <v>0.342207159902428</v>
      </c>
      <c r="BX134" s="38"/>
      <c r="BY134" s="37"/>
      <c r="BZ134" s="37"/>
      <c r="CA134" s="38"/>
      <c r="CB134" s="37"/>
      <c r="CC134" s="7"/>
      <c r="CD134" s="41"/>
      <c r="CE134" s="37"/>
    </row>
    <row r="135" spans="2:83">
      <c r="B135" s="2">
        <v>8</v>
      </c>
      <c r="D135" s="38">
        <v>8</v>
      </c>
      <c r="E135" s="86">
        <f t="shared" ref="E135:O144" si="325">E77</f>
        <v>29852</v>
      </c>
      <c r="F135" s="37">
        <f t="shared" si="325"/>
        <v>0.83385474860335196</v>
      </c>
      <c r="G135" s="38">
        <f t="shared" si="325"/>
        <v>23162</v>
      </c>
      <c r="H135" s="37">
        <f t="shared" si="325"/>
        <v>0.64698324022346365</v>
      </c>
      <c r="I135" s="37">
        <f t="shared" si="325"/>
        <v>0.15663650822317632</v>
      </c>
      <c r="J135" s="38">
        <f t="shared" si="325"/>
        <v>20989</v>
      </c>
      <c r="K135" s="37">
        <f t="shared" si="325"/>
        <v>0.90618254036784385</v>
      </c>
      <c r="L135" s="7">
        <f t="shared" si="325"/>
        <v>1068.9609921778531</v>
      </c>
      <c r="M135" s="38">
        <f t="shared" si="325"/>
        <v>19037</v>
      </c>
      <c r="N135" s="37">
        <f t="shared" si="325"/>
        <v>0.90699890418790796</v>
      </c>
      <c r="O135" s="50">
        <f t="shared" si="325"/>
        <v>5928.5205012721826</v>
      </c>
      <c r="P135" s="91">
        <f t="shared" si="318"/>
        <v>0.5317597765363129</v>
      </c>
      <c r="Q135" s="7">
        <f>INDEX(Daggett!$B$7:$M$21, MATCH(D135,Daggett!$A$7:$A$21,0), MATCH(B$135,Daggett!$B$6:$M$6,0))</f>
        <v>669.32258064516134</v>
      </c>
      <c r="R135" s="4">
        <f t="shared" si="319"/>
        <v>0.90095792048748935</v>
      </c>
      <c r="S135" s="91">
        <f t="shared" ref="S135:S144" si="326">R135*P135</f>
        <v>0.47909318246704852</v>
      </c>
      <c r="T135" s="104">
        <f t="shared" ref="T135:T144" si="327">IF(1-$H$7*(($H$5+273)^4-298^4)/(O135*1000)&lt;0,#N/A,1-$H$7*(($H$5+273)^4-298^4)/(O135*1000))</f>
        <v>0.93370889974822313</v>
      </c>
      <c r="U135" s="91">
        <f t="shared" ref="U135:U144" si="328">T135*P135</f>
        <v>0.49650883588008171</v>
      </c>
      <c r="AC135" s="2">
        <v>8</v>
      </c>
      <c r="AE135" s="38">
        <v>8</v>
      </c>
      <c r="AF135" s="86">
        <f t="shared" ref="AF135:AP135" si="329">AF77</f>
        <v>22824</v>
      </c>
      <c r="AG135" s="37">
        <f t="shared" si="329"/>
        <v>0.63754189944134076</v>
      </c>
      <c r="AH135" s="38">
        <f t="shared" si="329"/>
        <v>20359</v>
      </c>
      <c r="AI135" s="37">
        <f t="shared" si="329"/>
        <v>0.56868715083798882</v>
      </c>
      <c r="AJ135" s="37">
        <f t="shared" si="329"/>
        <v>3.0435163595909809E-2</v>
      </c>
      <c r="AK135" s="38">
        <f t="shared" si="329"/>
        <v>15656</v>
      </c>
      <c r="AL135" s="37">
        <f t="shared" si="329"/>
        <v>0.7689965125988506</v>
      </c>
      <c r="AM135" s="7">
        <f t="shared" si="329"/>
        <v>797.35353249494824</v>
      </c>
      <c r="AN135" s="38">
        <f t="shared" si="329"/>
        <v>14219</v>
      </c>
      <c r="AO135" s="37">
        <f t="shared" si="329"/>
        <v>0.90821410321921303</v>
      </c>
      <c r="AP135" s="50">
        <f t="shared" si="329"/>
        <v>4428.0943955239354</v>
      </c>
      <c r="AQ135" s="91">
        <f t="shared" ref="AQ135:AQ144" si="330">AN135/$C$10</f>
        <v>0.39717877094972065</v>
      </c>
      <c r="AR135" s="7">
        <f>INDEX(Daggett!$B$7:$M$21, MATCH(AE135,Daggett!$A$7:$A$21,0), MATCH(AC$135,Daggett!$B$6:$M$6,0))</f>
        <v>669.32258064516134</v>
      </c>
      <c r="AS135" s="4">
        <f t="shared" si="321"/>
        <v>0.86739826516072416</v>
      </c>
      <c r="AT135" s="91">
        <f t="shared" ref="AT135:AT144" si="331">AS135*AQ135</f>
        <v>0.34451217688045632</v>
      </c>
      <c r="AU135" s="104">
        <f t="shared" ref="AU135:AU144" si="332">IF(1-$H$7*(($H$5+273)^4-298^4)/(AP135*1000)&lt;0,#N/A,1-$H$7*(($H$5+273)^4-298^4)/(AP135*1000))</f>
        <v>0.91124666463935045</v>
      </c>
      <c r="AV135" s="91">
        <f t="shared" ref="AV135:AV144" si="333">AU135*AQ135</f>
        <v>0.36192783029348946</v>
      </c>
      <c r="AW135" s="38"/>
      <c r="AX135" s="37"/>
      <c r="AY135" s="38"/>
      <c r="AZ135" s="37"/>
      <c r="BA135" s="37"/>
      <c r="BB135" s="38"/>
      <c r="BC135" s="37"/>
      <c r="BD135" s="2">
        <v>8</v>
      </c>
      <c r="BF135" s="38">
        <v>8</v>
      </c>
      <c r="BG135" s="86">
        <f t="shared" ref="BG135:BQ135" si="334">BG77</f>
        <v>34955</v>
      </c>
      <c r="BH135" s="37">
        <f t="shared" si="334"/>
        <v>0.97639664804469273</v>
      </c>
      <c r="BI135" s="38">
        <f t="shared" si="334"/>
        <v>25130</v>
      </c>
      <c r="BJ135" s="37">
        <f t="shared" si="334"/>
        <v>0.70195530726256983</v>
      </c>
      <c r="BK135" s="37">
        <f t="shared" si="334"/>
        <v>0.21856050947491501</v>
      </c>
      <c r="BL135" s="38">
        <f t="shared" si="334"/>
        <v>23783</v>
      </c>
      <c r="BM135" s="37">
        <f t="shared" si="334"/>
        <v>0.94639872662156788</v>
      </c>
      <c r="BN135" s="7">
        <f t="shared" si="334"/>
        <v>1211.2582436974549</v>
      </c>
      <c r="BO135" s="38">
        <f t="shared" si="334"/>
        <v>21485</v>
      </c>
      <c r="BP135" s="37">
        <f t="shared" si="334"/>
        <v>0.90337636126645082</v>
      </c>
      <c r="BQ135" s="50">
        <f t="shared" si="334"/>
        <v>6690.8789709425246</v>
      </c>
      <c r="BR135" s="91">
        <f t="shared" si="323"/>
        <v>0.60013966480446923</v>
      </c>
      <c r="BS135" s="103">
        <f>INDEX(Daggett!$B$7:$M$21, MATCH(BF135,Daggett!$A$7:$A$21,0), MATCH(BD$135,Daggett!$B$6:$M$6,0))</f>
        <v>669.32258064516134</v>
      </c>
      <c r="BT135" s="4">
        <f t="shared" si="324"/>
        <v>0.91224277087830274</v>
      </c>
      <c r="BU135" s="91">
        <f t="shared" ref="BU135:BU144" si="335">BT135*BR135</f>
        <v>0.54747307073520479</v>
      </c>
      <c r="BV135" s="104">
        <f t="shared" ref="BV135:BV144" si="336">IF(1-$H$7*(($H$5+273)^4-298^4)/(BQ135*1000)&lt;0,#N/A,1-$H$7*(($H$5+273)^4-298^4)/(BQ135*1000))</f>
        <v>0.94126210493399698</v>
      </c>
      <c r="BW135" s="91">
        <f t="shared" ref="BW135:BW144" si="337">BV135*BR135</f>
        <v>0.5648887241482381</v>
      </c>
      <c r="BX135" s="38"/>
      <c r="BY135" s="37"/>
      <c r="BZ135" s="37"/>
      <c r="CA135" s="38"/>
      <c r="CB135" s="37"/>
      <c r="CC135" s="7"/>
      <c r="CD135" s="41"/>
      <c r="CE135" s="37"/>
    </row>
    <row r="136" spans="2:83">
      <c r="D136" s="38">
        <v>9</v>
      </c>
      <c r="E136" s="86">
        <f t="shared" si="325"/>
        <v>31813</v>
      </c>
      <c r="F136" s="37">
        <f t="shared" si="325"/>
        <v>0.88863128491620114</v>
      </c>
      <c r="G136" s="38">
        <f t="shared" si="325"/>
        <v>27375</v>
      </c>
      <c r="H136" s="37">
        <f t="shared" si="325"/>
        <v>0.76466480446927376</v>
      </c>
      <c r="I136" s="37">
        <f t="shared" si="325"/>
        <v>6.467686849373866E-2</v>
      </c>
      <c r="J136" s="38">
        <f t="shared" si="325"/>
        <v>25392</v>
      </c>
      <c r="K136" s="37">
        <f t="shared" si="325"/>
        <v>0.92756164383561646</v>
      </c>
      <c r="L136" s="7">
        <f t="shared" si="325"/>
        <v>1293.2039407966101</v>
      </c>
      <c r="M136" s="38">
        <f t="shared" si="325"/>
        <v>23094</v>
      </c>
      <c r="N136" s="37">
        <f t="shared" si="325"/>
        <v>0.90949905482041593</v>
      </c>
      <c r="O136" s="50">
        <f t="shared" si="325"/>
        <v>7191.9552690224182</v>
      </c>
      <c r="P136" s="91">
        <f t="shared" si="318"/>
        <v>0.64508379888268153</v>
      </c>
      <c r="Q136" s="7">
        <f>INDEX(Daggett!$B$7:$M$21, MATCH(D136,Daggett!$A$7:$A$21,0), MATCH(B$135,Daggett!$B$6:$M$6,0))</f>
        <v>745.93548387096769</v>
      </c>
      <c r="R136" s="4">
        <f t="shared" si="319"/>
        <v>0.92674229505504258</v>
      </c>
      <c r="S136" s="91">
        <f t="shared" si="326"/>
        <v>0.59782644027936183</v>
      </c>
      <c r="T136" s="104">
        <f t="shared" si="327"/>
        <v>0.94535447841460651</v>
      </c>
      <c r="U136" s="91">
        <f t="shared" si="328"/>
        <v>0.60983285822645028</v>
      </c>
      <c r="AE136" s="38">
        <v>9</v>
      </c>
      <c r="AF136" s="86">
        <f t="shared" ref="AF136:AP136" si="338">AF78</f>
        <v>26058</v>
      </c>
      <c r="AG136" s="37">
        <f t="shared" si="338"/>
        <v>0.72787709497206698</v>
      </c>
      <c r="AH136" s="38">
        <f t="shared" si="338"/>
        <v>23551</v>
      </c>
      <c r="AI136" s="37">
        <f t="shared" si="338"/>
        <v>0.65784916201117316</v>
      </c>
      <c r="AJ136" s="37">
        <f t="shared" si="338"/>
        <v>1.7617889190334579E-2</v>
      </c>
      <c r="AK136" s="38">
        <f t="shared" si="338"/>
        <v>19827</v>
      </c>
      <c r="AL136" s="37">
        <f t="shared" si="338"/>
        <v>0.84187507961445374</v>
      </c>
      <c r="AM136" s="7">
        <f t="shared" si="338"/>
        <v>1009.7808181385628</v>
      </c>
      <c r="AN136" s="38">
        <f t="shared" si="338"/>
        <v>18062</v>
      </c>
      <c r="AO136" s="37">
        <f t="shared" si="338"/>
        <v>0.91097997679931408</v>
      </c>
      <c r="AP136" s="50">
        <f t="shared" si="338"/>
        <v>5624.885081366715</v>
      </c>
      <c r="AQ136" s="91">
        <f t="shared" si="330"/>
        <v>0.5045251396648045</v>
      </c>
      <c r="AR136" s="7">
        <f>INDEX(Daggett!$B$7:$M$21, MATCH(AE136,Daggett!$A$7:$A$21,0), MATCH(AC$135,Daggett!$B$6:$M$6,0))</f>
        <v>745.93548387096769</v>
      </c>
      <c r="AS136" s="4">
        <f t="shared" si="321"/>
        <v>0.90633299534941603</v>
      </c>
      <c r="AT136" s="91">
        <f t="shared" si="331"/>
        <v>0.45726778106148475</v>
      </c>
      <c r="AU136" s="104">
        <f t="shared" si="332"/>
        <v>0.93013045756322243</v>
      </c>
      <c r="AV136" s="91">
        <f t="shared" si="333"/>
        <v>0.46927419900857331</v>
      </c>
      <c r="AW136" s="38"/>
      <c r="AX136" s="37"/>
      <c r="AY136" s="38"/>
      <c r="AZ136" s="37"/>
      <c r="BA136" s="37"/>
      <c r="BB136" s="38"/>
      <c r="BC136" s="37"/>
      <c r="BF136" s="38">
        <v>9</v>
      </c>
      <c r="BG136" s="86">
        <f t="shared" ref="BG136:BQ136" si="339">BG78</f>
        <v>35375</v>
      </c>
      <c r="BH136" s="37">
        <f t="shared" si="339"/>
        <v>0.98812849162011174</v>
      </c>
      <c r="BI136" s="38">
        <f t="shared" si="339"/>
        <v>29412</v>
      </c>
      <c r="BJ136" s="37">
        <f t="shared" si="339"/>
        <v>0.82156424581005583</v>
      </c>
      <c r="BK136" s="37">
        <f t="shared" si="339"/>
        <v>9.6266707635581539E-2</v>
      </c>
      <c r="BL136" s="38">
        <f t="shared" si="339"/>
        <v>27857</v>
      </c>
      <c r="BM136" s="37">
        <f t="shared" si="339"/>
        <v>0.94713042295661631</v>
      </c>
      <c r="BN136" s="7">
        <f t="shared" si="339"/>
        <v>1418.745359907497</v>
      </c>
      <c r="BO136" s="38">
        <f t="shared" si="339"/>
        <v>25305</v>
      </c>
      <c r="BP136" s="37">
        <f t="shared" si="339"/>
        <v>0.90838927379114764</v>
      </c>
      <c r="BQ136" s="50">
        <f t="shared" si="339"/>
        <v>7880.5069750849698</v>
      </c>
      <c r="BR136" s="91">
        <f t="shared" si="323"/>
        <v>0.70684357541899445</v>
      </c>
      <c r="BS136" s="103">
        <f>INDEX(Daggett!$B$7:$M$21, MATCH(BF136,Daggett!$A$7:$A$21,0), MATCH(BD$135,Daggett!$B$6:$M$6,0))</f>
        <v>745.93548387096769</v>
      </c>
      <c r="BT136" s="4">
        <f t="shared" si="324"/>
        <v>0.9331431164592433</v>
      </c>
      <c r="BU136" s="91">
        <f t="shared" si="335"/>
        <v>0.65958621681567464</v>
      </c>
      <c r="BV136" s="104">
        <f t="shared" si="336"/>
        <v>0.95012907822592074</v>
      </c>
      <c r="BW136" s="91">
        <f t="shared" si="337"/>
        <v>0.67159263476276332</v>
      </c>
      <c r="BX136" s="38"/>
      <c r="BY136" s="37"/>
      <c r="BZ136" s="37"/>
      <c r="CA136" s="38"/>
      <c r="CB136" s="37"/>
      <c r="CC136" s="7"/>
      <c r="CD136" s="41"/>
      <c r="CE136" s="37"/>
    </row>
    <row r="137" spans="2:83">
      <c r="D137" s="38">
        <v>10</v>
      </c>
      <c r="E137" s="86">
        <f t="shared" si="325"/>
        <v>33240</v>
      </c>
      <c r="F137" s="37">
        <f t="shared" si="325"/>
        <v>0.92849162011173181</v>
      </c>
      <c r="G137" s="38">
        <f t="shared" si="325"/>
        <v>28869</v>
      </c>
      <c r="H137" s="37">
        <f t="shared" si="325"/>
        <v>0.80639664804469269</v>
      </c>
      <c r="I137" s="37">
        <f t="shared" si="325"/>
        <v>5.5976298854183093E-2</v>
      </c>
      <c r="J137" s="38">
        <f t="shared" si="325"/>
        <v>27191</v>
      </c>
      <c r="K137" s="37">
        <f t="shared" si="325"/>
        <v>0.94187536804184424</v>
      </c>
      <c r="L137" s="7">
        <f t="shared" si="325"/>
        <v>1384.8262584357524</v>
      </c>
      <c r="M137" s="38">
        <f t="shared" si="325"/>
        <v>24713</v>
      </c>
      <c r="N137" s="37">
        <f t="shared" si="325"/>
        <v>0.90886690449045637</v>
      </c>
      <c r="O137" s="50">
        <f t="shared" si="325"/>
        <v>7696.1457765372397</v>
      </c>
      <c r="P137" s="91">
        <f t="shared" si="318"/>
        <v>0.69030726256983244</v>
      </c>
      <c r="Q137" s="7">
        <f>INDEX(Daggett!$B$7:$M$21, MATCH(D137,Daggett!$A$7:$A$21,0), MATCH(B$135,Daggett!$B$6:$M$6,0))</f>
        <v>809.35483870967744</v>
      </c>
      <c r="R137" s="4">
        <f t="shared" si="319"/>
        <v>0.9369058200008793</v>
      </c>
      <c r="S137" s="91">
        <f t="shared" si="326"/>
        <v>0.64675289189055118</v>
      </c>
      <c r="T137" s="104">
        <f t="shared" si="327"/>
        <v>0.94893442012329232</v>
      </c>
      <c r="U137" s="91">
        <f t="shared" si="328"/>
        <v>0.65505632191360119</v>
      </c>
      <c r="AE137" s="38">
        <v>10</v>
      </c>
      <c r="AF137" s="86">
        <f t="shared" ref="AF137:AP137" si="340">AF79</f>
        <v>28893</v>
      </c>
      <c r="AG137" s="37">
        <f t="shared" si="340"/>
        <v>0.8070670391061453</v>
      </c>
      <c r="AH137" s="38">
        <f t="shared" si="340"/>
        <v>26215</v>
      </c>
      <c r="AI137" s="37">
        <f t="shared" si="340"/>
        <v>0.73226256983240223</v>
      </c>
      <c r="AJ137" s="37">
        <f t="shared" si="340"/>
        <v>1.3790010819530574E-2</v>
      </c>
      <c r="AK137" s="38">
        <f t="shared" si="340"/>
        <v>23334</v>
      </c>
      <c r="AL137" s="37">
        <f t="shared" si="340"/>
        <v>0.89010108716383751</v>
      </c>
      <c r="AM137" s="7">
        <f t="shared" si="340"/>
        <v>1188.3908614740114</v>
      </c>
      <c r="AN137" s="38">
        <f t="shared" si="340"/>
        <v>21307</v>
      </c>
      <c r="AO137" s="37">
        <f t="shared" si="340"/>
        <v>0.91313105339847433</v>
      </c>
      <c r="AP137" s="50">
        <f t="shared" si="340"/>
        <v>6635.4460430008085</v>
      </c>
      <c r="AQ137" s="91">
        <f t="shared" si="330"/>
        <v>0.5951675977653631</v>
      </c>
      <c r="AR137" s="7">
        <f>INDEX(Daggett!$B$7:$M$21, MATCH(AE137,Daggett!$A$7:$A$21,0), MATCH(AC$135,Daggett!$B$6:$M$6,0))</f>
        <v>809.35483870967744</v>
      </c>
      <c r="AS137" s="4">
        <f t="shared" si="321"/>
        <v>0.92681999012914684</v>
      </c>
      <c r="AT137" s="91">
        <f t="shared" si="331"/>
        <v>0.55161322708608185</v>
      </c>
      <c r="AU137" s="104">
        <f t="shared" si="332"/>
        <v>0.94077140491420308</v>
      </c>
      <c r="AV137" s="91">
        <f t="shared" si="333"/>
        <v>0.55991665710913197</v>
      </c>
      <c r="AW137" s="38"/>
      <c r="AX137" s="37"/>
      <c r="AY137" s="38"/>
      <c r="AZ137" s="37"/>
      <c r="BA137" s="37"/>
      <c r="BB137" s="38"/>
      <c r="BC137" s="37"/>
      <c r="BF137" s="38">
        <v>10</v>
      </c>
      <c r="BG137" s="86">
        <f t="shared" ref="BG137:BQ137" si="341">BG79</f>
        <v>35207</v>
      </c>
      <c r="BH137" s="37">
        <f t="shared" si="341"/>
        <v>0.98343575418994411</v>
      </c>
      <c r="BI137" s="38">
        <f t="shared" si="341"/>
        <v>30029</v>
      </c>
      <c r="BJ137" s="37">
        <f t="shared" si="341"/>
        <v>0.83879888268156422</v>
      </c>
      <c r="BK137" s="37">
        <f t="shared" si="341"/>
        <v>7.2905462228978757E-2</v>
      </c>
      <c r="BL137" s="38">
        <f t="shared" si="341"/>
        <v>28522</v>
      </c>
      <c r="BM137" s="37">
        <f t="shared" si="341"/>
        <v>0.94981517866062803</v>
      </c>
      <c r="BN137" s="7">
        <f t="shared" si="341"/>
        <v>1452.6135317974524</v>
      </c>
      <c r="BO137" s="38">
        <f t="shared" si="341"/>
        <v>25900</v>
      </c>
      <c r="BP137" s="37">
        <f t="shared" si="341"/>
        <v>0.90807096276558441</v>
      </c>
      <c r="BQ137" s="50">
        <f t="shared" si="341"/>
        <v>8065.8024364631783</v>
      </c>
      <c r="BR137" s="91">
        <f t="shared" si="323"/>
        <v>0.72346368715083798</v>
      </c>
      <c r="BS137" s="103">
        <f>INDEX(Daggett!$B$7:$M$21, MATCH(BF137,Daggett!$A$7:$A$21,0), MATCH(BD$135,Daggett!$B$6:$M$6,0))</f>
        <v>809.35483870967744</v>
      </c>
      <c r="BT137" s="4">
        <f t="shared" si="324"/>
        <v>0.93979743357844525</v>
      </c>
      <c r="BU137" s="91">
        <f t="shared" si="335"/>
        <v>0.67990931647155672</v>
      </c>
      <c r="BV137" s="104">
        <f t="shared" si="336"/>
        <v>0.95127476156397395</v>
      </c>
      <c r="BW137" s="91">
        <f t="shared" si="337"/>
        <v>0.68821274649460684</v>
      </c>
      <c r="BX137" s="38"/>
      <c r="BY137" s="37"/>
      <c r="BZ137" s="37"/>
      <c r="CA137" s="38"/>
      <c r="CB137" s="37"/>
      <c r="CC137" s="7"/>
      <c r="CD137" s="41"/>
      <c r="CE137" s="37"/>
    </row>
    <row r="138" spans="2:83">
      <c r="D138" s="38">
        <v>11</v>
      </c>
      <c r="E138" s="86">
        <f t="shared" si="325"/>
        <v>34106</v>
      </c>
      <c r="F138" s="37">
        <f t="shared" si="325"/>
        <v>0.95268156424581008</v>
      </c>
      <c r="G138" s="38">
        <f t="shared" si="325"/>
        <v>29342</v>
      </c>
      <c r="H138" s="37">
        <f t="shared" si="325"/>
        <v>0.81960893854748607</v>
      </c>
      <c r="I138" s="37">
        <f t="shared" si="325"/>
        <v>6.4871921044110548E-2</v>
      </c>
      <c r="J138" s="38">
        <f t="shared" si="325"/>
        <v>27670</v>
      </c>
      <c r="K138" s="37">
        <f t="shared" si="325"/>
        <v>0.94301683593483743</v>
      </c>
      <c r="L138" s="7">
        <f t="shared" si="325"/>
        <v>1409.2215281128781</v>
      </c>
      <c r="M138" s="38">
        <f t="shared" si="325"/>
        <v>25209</v>
      </c>
      <c r="N138" s="37">
        <f t="shared" si="325"/>
        <v>0.91105890856523308</v>
      </c>
      <c r="O138" s="50">
        <f t="shared" si="325"/>
        <v>7850.6105645096623</v>
      </c>
      <c r="P138" s="91">
        <f t="shared" si="318"/>
        <v>0.70416201117318433</v>
      </c>
      <c r="Q138" s="7">
        <f>INDEX(Daggett!$B$7:$M$21, MATCH(D138,Daggett!$A$7:$A$21,0), MATCH(B$135,Daggett!$B$6:$M$6,0))</f>
        <v>806.87096774193549</v>
      </c>
      <c r="R138" s="4">
        <f t="shared" si="319"/>
        <v>0.93795682282297521</v>
      </c>
      <c r="S138" s="91">
        <f t="shared" si="326"/>
        <v>0.66047356275263636</v>
      </c>
      <c r="T138" s="104">
        <f t="shared" si="327"/>
        <v>0.94993916158938962</v>
      </c>
      <c r="U138" s="91">
        <f t="shared" si="328"/>
        <v>0.66891107051695309</v>
      </c>
      <c r="AE138" s="38">
        <v>11</v>
      </c>
      <c r="AF138" s="86">
        <f t="shared" ref="AF138:AP138" si="342">AF80</f>
        <v>31268</v>
      </c>
      <c r="AG138" s="37">
        <f t="shared" si="342"/>
        <v>0.87340782122905025</v>
      </c>
      <c r="AH138" s="38">
        <f t="shared" si="342"/>
        <v>27735</v>
      </c>
      <c r="AI138" s="37">
        <f t="shared" si="342"/>
        <v>0.77472067039106141</v>
      </c>
      <c r="AJ138" s="37">
        <f t="shared" si="342"/>
        <v>3.5859692643124608E-2</v>
      </c>
      <c r="AK138" s="38">
        <f t="shared" si="342"/>
        <v>25541</v>
      </c>
      <c r="AL138" s="37">
        <f t="shared" si="342"/>
        <v>0.92089417703263021</v>
      </c>
      <c r="AM138" s="7">
        <f t="shared" si="342"/>
        <v>1300.7924484832315</v>
      </c>
      <c r="AN138" s="38">
        <f t="shared" si="342"/>
        <v>23147</v>
      </c>
      <c r="AO138" s="37">
        <f t="shared" si="342"/>
        <v>0.90626835284444618</v>
      </c>
      <c r="AP138" s="50">
        <f t="shared" si="342"/>
        <v>7208.4605790275364</v>
      </c>
      <c r="AQ138" s="91">
        <f t="shared" si="330"/>
        <v>0.64656424581005589</v>
      </c>
      <c r="AR138" s="7">
        <f>INDEX(Daggett!$B$7:$M$21, MATCH(AE138,Daggett!$A$7:$A$21,0), MATCH(AC$135,Daggett!$B$6:$M$6,0))</f>
        <v>806.87096774193549</v>
      </c>
      <c r="AS138" s="4">
        <f t="shared" si="321"/>
        <v>0.93242984173086718</v>
      </c>
      <c r="AT138" s="91">
        <f t="shared" si="331"/>
        <v>0.60287579738950792</v>
      </c>
      <c r="AU138" s="104">
        <f t="shared" si="332"/>
        <v>0.94547960100690909</v>
      </c>
      <c r="AV138" s="91">
        <f t="shared" si="333"/>
        <v>0.61131330515382476</v>
      </c>
      <c r="AW138" s="38"/>
      <c r="AX138" s="37"/>
      <c r="AY138" s="38"/>
      <c r="AZ138" s="37"/>
      <c r="BA138" s="37"/>
      <c r="BB138" s="38"/>
      <c r="BC138" s="37"/>
      <c r="BF138" s="38">
        <v>11</v>
      </c>
      <c r="BG138" s="86">
        <f t="shared" ref="BG138:BQ138" si="343">BG80</f>
        <v>34451</v>
      </c>
      <c r="BH138" s="37">
        <f t="shared" si="343"/>
        <v>0.96231843575418996</v>
      </c>
      <c r="BI138" s="38">
        <f t="shared" si="343"/>
        <v>29429</v>
      </c>
      <c r="BJ138" s="37">
        <f t="shared" si="343"/>
        <v>0.82203910614525144</v>
      </c>
      <c r="BK138" s="37">
        <f t="shared" si="343"/>
        <v>7.1491582878265736E-2</v>
      </c>
      <c r="BL138" s="38">
        <f t="shared" si="343"/>
        <v>27801</v>
      </c>
      <c r="BM138" s="37">
        <f t="shared" si="343"/>
        <v>0.94468041727547658</v>
      </c>
      <c r="BN138" s="7">
        <f t="shared" si="343"/>
        <v>1415.8933033272904</v>
      </c>
      <c r="BO138" s="38">
        <f t="shared" si="343"/>
        <v>25319</v>
      </c>
      <c r="BP138" s="37">
        <f t="shared" si="343"/>
        <v>0.91072263587640734</v>
      </c>
      <c r="BQ138" s="50">
        <f t="shared" si="343"/>
        <v>7884.8668682938687</v>
      </c>
      <c r="BR138" s="91">
        <f t="shared" si="323"/>
        <v>0.70723463687150834</v>
      </c>
      <c r="BS138" s="103">
        <f>INDEX(Daggett!$B$7:$M$21, MATCH(BF138,Daggett!$A$7:$A$21,0), MATCH(BD$135,Daggett!$B$6:$M$6,0))</f>
        <v>806.87096774193549</v>
      </c>
      <c r="BT138" s="4">
        <f t="shared" si="324"/>
        <v>0.93822637333798264</v>
      </c>
      <c r="BU138" s="91">
        <f t="shared" si="335"/>
        <v>0.66354618845096036</v>
      </c>
      <c r="BV138" s="104">
        <f t="shared" si="336"/>
        <v>0.95015665407428906</v>
      </c>
      <c r="BW138" s="91">
        <f t="shared" si="337"/>
        <v>0.6719836962152772</v>
      </c>
      <c r="BX138" s="38"/>
      <c r="BY138" s="37"/>
      <c r="BZ138" s="37"/>
      <c r="CA138" s="38"/>
      <c r="CB138" s="37"/>
      <c r="CC138" s="7"/>
      <c r="CD138" s="41"/>
      <c r="CE138" s="37"/>
    </row>
    <row r="139" spans="2:83">
      <c r="D139" s="38">
        <v>12</v>
      </c>
      <c r="E139" s="86">
        <f t="shared" si="325"/>
        <v>34397</v>
      </c>
      <c r="F139" s="37">
        <f t="shared" si="325"/>
        <v>0.96081005586592183</v>
      </c>
      <c r="G139" s="38">
        <f t="shared" si="325"/>
        <v>29331</v>
      </c>
      <c r="H139" s="37">
        <f t="shared" si="325"/>
        <v>0.81930167597765358</v>
      </c>
      <c r="I139" s="37">
        <f t="shared" si="325"/>
        <v>7.3130745729847568E-2</v>
      </c>
      <c r="J139" s="38">
        <f t="shared" si="325"/>
        <v>27793</v>
      </c>
      <c r="K139" s="37">
        <f t="shared" si="325"/>
        <v>0.94756401077358421</v>
      </c>
      <c r="L139" s="7">
        <f t="shared" si="325"/>
        <v>1415.4858666729751</v>
      </c>
      <c r="M139" s="38">
        <f t="shared" si="325"/>
        <v>25334</v>
      </c>
      <c r="N139" s="37">
        <f t="shared" si="325"/>
        <v>0.91152448458244884</v>
      </c>
      <c r="O139" s="50">
        <f t="shared" si="325"/>
        <v>7889.5381824462611</v>
      </c>
      <c r="P139" s="91">
        <f t="shared" si="318"/>
        <v>0.70765363128491621</v>
      </c>
      <c r="Q139" s="7">
        <f>INDEX(Daggett!$B$7:$M$21, MATCH(D139,Daggett!$A$7:$A$21,0), MATCH(B$135,Daggett!$B$6:$M$6,0))</f>
        <v>828.90322580645159</v>
      </c>
      <c r="R139" s="4">
        <f t="shared" si="319"/>
        <v>0.93990392045293958</v>
      </c>
      <c r="S139" s="91">
        <f t="shared" si="326"/>
        <v>0.66512642236745168</v>
      </c>
      <c r="T139" s="104">
        <f t="shared" si="327"/>
        <v>0.9501861658051205</v>
      </c>
      <c r="U139" s="91">
        <f t="shared" si="328"/>
        <v>0.67240269062868496</v>
      </c>
      <c r="AE139" s="38">
        <v>12</v>
      </c>
      <c r="AF139" s="86">
        <f t="shared" ref="AF139:AP139" si="344">AF81</f>
        <v>33134</v>
      </c>
      <c r="AG139" s="37">
        <f t="shared" si="344"/>
        <v>0.92553072625698329</v>
      </c>
      <c r="AH139" s="38">
        <f t="shared" si="344"/>
        <v>28956</v>
      </c>
      <c r="AI139" s="37">
        <f t="shared" si="344"/>
        <v>0.80882681564245806</v>
      </c>
      <c r="AJ139" s="37">
        <f t="shared" si="344"/>
        <v>5.0102219971079331E-2</v>
      </c>
      <c r="AK139" s="38">
        <f t="shared" si="344"/>
        <v>27196</v>
      </c>
      <c r="AL139" s="37">
        <f t="shared" si="344"/>
        <v>0.93921812405028315</v>
      </c>
      <c r="AM139" s="7">
        <f t="shared" si="344"/>
        <v>1385.0809063446993</v>
      </c>
      <c r="AN139" s="38">
        <f t="shared" si="344"/>
        <v>24650</v>
      </c>
      <c r="AO139" s="37">
        <f t="shared" si="344"/>
        <v>0.90638329166053833</v>
      </c>
      <c r="AP139" s="50">
        <f t="shared" si="344"/>
        <v>7676.5262570971945</v>
      </c>
      <c r="AQ139" s="91">
        <f t="shared" si="330"/>
        <v>0.68854748603351956</v>
      </c>
      <c r="AR139" s="7">
        <f>INDEX(Daggett!$B$7:$M$21, MATCH(AE139,Daggett!$A$7:$A$21,0), MATCH(AC$135,Daggett!$B$6:$M$6,0))</f>
        <v>828.90322580645159</v>
      </c>
      <c r="AS139" s="4">
        <f t="shared" si="321"/>
        <v>0.93823634566956482</v>
      </c>
      <c r="AT139" s="91">
        <f t="shared" si="331"/>
        <v>0.64602027711605514</v>
      </c>
      <c r="AU139" s="104">
        <f t="shared" si="332"/>
        <v>0.94880390768790768</v>
      </c>
      <c r="AV139" s="91">
        <f t="shared" si="333"/>
        <v>0.65329654537728843</v>
      </c>
      <c r="AW139" s="38"/>
      <c r="AX139" s="37"/>
      <c r="AY139" s="38"/>
      <c r="AZ139" s="37"/>
      <c r="BA139" s="37"/>
      <c r="BB139" s="38"/>
      <c r="BC139" s="37"/>
      <c r="BF139" s="38">
        <v>12</v>
      </c>
      <c r="BG139" s="86">
        <f t="shared" ref="BG139:BQ139" si="345">BG81</f>
        <v>33134</v>
      </c>
      <c r="BH139" s="37">
        <f t="shared" si="345"/>
        <v>0.92553072625698329</v>
      </c>
      <c r="BI139" s="38">
        <f t="shared" si="345"/>
        <v>28956</v>
      </c>
      <c r="BJ139" s="37">
        <f t="shared" si="345"/>
        <v>0.80882681564245806</v>
      </c>
      <c r="BK139" s="37">
        <f t="shared" si="345"/>
        <v>5.0102219971079331E-2</v>
      </c>
      <c r="BL139" s="38">
        <f t="shared" si="345"/>
        <v>27196</v>
      </c>
      <c r="BM139" s="37">
        <f t="shared" si="345"/>
        <v>0.93921812405028315</v>
      </c>
      <c r="BN139" s="7">
        <f t="shared" si="345"/>
        <v>1385.0809063446993</v>
      </c>
      <c r="BO139" s="38">
        <f t="shared" si="345"/>
        <v>24650</v>
      </c>
      <c r="BP139" s="37">
        <f t="shared" si="345"/>
        <v>0.90638329166053833</v>
      </c>
      <c r="BQ139" s="50">
        <f t="shared" si="345"/>
        <v>7676.5262570971945</v>
      </c>
      <c r="BR139" s="91">
        <f t="shared" si="323"/>
        <v>0.68854748603351956</v>
      </c>
      <c r="BS139" s="103">
        <f>INDEX(Daggett!$B$7:$M$21, MATCH(BF139,Daggett!$A$7:$A$21,0), MATCH(BD$135,Daggett!$B$6:$M$6,0))</f>
        <v>828.90322580645159</v>
      </c>
      <c r="BT139" s="4">
        <f t="shared" si="324"/>
        <v>0.93823634566956482</v>
      </c>
      <c r="BU139" s="91">
        <f t="shared" si="335"/>
        <v>0.64602027711605514</v>
      </c>
      <c r="BV139" s="104">
        <f t="shared" si="336"/>
        <v>0.94880390768790768</v>
      </c>
      <c r="BW139" s="91">
        <f t="shared" si="337"/>
        <v>0.65329654537728843</v>
      </c>
      <c r="BX139" s="38"/>
      <c r="BY139" s="37"/>
      <c r="BZ139" s="37"/>
      <c r="CA139" s="38"/>
      <c r="CB139" s="37"/>
      <c r="CC139" s="7"/>
      <c r="CD139" s="41"/>
      <c r="CE139" s="37"/>
    </row>
    <row r="140" spans="2:83">
      <c r="D140" s="38">
        <v>13</v>
      </c>
      <c r="E140" s="86">
        <f t="shared" si="325"/>
        <v>34106</v>
      </c>
      <c r="F140" s="37">
        <f t="shared" si="325"/>
        <v>0.95268156424581008</v>
      </c>
      <c r="G140" s="38">
        <f t="shared" si="325"/>
        <v>29342</v>
      </c>
      <c r="H140" s="37">
        <f t="shared" si="325"/>
        <v>0.81960893854748607</v>
      </c>
      <c r="I140" s="37">
        <f t="shared" si="325"/>
        <v>6.4871921044110548E-2</v>
      </c>
      <c r="J140" s="38">
        <f t="shared" si="325"/>
        <v>27670</v>
      </c>
      <c r="K140" s="37">
        <f t="shared" si="325"/>
        <v>0.94301683593483743</v>
      </c>
      <c r="L140" s="7">
        <f t="shared" si="325"/>
        <v>1409.2215281128781</v>
      </c>
      <c r="M140" s="38">
        <f t="shared" si="325"/>
        <v>25209</v>
      </c>
      <c r="N140" s="37">
        <f t="shared" si="325"/>
        <v>0.91105890856523308</v>
      </c>
      <c r="O140" s="50">
        <f t="shared" si="325"/>
        <v>7850.6105645096623</v>
      </c>
      <c r="P140" s="91">
        <f>P138</f>
        <v>0.70416201117318433</v>
      </c>
      <c r="Q140" s="7">
        <f>INDEX(Daggett!$B$7:$M$21, MATCH(D140,Daggett!$A$7:$A$21,0), MATCH(B$135,Daggett!$B$6:$M$6,0))</f>
        <v>799.22580645161293</v>
      </c>
      <c r="R140" s="4">
        <f t="shared" si="319"/>
        <v>0.93736333586015008</v>
      </c>
      <c r="S140" s="91">
        <f t="shared" si="326"/>
        <v>0.66005565177928838</v>
      </c>
      <c r="T140" s="104">
        <f t="shared" si="327"/>
        <v>0.94993916158938962</v>
      </c>
      <c r="U140" s="91">
        <f t="shared" si="328"/>
        <v>0.66891107051695309</v>
      </c>
      <c r="AE140" s="38">
        <v>13</v>
      </c>
      <c r="AF140" s="86">
        <f t="shared" ref="AF140:AP140" si="346">AF82</f>
        <v>34451</v>
      </c>
      <c r="AG140" s="37">
        <f t="shared" si="346"/>
        <v>0.96231843575418996</v>
      </c>
      <c r="AH140" s="38">
        <f t="shared" si="346"/>
        <v>29429</v>
      </c>
      <c r="AI140" s="37">
        <f t="shared" si="346"/>
        <v>0.82203910614525144</v>
      </c>
      <c r="AJ140" s="37">
        <f t="shared" si="346"/>
        <v>7.1491582878265736E-2</v>
      </c>
      <c r="AK140" s="38">
        <f t="shared" si="346"/>
        <v>27801</v>
      </c>
      <c r="AL140" s="37">
        <f t="shared" si="346"/>
        <v>0.94468041727547658</v>
      </c>
      <c r="AM140" s="7">
        <f t="shared" si="346"/>
        <v>1415.8933033272904</v>
      </c>
      <c r="AN140" s="38">
        <f t="shared" si="346"/>
        <v>25319</v>
      </c>
      <c r="AO140" s="37">
        <f t="shared" si="346"/>
        <v>0.91072263587640734</v>
      </c>
      <c r="AP140" s="50">
        <f t="shared" si="346"/>
        <v>7884.8668682938687</v>
      </c>
      <c r="AQ140" s="91">
        <f t="shared" si="330"/>
        <v>0.70723463687150834</v>
      </c>
      <c r="AR140" s="7">
        <f>INDEX(Daggett!$B$7:$M$21, MATCH(AE140,Daggett!$A$7:$A$21,0), MATCH(AC$135,Daggett!$B$6:$M$6,0))</f>
        <v>799.22580645161293</v>
      </c>
      <c r="AS140" s="4">
        <f t="shared" si="321"/>
        <v>0.93763546481687765</v>
      </c>
      <c r="AT140" s="91">
        <f t="shared" si="331"/>
        <v>0.66312827747761238</v>
      </c>
      <c r="AU140" s="104">
        <f t="shared" si="332"/>
        <v>0.95015665407428906</v>
      </c>
      <c r="AV140" s="91">
        <f t="shared" si="333"/>
        <v>0.6719836962152772</v>
      </c>
      <c r="AW140" s="38"/>
      <c r="AX140" s="37"/>
      <c r="AY140" s="38"/>
      <c r="AZ140" s="37"/>
      <c r="BA140" s="37"/>
      <c r="BB140" s="38"/>
      <c r="BC140" s="37"/>
      <c r="BF140" s="38">
        <v>13</v>
      </c>
      <c r="BG140" s="86">
        <f t="shared" ref="BG140:BQ140" si="347">BG82</f>
        <v>31268</v>
      </c>
      <c r="BH140" s="37">
        <f t="shared" si="347"/>
        <v>0.87340782122905025</v>
      </c>
      <c r="BI140" s="38">
        <f t="shared" si="347"/>
        <v>27735</v>
      </c>
      <c r="BJ140" s="37">
        <f t="shared" si="347"/>
        <v>0.77472067039106141</v>
      </c>
      <c r="BK140" s="37">
        <f t="shared" si="347"/>
        <v>3.5859692643124608E-2</v>
      </c>
      <c r="BL140" s="38">
        <f t="shared" si="347"/>
        <v>25541</v>
      </c>
      <c r="BM140" s="37">
        <f t="shared" si="347"/>
        <v>0.92089417703263021</v>
      </c>
      <c r="BN140" s="7">
        <f t="shared" si="347"/>
        <v>1300.7924484832315</v>
      </c>
      <c r="BO140" s="38">
        <f t="shared" si="347"/>
        <v>23147</v>
      </c>
      <c r="BP140" s="37">
        <f t="shared" si="347"/>
        <v>0.90626835284444618</v>
      </c>
      <c r="BQ140" s="50">
        <f t="shared" si="347"/>
        <v>7208.4605790275364</v>
      </c>
      <c r="BR140" s="91">
        <f t="shared" si="323"/>
        <v>0.64656424581005589</v>
      </c>
      <c r="BS140" s="103">
        <f>INDEX(Daggett!$B$7:$M$21, MATCH(BF140,Daggett!$A$7:$A$21,0), MATCH(BD$135,Daggett!$B$6:$M$6,0))</f>
        <v>799.22580645161293</v>
      </c>
      <c r="BT140" s="4">
        <f t="shared" si="324"/>
        <v>0.93178348527664601</v>
      </c>
      <c r="BU140" s="91">
        <f t="shared" si="335"/>
        <v>0.60245788641615994</v>
      </c>
      <c r="BV140" s="104">
        <f t="shared" si="336"/>
        <v>0.94547960100690909</v>
      </c>
      <c r="BW140" s="91">
        <f t="shared" si="337"/>
        <v>0.61131330515382476</v>
      </c>
      <c r="BX140" s="38"/>
      <c r="BY140" s="37"/>
      <c r="BZ140" s="37"/>
      <c r="CA140" s="38"/>
      <c r="CB140" s="37"/>
      <c r="CC140" s="7"/>
      <c r="CD140" s="41"/>
      <c r="CE140" s="37"/>
    </row>
    <row r="141" spans="2:83">
      <c r="D141" s="38">
        <v>14</v>
      </c>
      <c r="E141" s="86">
        <f t="shared" si="325"/>
        <v>33240</v>
      </c>
      <c r="F141" s="37">
        <f t="shared" si="325"/>
        <v>0.92849162011173181</v>
      </c>
      <c r="G141" s="38">
        <f t="shared" si="325"/>
        <v>28869</v>
      </c>
      <c r="H141" s="37">
        <f t="shared" si="325"/>
        <v>0.80639664804469269</v>
      </c>
      <c r="I141" s="37">
        <f t="shared" si="325"/>
        <v>5.5976298854183093E-2</v>
      </c>
      <c r="J141" s="38">
        <f t="shared" si="325"/>
        <v>27191</v>
      </c>
      <c r="K141" s="37">
        <f t="shared" si="325"/>
        <v>0.94187536804184424</v>
      </c>
      <c r="L141" s="7">
        <f t="shared" si="325"/>
        <v>1384.8262584357524</v>
      </c>
      <c r="M141" s="38">
        <f t="shared" si="325"/>
        <v>24713</v>
      </c>
      <c r="N141" s="37">
        <f t="shared" si="325"/>
        <v>0.90886690449045637</v>
      </c>
      <c r="O141" s="50">
        <f t="shared" si="325"/>
        <v>7696.1457765372397</v>
      </c>
      <c r="P141" s="91">
        <f>P137</f>
        <v>0.69030726256983244</v>
      </c>
      <c r="Q141" s="7">
        <f>INDEX(Daggett!$B$7:$M$21, MATCH(D141,Daggett!$A$7:$A$21,0), MATCH(B$135,Daggett!$B$6:$M$6,0))</f>
        <v>784.87096774193549</v>
      </c>
      <c r="R141" s="4">
        <f t="shared" si="319"/>
        <v>0.93493761143487997</v>
      </c>
      <c r="S141" s="91">
        <f t="shared" si="326"/>
        <v>0.64539422322318962</v>
      </c>
      <c r="T141" s="104">
        <f t="shared" si="327"/>
        <v>0.94893442012329232</v>
      </c>
      <c r="U141" s="91">
        <f t="shared" si="328"/>
        <v>0.65505632191360119</v>
      </c>
      <c r="AE141" s="38">
        <v>14</v>
      </c>
      <c r="AF141" s="86">
        <f t="shared" ref="AF141:AP141" si="348">AF83</f>
        <v>35207</v>
      </c>
      <c r="AG141" s="37">
        <f t="shared" si="348"/>
        <v>0.98343575418994411</v>
      </c>
      <c r="AH141" s="38">
        <f t="shared" si="348"/>
        <v>30029</v>
      </c>
      <c r="AI141" s="37">
        <f t="shared" si="348"/>
        <v>0.83879888268156422</v>
      </c>
      <c r="AJ141" s="37">
        <f t="shared" si="348"/>
        <v>7.2905462228978757E-2</v>
      </c>
      <c r="AK141" s="38">
        <f t="shared" si="348"/>
        <v>28522</v>
      </c>
      <c r="AL141" s="37">
        <f t="shared" si="348"/>
        <v>0.94981517866062803</v>
      </c>
      <c r="AM141" s="7">
        <f t="shared" si="348"/>
        <v>1452.6135317974524</v>
      </c>
      <c r="AN141" s="38">
        <f t="shared" si="348"/>
        <v>25900</v>
      </c>
      <c r="AO141" s="37">
        <f t="shared" si="348"/>
        <v>0.90807096276558441</v>
      </c>
      <c r="AP141" s="50">
        <f t="shared" si="348"/>
        <v>8065.8024364631783</v>
      </c>
      <c r="AQ141" s="91">
        <f t="shared" si="330"/>
        <v>0.72346368715083798</v>
      </c>
      <c r="AR141" s="7">
        <f>INDEX(Daggett!$B$7:$M$21, MATCH(AE141,Daggett!$A$7:$A$21,0), MATCH(AC$135,Daggett!$B$6:$M$6,0))</f>
        <v>784.87096774193549</v>
      </c>
      <c r="AS141" s="4">
        <f t="shared" si="321"/>
        <v>0.93791942823900332</v>
      </c>
      <c r="AT141" s="91">
        <f t="shared" si="331"/>
        <v>0.67855064780419516</v>
      </c>
      <c r="AU141" s="104">
        <f t="shared" si="332"/>
        <v>0.95127476156397395</v>
      </c>
      <c r="AV141" s="91">
        <f t="shared" si="333"/>
        <v>0.68821274649460684</v>
      </c>
      <c r="AW141" s="38"/>
      <c r="AX141" s="37"/>
      <c r="AY141" s="38"/>
      <c r="AZ141" s="37"/>
      <c r="BA141" s="37"/>
      <c r="BB141" s="38"/>
      <c r="BC141" s="37"/>
      <c r="BF141" s="38">
        <v>14</v>
      </c>
      <c r="BG141" s="86">
        <f t="shared" ref="BG141:BQ141" si="349">BG83</f>
        <v>28893</v>
      </c>
      <c r="BH141" s="37">
        <f t="shared" si="349"/>
        <v>0.8070670391061453</v>
      </c>
      <c r="BI141" s="38">
        <f t="shared" si="349"/>
        <v>26215</v>
      </c>
      <c r="BJ141" s="37">
        <f t="shared" si="349"/>
        <v>0.73226256983240223</v>
      </c>
      <c r="BK141" s="37">
        <f t="shared" si="349"/>
        <v>1.3790010819530574E-2</v>
      </c>
      <c r="BL141" s="38">
        <f t="shared" si="349"/>
        <v>23334</v>
      </c>
      <c r="BM141" s="37">
        <f t="shared" si="349"/>
        <v>0.89010108716383751</v>
      </c>
      <c r="BN141" s="7">
        <f t="shared" si="349"/>
        <v>1188.3908614740114</v>
      </c>
      <c r="BO141" s="38">
        <f t="shared" si="349"/>
        <v>21307</v>
      </c>
      <c r="BP141" s="37">
        <f t="shared" si="349"/>
        <v>0.91313105339847433</v>
      </c>
      <c r="BQ141" s="50">
        <f t="shared" si="349"/>
        <v>6635.4460430008085</v>
      </c>
      <c r="BR141" s="91">
        <f t="shared" si="323"/>
        <v>0.5951675977653631</v>
      </c>
      <c r="BS141" s="103">
        <f>INDEX(Daggett!$B$7:$M$21, MATCH(BF141,Daggett!$A$7:$A$21,0), MATCH(BD$135,Daggett!$B$6:$M$6,0))</f>
        <v>784.87096774193549</v>
      </c>
      <c r="BT141" s="4">
        <f t="shared" si="324"/>
        <v>0.92453715639884482</v>
      </c>
      <c r="BU141" s="91">
        <f t="shared" si="335"/>
        <v>0.55025455841872029</v>
      </c>
      <c r="BV141" s="104">
        <f t="shared" si="336"/>
        <v>0.94077140491420308</v>
      </c>
      <c r="BW141" s="91">
        <f t="shared" si="337"/>
        <v>0.55991665710913197</v>
      </c>
      <c r="BX141" s="38"/>
      <c r="BY141" s="37"/>
      <c r="BZ141" s="37"/>
      <c r="CA141" s="38"/>
      <c r="CB141" s="37"/>
      <c r="CC141" s="7"/>
      <c r="CD141" s="41"/>
      <c r="CE141" s="37"/>
    </row>
    <row r="142" spans="2:83">
      <c r="D142" s="38">
        <v>15</v>
      </c>
      <c r="E142" s="86">
        <f t="shared" si="325"/>
        <v>31813</v>
      </c>
      <c r="F142" s="37">
        <f t="shared" si="325"/>
        <v>0.88863128491620114</v>
      </c>
      <c r="G142" s="38">
        <f t="shared" si="325"/>
        <v>27375</v>
      </c>
      <c r="H142" s="37">
        <f t="shared" si="325"/>
        <v>0.76466480446927376</v>
      </c>
      <c r="I142" s="37">
        <f t="shared" si="325"/>
        <v>6.467686849373866E-2</v>
      </c>
      <c r="J142" s="38">
        <f t="shared" si="325"/>
        <v>25392</v>
      </c>
      <c r="K142" s="37">
        <f t="shared" si="325"/>
        <v>0.92756164383561646</v>
      </c>
      <c r="L142" s="7">
        <f t="shared" si="325"/>
        <v>1293.2039407966101</v>
      </c>
      <c r="M142" s="38">
        <f t="shared" si="325"/>
        <v>23094</v>
      </c>
      <c r="N142" s="37">
        <f t="shared" si="325"/>
        <v>0.90949905482041593</v>
      </c>
      <c r="O142" s="50">
        <f t="shared" si="325"/>
        <v>7191.9552690224182</v>
      </c>
      <c r="P142" s="91">
        <f>P136</f>
        <v>0.64508379888268153</v>
      </c>
      <c r="Q142" s="7">
        <f>INDEX(Daggett!$B$7:$M$21, MATCH(D142,Daggett!$A$7:$A$21,0), MATCH(B$135,Daggett!$B$6:$M$6,0))</f>
        <v>743.32258064516134</v>
      </c>
      <c r="R142" s="4">
        <f t="shared" si="319"/>
        <v>0.92648478196644546</v>
      </c>
      <c r="S142" s="91">
        <f t="shared" si="326"/>
        <v>0.59766032275790759</v>
      </c>
      <c r="T142" s="104">
        <f t="shared" si="327"/>
        <v>0.94535447841460651</v>
      </c>
      <c r="U142" s="91">
        <f t="shared" si="328"/>
        <v>0.60983285822645028</v>
      </c>
      <c r="AE142" s="38">
        <v>15</v>
      </c>
      <c r="AF142" s="86">
        <f t="shared" ref="AF142:AP142" si="350">AF84</f>
        <v>35375</v>
      </c>
      <c r="AG142" s="37">
        <f t="shared" si="350"/>
        <v>0.98812849162011174</v>
      </c>
      <c r="AH142" s="38">
        <f t="shared" si="350"/>
        <v>29412</v>
      </c>
      <c r="AI142" s="37">
        <f t="shared" si="350"/>
        <v>0.82156424581005583</v>
      </c>
      <c r="AJ142" s="37">
        <f t="shared" si="350"/>
        <v>9.6266707635581539E-2</v>
      </c>
      <c r="AK142" s="38">
        <f t="shared" si="350"/>
        <v>27857</v>
      </c>
      <c r="AL142" s="37">
        <f t="shared" si="350"/>
        <v>0.94713042295661631</v>
      </c>
      <c r="AM142" s="7">
        <f t="shared" si="350"/>
        <v>1418.745359907497</v>
      </c>
      <c r="AN142" s="38">
        <f t="shared" si="350"/>
        <v>25305</v>
      </c>
      <c r="AO142" s="37">
        <f t="shared" si="350"/>
        <v>0.90838927379114764</v>
      </c>
      <c r="AP142" s="50">
        <f t="shared" si="350"/>
        <v>7880.5069750849698</v>
      </c>
      <c r="AQ142" s="91">
        <f t="shared" si="330"/>
        <v>0.70684357541899445</v>
      </c>
      <c r="AR142" s="7">
        <f>INDEX(Daggett!$B$7:$M$21, MATCH(AE142,Daggett!$A$7:$A$21,0), MATCH(AC$135,Daggett!$B$6:$M$6,0))</f>
        <v>743.32258064516134</v>
      </c>
      <c r="AS142" s="4">
        <f t="shared" si="321"/>
        <v>0.93290810332871343</v>
      </c>
      <c r="AT142" s="91">
        <f t="shared" si="331"/>
        <v>0.65942009929422052</v>
      </c>
      <c r="AU142" s="104">
        <f t="shared" si="332"/>
        <v>0.95012907822592074</v>
      </c>
      <c r="AV142" s="91">
        <f t="shared" si="333"/>
        <v>0.67159263476276332</v>
      </c>
      <c r="AW142" s="38"/>
      <c r="AX142" s="37"/>
      <c r="AY142" s="38"/>
      <c r="AZ142" s="37"/>
      <c r="BA142" s="37"/>
      <c r="BB142" s="38"/>
      <c r="BC142" s="37"/>
      <c r="BF142" s="38">
        <v>15</v>
      </c>
      <c r="BG142" s="86">
        <f t="shared" ref="BG142:BQ142" si="351">BG84</f>
        <v>26058</v>
      </c>
      <c r="BH142" s="37">
        <f t="shared" si="351"/>
        <v>0.72787709497206698</v>
      </c>
      <c r="BI142" s="38">
        <f t="shared" si="351"/>
        <v>23551</v>
      </c>
      <c r="BJ142" s="37">
        <f t="shared" si="351"/>
        <v>0.65784916201117316</v>
      </c>
      <c r="BK142" s="37">
        <f t="shared" si="351"/>
        <v>1.7617889190334579E-2</v>
      </c>
      <c r="BL142" s="38">
        <f t="shared" si="351"/>
        <v>19827</v>
      </c>
      <c r="BM142" s="37">
        <f t="shared" si="351"/>
        <v>0.84187507961445374</v>
      </c>
      <c r="BN142" s="7">
        <f t="shared" si="351"/>
        <v>1009.7808181385628</v>
      </c>
      <c r="BO142" s="38">
        <f t="shared" si="351"/>
        <v>18062</v>
      </c>
      <c r="BP142" s="37">
        <f t="shared" si="351"/>
        <v>0.91097997679931408</v>
      </c>
      <c r="BQ142" s="50">
        <f t="shared" si="351"/>
        <v>5624.885081366715</v>
      </c>
      <c r="BR142" s="91">
        <f t="shared" si="323"/>
        <v>0.5045251396648045</v>
      </c>
      <c r="BS142" s="103">
        <f>INDEX(Daggett!$B$7:$M$21, MATCH(BF142,Daggett!$A$7:$A$21,0), MATCH(BD$135,Daggett!$B$6:$M$6,0))</f>
        <v>743.32258064516134</v>
      </c>
      <c r="BT142" s="4">
        <f t="shared" si="324"/>
        <v>0.90600374015796103</v>
      </c>
      <c r="BU142" s="91">
        <f t="shared" si="335"/>
        <v>0.45710166354003051</v>
      </c>
      <c r="BV142" s="104">
        <f t="shared" si="336"/>
        <v>0.93013045756322243</v>
      </c>
      <c r="BW142" s="91">
        <f t="shared" si="337"/>
        <v>0.46927419900857331</v>
      </c>
      <c r="BX142" s="38"/>
      <c r="BY142" s="37"/>
      <c r="BZ142" s="37"/>
      <c r="CA142" s="38"/>
      <c r="CB142" s="37"/>
      <c r="CC142" s="7"/>
      <c r="CD142" s="41"/>
      <c r="CE142" s="37"/>
    </row>
    <row r="143" spans="2:83">
      <c r="C143" s="7" t="s">
        <v>162</v>
      </c>
      <c r="D143" s="38">
        <v>16</v>
      </c>
      <c r="E143" s="86">
        <f t="shared" si="325"/>
        <v>29852</v>
      </c>
      <c r="F143" s="37">
        <f t="shared" si="325"/>
        <v>0.83385474860335196</v>
      </c>
      <c r="G143" s="38">
        <f t="shared" si="325"/>
        <v>23162</v>
      </c>
      <c r="H143" s="37">
        <f t="shared" si="325"/>
        <v>0.64698324022346365</v>
      </c>
      <c r="I143" s="37">
        <f t="shared" si="325"/>
        <v>0.15663650822317632</v>
      </c>
      <c r="J143" s="38">
        <f t="shared" si="325"/>
        <v>20989</v>
      </c>
      <c r="K143" s="37">
        <f t="shared" si="325"/>
        <v>0.90618254036784385</v>
      </c>
      <c r="L143" s="7">
        <f t="shared" si="325"/>
        <v>1068.9609921778531</v>
      </c>
      <c r="M143" s="38">
        <f t="shared" si="325"/>
        <v>19037</v>
      </c>
      <c r="N143" s="37">
        <f t="shared" si="325"/>
        <v>0.90699890418790796</v>
      </c>
      <c r="O143" s="50">
        <f t="shared" si="325"/>
        <v>5928.5205012721826</v>
      </c>
      <c r="P143" s="91">
        <f>P135</f>
        <v>0.5317597765363129</v>
      </c>
      <c r="Q143" s="7">
        <f>INDEX(Daggett!$B$7:$M$21, MATCH(D143,Daggett!$A$7:$A$21,0), MATCH(B$135,Daggett!$B$6:$M$6,0))</f>
        <v>663.41935483870964</v>
      </c>
      <c r="R143" s="4">
        <f t="shared" si="319"/>
        <v>0.90007662609136041</v>
      </c>
      <c r="S143" s="91">
        <f t="shared" si="326"/>
        <v>0.47862454555590028</v>
      </c>
      <c r="T143" s="104">
        <f t="shared" si="327"/>
        <v>0.93370889974822313</v>
      </c>
      <c r="U143" s="91">
        <f t="shared" si="328"/>
        <v>0.49650883588008171</v>
      </c>
      <c r="AD143" s="7" t="s">
        <v>162</v>
      </c>
      <c r="AE143" s="38">
        <v>16</v>
      </c>
      <c r="AF143" s="86">
        <f t="shared" ref="AF143:AP143" si="352">AF85</f>
        <v>34955</v>
      </c>
      <c r="AG143" s="37">
        <f t="shared" si="352"/>
        <v>0.97639664804469273</v>
      </c>
      <c r="AH143" s="38">
        <f t="shared" si="352"/>
        <v>25130</v>
      </c>
      <c r="AI143" s="37">
        <f t="shared" si="352"/>
        <v>0.70195530726256983</v>
      </c>
      <c r="AJ143" s="37">
        <f t="shared" si="352"/>
        <v>0.21856050947491501</v>
      </c>
      <c r="AK143" s="38">
        <f t="shared" si="352"/>
        <v>23783</v>
      </c>
      <c r="AL143" s="37">
        <f t="shared" si="352"/>
        <v>0.94639872662156788</v>
      </c>
      <c r="AM143" s="7">
        <f t="shared" si="352"/>
        <v>1211.2582436974549</v>
      </c>
      <c r="AN143" s="38">
        <f t="shared" si="352"/>
        <v>21485</v>
      </c>
      <c r="AO143" s="37">
        <f t="shared" si="352"/>
        <v>0.90337636126645082</v>
      </c>
      <c r="AP143" s="50">
        <f t="shared" si="352"/>
        <v>6690.8789709425246</v>
      </c>
      <c r="AQ143" s="91">
        <f t="shared" si="330"/>
        <v>0.60013966480446923</v>
      </c>
      <c r="AR143" s="7">
        <f>INDEX(Daggett!$B$7:$M$21, MATCH(AE143,Daggett!$A$7:$A$21,0), MATCH(AC$135,Daggett!$B$6:$M$6,0))</f>
        <v>663.41935483870964</v>
      </c>
      <c r="AS143" s="4">
        <f t="shared" si="321"/>
        <v>0.91146189112875153</v>
      </c>
      <c r="AT143" s="91">
        <f t="shared" si="331"/>
        <v>0.54700443382405661</v>
      </c>
      <c r="AU143" s="104">
        <f t="shared" si="332"/>
        <v>0.94126210493399698</v>
      </c>
      <c r="AV143" s="91">
        <f t="shared" si="333"/>
        <v>0.5648887241482381</v>
      </c>
      <c r="AW143" s="38"/>
      <c r="AX143" s="37"/>
      <c r="AY143" s="38"/>
      <c r="AZ143" s="37"/>
      <c r="BA143" s="37"/>
      <c r="BB143" s="38"/>
      <c r="BC143" s="37"/>
      <c r="BE143" s="7" t="s">
        <v>162</v>
      </c>
      <c r="BF143" s="38">
        <v>16</v>
      </c>
      <c r="BG143" s="86">
        <f t="shared" ref="BG143:BQ143" si="353">BG85</f>
        <v>22824</v>
      </c>
      <c r="BH143" s="37">
        <f t="shared" si="353"/>
        <v>0.63754189944134076</v>
      </c>
      <c r="BI143" s="38">
        <f t="shared" si="353"/>
        <v>20359</v>
      </c>
      <c r="BJ143" s="37">
        <f t="shared" si="353"/>
        <v>0.56868715083798882</v>
      </c>
      <c r="BK143" s="37">
        <f t="shared" si="353"/>
        <v>3.0435163595909809E-2</v>
      </c>
      <c r="BL143" s="38">
        <f t="shared" si="353"/>
        <v>15656</v>
      </c>
      <c r="BM143" s="37">
        <f t="shared" si="353"/>
        <v>0.7689965125988506</v>
      </c>
      <c r="BN143" s="7">
        <f t="shared" si="353"/>
        <v>797.35353249494824</v>
      </c>
      <c r="BO143" s="38">
        <f t="shared" si="353"/>
        <v>14219</v>
      </c>
      <c r="BP143" s="37">
        <f t="shared" si="353"/>
        <v>0.90821410321921303</v>
      </c>
      <c r="BQ143" s="50">
        <f t="shared" si="353"/>
        <v>4428.0943955239354</v>
      </c>
      <c r="BR143" s="91">
        <f t="shared" si="323"/>
        <v>0.39717877094972065</v>
      </c>
      <c r="BS143" s="103">
        <f>INDEX(Daggett!$B$7:$M$21, MATCH(BF143,Daggett!$A$7:$A$21,0), MATCH(BD$135,Daggett!$B$6:$M$6,0))</f>
        <v>663.41935483870964</v>
      </c>
      <c r="BT143" s="4">
        <f t="shared" si="324"/>
        <v>0.86621835086160959</v>
      </c>
      <c r="BU143" s="91">
        <f t="shared" si="335"/>
        <v>0.34404353996930798</v>
      </c>
      <c r="BV143" s="104">
        <f t="shared" si="336"/>
        <v>0.91124666463935045</v>
      </c>
      <c r="BW143" s="91">
        <f t="shared" si="337"/>
        <v>0.36192783029348946</v>
      </c>
      <c r="BX143" s="38"/>
      <c r="BY143" s="37"/>
      <c r="BZ143" s="37"/>
      <c r="CA143" s="38"/>
      <c r="CB143" s="37"/>
      <c r="CC143" s="7"/>
      <c r="CD143" s="41"/>
      <c r="CE143" s="37"/>
    </row>
    <row r="144" spans="2:83">
      <c r="C144" s="7">
        <f>ROW(D144)-ROW(D134)+1</f>
        <v>11</v>
      </c>
      <c r="D144" s="38">
        <v>17</v>
      </c>
      <c r="E144" s="86">
        <f t="shared" si="325"/>
        <v>27392</v>
      </c>
      <c r="F144" s="37">
        <f t="shared" si="325"/>
        <v>0.76513966480446927</v>
      </c>
      <c r="G144" s="38">
        <f t="shared" si="325"/>
        <v>15089</v>
      </c>
      <c r="H144" s="37">
        <f t="shared" si="325"/>
        <v>0.4214804469273743</v>
      </c>
      <c r="I144" s="37">
        <f t="shared" si="325"/>
        <v>0.40124536519707432</v>
      </c>
      <c r="J144" s="38">
        <f t="shared" si="325"/>
        <v>12932</v>
      </c>
      <c r="K144" s="37">
        <f t="shared" si="325"/>
        <v>0.85704818079395584</v>
      </c>
      <c r="L144" s="7">
        <f t="shared" si="325"/>
        <v>658.62135170060492</v>
      </c>
      <c r="M144" s="38">
        <f t="shared" si="325"/>
        <v>11588</v>
      </c>
      <c r="N144" s="37">
        <f t="shared" si="325"/>
        <v>0.89607175997525523</v>
      </c>
      <c r="O144" s="50">
        <f t="shared" si="325"/>
        <v>3608.7458931944134</v>
      </c>
      <c r="P144" s="91">
        <f>P134</f>
        <v>0.32368715083798882</v>
      </c>
      <c r="Q144" s="7">
        <f>INDEX(Daggett!$B$7:$M$21, MATCH(D144,Daggett!$A$7:$A$21,0), MATCH(B$135,Daggett!$B$6:$M$6,0))</f>
        <v>569.51612903225805</v>
      </c>
      <c r="R144" s="4">
        <f t="shared" si="319"/>
        <v>0.80877739840887874</v>
      </c>
      <c r="S144" s="91">
        <f t="shared" si="326"/>
        <v>0.26179085175313094</v>
      </c>
      <c r="T144" s="104">
        <f t="shared" si="327"/>
        <v>0.89109564415834686</v>
      </c>
      <c r="U144" s="91">
        <f t="shared" si="328"/>
        <v>0.28843621018175764</v>
      </c>
      <c r="AD144" s="7">
        <f>ROW(AE144)-ROW(AE134)+1</f>
        <v>11</v>
      </c>
      <c r="AE144" s="38">
        <v>17</v>
      </c>
      <c r="AF144" s="86">
        <f t="shared" ref="AF144:AP144" si="354">AF86</f>
        <v>33957</v>
      </c>
      <c r="AG144" s="37">
        <f t="shared" si="354"/>
        <v>0.9485195530726257</v>
      </c>
      <c r="AH144" s="38">
        <f t="shared" si="354"/>
        <v>16174</v>
      </c>
      <c r="AI144" s="37">
        <f t="shared" si="354"/>
        <v>0.4517877094972067</v>
      </c>
      <c r="AJ144" s="37">
        <f t="shared" si="354"/>
        <v>0.48227361714495698</v>
      </c>
      <c r="AK144" s="38">
        <f t="shared" si="354"/>
        <v>15270</v>
      </c>
      <c r="AL144" s="37">
        <f t="shared" si="354"/>
        <v>0.94410782737727217</v>
      </c>
      <c r="AM144" s="7">
        <f t="shared" si="354"/>
        <v>777.69471392423736</v>
      </c>
      <c r="AN144" s="38">
        <f t="shared" si="354"/>
        <v>13513</v>
      </c>
      <c r="AO144" s="37">
        <f t="shared" si="354"/>
        <v>0.88493778650949573</v>
      </c>
      <c r="AP144" s="50">
        <f t="shared" si="354"/>
        <v>4208.2312094180279</v>
      </c>
      <c r="AQ144" s="91">
        <f t="shared" si="330"/>
        <v>0.37745810055865919</v>
      </c>
      <c r="AR144" s="7">
        <f>INDEX(Daggett!$B$7:$M$21, MATCH(AE144,Daggett!$A$7:$A$21,0), MATCH(AC$135,Daggett!$B$6:$M$6,0))</f>
        <v>569.51612903225805</v>
      </c>
      <c r="AS144" s="4">
        <f t="shared" si="321"/>
        <v>0.83601809315193421</v>
      </c>
      <c r="AT144" s="91">
        <f t="shared" si="331"/>
        <v>0.31556180147380131</v>
      </c>
      <c r="AU144" s="104">
        <f t="shared" si="332"/>
        <v>0.90660965918056124</v>
      </c>
      <c r="AV144" s="91">
        <f t="shared" si="333"/>
        <v>0.342207159902428</v>
      </c>
      <c r="AW144" s="38"/>
      <c r="AX144" s="37"/>
      <c r="AY144" s="38"/>
      <c r="AZ144" s="37"/>
      <c r="BA144" s="37"/>
      <c r="BB144" s="38"/>
      <c r="BC144" s="37"/>
      <c r="BE144" s="7">
        <f>ROW(BF144)-ROW(BF134)+1</f>
        <v>11</v>
      </c>
      <c r="BF144" s="38">
        <v>17</v>
      </c>
      <c r="BG144" s="86">
        <f t="shared" ref="BG144:BQ144" si="355">BG86</f>
        <v>19268</v>
      </c>
      <c r="BH144" s="37">
        <f t="shared" si="355"/>
        <v>0.53821229050279329</v>
      </c>
      <c r="BI144" s="38">
        <f t="shared" si="355"/>
        <v>14235</v>
      </c>
      <c r="BJ144" s="37">
        <f t="shared" si="355"/>
        <v>0.39762569832402234</v>
      </c>
      <c r="BK144" s="37">
        <f t="shared" si="355"/>
        <v>0.19696771398398794</v>
      </c>
      <c r="BL144" s="38">
        <f t="shared" si="355"/>
        <v>9494</v>
      </c>
      <c r="BM144" s="37">
        <f t="shared" si="355"/>
        <v>0.66694766420793816</v>
      </c>
      <c r="BN144" s="7">
        <f t="shared" si="355"/>
        <v>483.5254495086254</v>
      </c>
      <c r="BO144" s="38">
        <f t="shared" si="355"/>
        <v>8566</v>
      </c>
      <c r="BP144" s="37">
        <f t="shared" si="355"/>
        <v>0.90225405519275337</v>
      </c>
      <c r="BQ144" s="50">
        <f t="shared" si="355"/>
        <v>2667.6318019592118</v>
      </c>
      <c r="BR144" s="91">
        <f t="shared" si="323"/>
        <v>0.23927374301675977</v>
      </c>
      <c r="BS144" s="103">
        <f>INDEX(Daggett!$B$7:$M$21, MATCH(BF144,Daggett!$A$7:$A$21,0), MATCH(BD$135,Daggett!$B$6:$M$6,0))</f>
        <v>569.51612903225805</v>
      </c>
      <c r="BT144" s="4">
        <f t="shared" si="324"/>
        <v>0.74131595759538715</v>
      </c>
      <c r="BU144" s="91">
        <f t="shared" si="335"/>
        <v>0.17737744393190186</v>
      </c>
      <c r="BV144" s="104">
        <f t="shared" si="336"/>
        <v>0.85267526552730843</v>
      </c>
      <c r="BW144" s="91">
        <f t="shared" si="337"/>
        <v>0.20402280236052861</v>
      </c>
      <c r="BX144" s="38"/>
      <c r="BY144" s="37"/>
      <c r="BZ144" s="37"/>
      <c r="CA144" s="38"/>
      <c r="CB144" s="37"/>
      <c r="CC144" s="7"/>
      <c r="CD144" s="41"/>
      <c r="CE144" s="37"/>
    </row>
    <row r="145" spans="2:83">
      <c r="C145" s="7"/>
      <c r="D145" s="38"/>
      <c r="E145" s="86"/>
      <c r="F145" s="37"/>
      <c r="G145" s="38"/>
      <c r="H145" s="37"/>
      <c r="I145" s="37"/>
      <c r="J145" s="38"/>
      <c r="K145" s="37"/>
      <c r="L145" s="7"/>
      <c r="M145" s="38"/>
      <c r="N145" s="37"/>
      <c r="O145" s="50"/>
      <c r="P145" s="91"/>
      <c r="Q145" s="4"/>
      <c r="R145" s="4"/>
      <c r="S145" s="91"/>
      <c r="T145" s="104"/>
      <c r="U145" s="91"/>
      <c r="AD145" s="7"/>
      <c r="AE145" s="38"/>
      <c r="AF145" s="86"/>
      <c r="AG145" s="37"/>
      <c r="AH145" s="38"/>
      <c r="AI145" s="37"/>
      <c r="AJ145" s="37"/>
      <c r="AK145" s="38"/>
      <c r="AL145" s="37"/>
      <c r="AM145" s="7"/>
      <c r="AN145" s="38"/>
      <c r="AO145" s="37"/>
      <c r="AP145" s="50"/>
      <c r="AQ145" s="91"/>
      <c r="AR145" s="4"/>
      <c r="AS145" s="4"/>
      <c r="AT145" s="91"/>
      <c r="AU145" s="104"/>
      <c r="AV145" s="91"/>
      <c r="AW145" s="38"/>
      <c r="AX145" s="37"/>
      <c r="AY145" s="38"/>
      <c r="AZ145" s="37"/>
      <c r="BA145" s="37"/>
      <c r="BB145" s="38"/>
      <c r="BC145" s="37"/>
      <c r="BE145" s="7"/>
      <c r="BF145" s="38"/>
      <c r="BG145" s="86"/>
      <c r="BH145" s="37"/>
      <c r="BI145" s="38"/>
      <c r="BJ145" s="37"/>
      <c r="BK145" s="37"/>
      <c r="BL145" s="38"/>
      <c r="BM145" s="37"/>
      <c r="BN145" s="7"/>
      <c r="BO145" s="38"/>
      <c r="BP145" s="37"/>
      <c r="BQ145" s="50"/>
      <c r="BR145" s="91"/>
      <c r="BS145" s="104"/>
      <c r="BT145" s="4"/>
      <c r="BU145" s="91"/>
      <c r="BV145" s="104"/>
      <c r="BW145" s="91"/>
      <c r="BX145" s="38"/>
      <c r="BY145" s="37"/>
      <c r="BZ145" s="37"/>
      <c r="CA145" s="38"/>
      <c r="CB145" s="37"/>
      <c r="CC145" s="7"/>
      <c r="CD145" s="41"/>
      <c r="CE145" s="37"/>
    </row>
    <row r="146" spans="2:83">
      <c r="E146" s="87"/>
      <c r="P146" s="88"/>
      <c r="S146" s="88"/>
      <c r="T146" s="87"/>
      <c r="U146" s="88"/>
      <c r="AF146" s="87"/>
      <c r="AQ146" s="88"/>
      <c r="AT146" s="88"/>
      <c r="AU146" s="87"/>
      <c r="AV146" s="88"/>
      <c r="AW146" s="38"/>
      <c r="AX146" s="37"/>
      <c r="AY146" s="38"/>
      <c r="AZ146" s="37"/>
      <c r="BA146" s="37"/>
      <c r="BB146" s="38"/>
      <c r="BC146" s="37"/>
      <c r="BG146" s="87"/>
      <c r="BR146" s="88"/>
      <c r="BS146" s="87"/>
      <c r="BU146" s="88"/>
      <c r="BV146" s="87"/>
      <c r="BW146" s="88"/>
      <c r="BX146" s="38"/>
      <c r="BY146" s="37"/>
      <c r="BZ146" s="37"/>
      <c r="CA146" s="38"/>
      <c r="CB146" s="37"/>
      <c r="CC146" s="7"/>
      <c r="CD146" s="41"/>
      <c r="CE146" s="37"/>
    </row>
    <row r="147" spans="2:83" ht="49.5">
      <c r="B147" s="34"/>
      <c r="C147" s="63" t="s">
        <v>151</v>
      </c>
      <c r="D147" s="63" t="s">
        <v>89</v>
      </c>
      <c r="E147" s="89" t="s">
        <v>152</v>
      </c>
      <c r="F147" s="34" t="s">
        <v>125</v>
      </c>
      <c r="G147" s="63" t="s">
        <v>153</v>
      </c>
      <c r="H147" s="33" t="s">
        <v>154</v>
      </c>
      <c r="I147" s="34" t="s">
        <v>155</v>
      </c>
      <c r="J147" s="85" t="s">
        <v>156</v>
      </c>
      <c r="K147" s="35" t="s">
        <v>157</v>
      </c>
      <c r="L147" s="35" t="s">
        <v>158</v>
      </c>
      <c r="M147" s="85" t="s">
        <v>159</v>
      </c>
      <c r="N147" s="35" t="s">
        <v>72</v>
      </c>
      <c r="O147" s="35" t="s">
        <v>160</v>
      </c>
      <c r="P147" s="100" t="s">
        <v>129</v>
      </c>
      <c r="Q147" s="138" t="s">
        <v>161</v>
      </c>
      <c r="R147" s="67" t="s">
        <v>130</v>
      </c>
      <c r="S147" s="100" t="s">
        <v>131</v>
      </c>
      <c r="T147" s="107" t="s">
        <v>130</v>
      </c>
      <c r="U147" s="100" t="s">
        <v>131</v>
      </c>
      <c r="AC147" s="34"/>
      <c r="AD147" s="63" t="s">
        <v>151</v>
      </c>
      <c r="AE147" s="63" t="s">
        <v>89</v>
      </c>
      <c r="AF147" s="89" t="s">
        <v>152</v>
      </c>
      <c r="AG147" s="34" t="s">
        <v>125</v>
      </c>
      <c r="AH147" s="63" t="s">
        <v>153</v>
      </c>
      <c r="AI147" s="33" t="s">
        <v>154</v>
      </c>
      <c r="AJ147" s="34" t="s">
        <v>155</v>
      </c>
      <c r="AK147" s="85" t="s">
        <v>156</v>
      </c>
      <c r="AL147" s="35" t="s">
        <v>157</v>
      </c>
      <c r="AM147" s="35" t="s">
        <v>158</v>
      </c>
      <c r="AN147" s="85" t="s">
        <v>159</v>
      </c>
      <c r="AO147" s="35" t="s">
        <v>72</v>
      </c>
      <c r="AP147" s="35" t="s">
        <v>160</v>
      </c>
      <c r="AQ147" s="100" t="s">
        <v>129</v>
      </c>
      <c r="AR147" s="138" t="s">
        <v>161</v>
      </c>
      <c r="AS147" s="67" t="s">
        <v>130</v>
      </c>
      <c r="AT147" s="100" t="s">
        <v>131</v>
      </c>
      <c r="AU147" s="107" t="s">
        <v>130</v>
      </c>
      <c r="AV147" s="100" t="s">
        <v>131</v>
      </c>
      <c r="AW147" s="38"/>
      <c r="AX147" s="37"/>
      <c r="AY147" s="38"/>
      <c r="AZ147" s="37"/>
      <c r="BA147" s="37"/>
      <c r="BB147" s="38"/>
      <c r="BC147" s="37"/>
      <c r="BD147" s="34"/>
      <c r="BE147" s="63" t="s">
        <v>151</v>
      </c>
      <c r="BF147" s="63" t="s">
        <v>89</v>
      </c>
      <c r="BG147" s="89" t="s">
        <v>152</v>
      </c>
      <c r="BH147" s="34" t="s">
        <v>125</v>
      </c>
      <c r="BI147" s="63" t="s">
        <v>153</v>
      </c>
      <c r="BJ147" s="33" t="s">
        <v>154</v>
      </c>
      <c r="BK147" s="34" t="s">
        <v>155</v>
      </c>
      <c r="BL147" s="85" t="s">
        <v>156</v>
      </c>
      <c r="BM147" s="35" t="s">
        <v>157</v>
      </c>
      <c r="BN147" s="35" t="s">
        <v>158</v>
      </c>
      <c r="BO147" s="85" t="s">
        <v>159</v>
      </c>
      <c r="BP147" s="35" t="s">
        <v>72</v>
      </c>
      <c r="BQ147" s="35" t="s">
        <v>160</v>
      </c>
      <c r="BR147" s="100" t="s">
        <v>129</v>
      </c>
      <c r="BS147" s="144" t="s">
        <v>161</v>
      </c>
      <c r="BT147" s="67" t="s">
        <v>130</v>
      </c>
      <c r="BU147" s="100" t="s">
        <v>131</v>
      </c>
      <c r="BV147" s="107" t="s">
        <v>130</v>
      </c>
      <c r="BW147" s="100" t="s">
        <v>131</v>
      </c>
      <c r="BX147" s="38"/>
      <c r="BY147" s="37"/>
      <c r="BZ147" s="37"/>
      <c r="CA147" s="38"/>
      <c r="CB147" s="37"/>
      <c r="CC147" s="7"/>
      <c r="CD147" s="41"/>
      <c r="CE147" s="37"/>
    </row>
    <row r="148" spans="2:83">
      <c r="B148" s="2" t="s">
        <v>88</v>
      </c>
      <c r="C148" s="7">
        <v>264</v>
      </c>
      <c r="D148" s="38">
        <v>7</v>
      </c>
      <c r="E148" s="86">
        <f>E61</f>
        <v>28077</v>
      </c>
      <c r="F148" s="37">
        <f t="shared" ref="F148:O148" si="356">F61</f>
        <v>0.78427374301675978</v>
      </c>
      <c r="G148" s="38">
        <f t="shared" si="356"/>
        <v>14217</v>
      </c>
      <c r="H148" s="37">
        <f t="shared" si="356"/>
        <v>0.39712290502793296</v>
      </c>
      <c r="I148" s="37">
        <f t="shared" si="356"/>
        <v>0.44961139475139023</v>
      </c>
      <c r="J148" s="38">
        <f t="shared" si="356"/>
        <v>12199</v>
      </c>
      <c r="K148" s="37">
        <f t="shared" si="356"/>
        <v>0.85805725539846667</v>
      </c>
      <c r="L148" s="7">
        <f t="shared" si="356"/>
        <v>621.28996824897001</v>
      </c>
      <c r="M148" s="38">
        <f t="shared" si="356"/>
        <v>10924</v>
      </c>
      <c r="N148" s="37">
        <f t="shared" si="356"/>
        <v>0.89548323633084681</v>
      </c>
      <c r="O148" s="50">
        <f t="shared" si="356"/>
        <v>3401.9623867152031</v>
      </c>
      <c r="P148" s="91">
        <f t="shared" ref="P148:P153" si="357">M148/$C$10</f>
        <v>0.30513966480446925</v>
      </c>
      <c r="Q148" s="7">
        <f>INDEX(Daggett!$B$7:$M$21, MATCH(D148,Daggett!$A$7:$A$21,0), MATCH(B$149,Daggett!$B$6:$M$6,0))</f>
        <v>475.83870967741933</v>
      </c>
      <c r="R148" s="4">
        <f t="shared" ref="R148:R158" si="358">IF(1-$H$7*(($H$5+273)^4-298^4)*(PI()*$C$19^2)*1000/(M148*Q148*1000)&lt;0,#N/A,1-$H$7*(($H$5+273)^4-298^4)*(PI()*$C$19^2)*1000/(M148*Q148*1000))</f>
        <v>0.75722035254102915</v>
      </c>
      <c r="S148" s="91">
        <f>R148*P148</f>
        <v>0.23105796455749167</v>
      </c>
      <c r="T148" s="104">
        <f>IF(1-$H$7*(($H$5+273)^4-298^4)/(O148*1000)&lt;0,#N/A,1-$H$7*(($H$5+273)^4-298^4)/(O148*1000))</f>
        <v>0.88447604581718453</v>
      </c>
      <c r="U148" s="91">
        <f>T148*P148</f>
        <v>0.26988872414823806</v>
      </c>
      <c r="AC148" s="2" t="s">
        <v>88</v>
      </c>
      <c r="AD148" s="7">
        <v>264</v>
      </c>
      <c r="AE148" s="38">
        <v>7</v>
      </c>
      <c r="AF148" s="86">
        <f>AF61</f>
        <v>18847</v>
      </c>
      <c r="AG148" s="37">
        <f t="shared" ref="AG148:AP148" si="359">AG61</f>
        <v>0.52645251396648041</v>
      </c>
      <c r="AH148" s="38">
        <f t="shared" si="359"/>
        <v>12548</v>
      </c>
      <c r="AI148" s="37">
        <f t="shared" si="359"/>
        <v>0.35050279329608941</v>
      </c>
      <c r="AJ148" s="37">
        <f t="shared" si="359"/>
        <v>0.27632352975101571</v>
      </c>
      <c r="AK148" s="38">
        <f t="shared" si="359"/>
        <v>8203</v>
      </c>
      <c r="AL148" s="37">
        <f t="shared" si="359"/>
        <v>0.65372967803634041</v>
      </c>
      <c r="AM148" s="7">
        <f t="shared" si="359"/>
        <v>417.77535941850158</v>
      </c>
      <c r="AN148" s="38">
        <f t="shared" si="359"/>
        <v>7384</v>
      </c>
      <c r="AO148" s="37">
        <f t="shared" si="359"/>
        <v>0.90015847860538822</v>
      </c>
      <c r="AP148" s="50">
        <f t="shared" si="359"/>
        <v>2299.5322467507376</v>
      </c>
      <c r="AQ148" s="91">
        <f>AN148/$C$10</f>
        <v>0.20625698324022346</v>
      </c>
      <c r="AR148" s="7">
        <f>INDEX(Daggett!$B$7:$M$21, MATCH(AE148,Daggett!$A$7:$A$21,0), MATCH(AC$149,Daggett!$B$6:$M$6,0))</f>
        <v>475.83870967741933</v>
      </c>
      <c r="AS148" s="4">
        <f t="shared" ref="AS148:AS158" si="360">IF(1-$H$7*(($H$5+273)^4-298^4)*(PI()*$C$19^2)*1000/(AN148*AR148*1000)&lt;0,#N/A,1-$H$7*(($H$5+273)^4-298^4)*(PI()*$C$19^2)*1000/(AN148*AR148*1000))</f>
        <v>0.64082815969098084</v>
      </c>
      <c r="AT148" s="91">
        <f>AS148*AQ148</f>
        <v>0.13217528299324588</v>
      </c>
      <c r="AU148" s="104">
        <f>IF(1-$H$7*(($H$5+273)^4-298^4)/(AP148*1000)&lt;0,#N/A,1-$H$7*(($H$5+273)^4-298^4)/(AP148*1000))</f>
        <v>0.8290921349548922</v>
      </c>
      <c r="AV148" s="91">
        <f>AU148*AQ148</f>
        <v>0.1710060425839923</v>
      </c>
      <c r="AW148" s="38"/>
      <c r="AX148" s="37"/>
      <c r="AY148" s="38"/>
      <c r="AZ148" s="37"/>
      <c r="BA148" s="37"/>
      <c r="BB148" s="38"/>
      <c r="BC148" s="37"/>
      <c r="BD148" s="2" t="s">
        <v>88</v>
      </c>
      <c r="BE148" s="7">
        <v>264</v>
      </c>
      <c r="BF148" s="38">
        <v>7</v>
      </c>
      <c r="BG148" s="86">
        <f>BG61</f>
        <v>33954</v>
      </c>
      <c r="BH148" s="37">
        <f t="shared" ref="BH148:BQ148" si="361">BH61</f>
        <v>0.94843575418994408</v>
      </c>
      <c r="BI148" s="38">
        <f t="shared" si="361"/>
        <v>14954</v>
      </c>
      <c r="BJ148" s="37">
        <f t="shared" si="361"/>
        <v>0.41770949720670392</v>
      </c>
      <c r="BK148" s="37">
        <f t="shared" si="361"/>
        <v>0.52128327071664726</v>
      </c>
      <c r="BL148" s="38">
        <f t="shared" si="361"/>
        <v>13475</v>
      </c>
      <c r="BM148" s="37">
        <f t="shared" si="361"/>
        <v>0.90109669653604385</v>
      </c>
      <c r="BN148" s="7">
        <f t="shared" si="361"/>
        <v>686.27611461225263</v>
      </c>
      <c r="BO148" s="38">
        <f t="shared" si="361"/>
        <v>11894</v>
      </c>
      <c r="BP148" s="37">
        <f t="shared" si="361"/>
        <v>0.88267161410018558</v>
      </c>
      <c r="BQ148" s="50">
        <f t="shared" si="361"/>
        <v>3704.0407019032064</v>
      </c>
      <c r="BR148" s="91">
        <f t="shared" ref="BR148:BR158" si="362">BO148/$C$10</f>
        <v>0.33223463687150839</v>
      </c>
      <c r="BS148" s="103">
        <f>INDEX(Daggett!$B$7:$M$21, MATCH(BF148,Daggett!$A$7:$A$21,0), MATCH(BD$149,Daggett!$B$6:$M$6,0))</f>
        <v>475.83870967741933</v>
      </c>
      <c r="BT148" s="4">
        <f t="shared" ref="BT148:BT158" si="363">IF(1-$H$7*(($H$5+273)^4-298^4)*(PI()*$C$19^2)*1000/(BO148*BS148*1000)&lt;0,#N/A,1-$H$7*(($H$5+273)^4-298^4)*(PI()*$C$19^2)*1000/(BO148*BS148*1000))</f>
        <v>0.77701993704037342</v>
      </c>
      <c r="BU148" s="91">
        <f>BT148*BR148</f>
        <v>0.25815293662453076</v>
      </c>
      <c r="BV148" s="104">
        <f>IF(1-$H$7*(($H$5+273)^4-298^4)/(BQ148*1000)&lt;0,#N/A,1-$H$7*(($H$5+273)^4-298^4)/(BQ148*1000))</f>
        <v>0.89389745455750158</v>
      </c>
      <c r="BW148" s="91">
        <f>BV148*BR148</f>
        <v>0.2969836962152772</v>
      </c>
      <c r="BX148" s="38"/>
      <c r="BY148" s="37"/>
      <c r="BZ148" s="37"/>
      <c r="CA148" s="38"/>
      <c r="CB148" s="37"/>
      <c r="CC148" s="7"/>
      <c r="CD148" s="41"/>
      <c r="CE148" s="37"/>
    </row>
    <row r="149" spans="2:83">
      <c r="B149" s="2">
        <v>9</v>
      </c>
      <c r="C149" s="7"/>
      <c r="D149" s="38">
        <v>8</v>
      </c>
      <c r="E149" s="86">
        <f t="shared" ref="E149:O158" si="364">E62</f>
        <v>30529</v>
      </c>
      <c r="F149" s="37">
        <f t="shared" si="364"/>
        <v>0.8527653631284916</v>
      </c>
      <c r="G149" s="38">
        <f t="shared" si="364"/>
        <v>22633</v>
      </c>
      <c r="H149" s="37">
        <f t="shared" si="364"/>
        <v>0.63220670391061451</v>
      </c>
      <c r="I149" s="37">
        <f t="shared" si="364"/>
        <v>0.19417318102388748</v>
      </c>
      <c r="J149" s="38">
        <f t="shared" si="364"/>
        <v>20702</v>
      </c>
      <c r="K149" s="37">
        <f t="shared" si="364"/>
        <v>0.91468210135642647</v>
      </c>
      <c r="L149" s="7">
        <f t="shared" si="364"/>
        <v>1054.3442022042934</v>
      </c>
      <c r="M149" s="38">
        <f t="shared" si="364"/>
        <v>18784</v>
      </c>
      <c r="N149" s="37">
        <f t="shared" si="364"/>
        <v>0.90735194667181918</v>
      </c>
      <c r="O149" s="50">
        <f t="shared" si="364"/>
        <v>5849.7310025685074</v>
      </c>
      <c r="P149" s="91">
        <f t="shared" si="357"/>
        <v>0.52469273743016764</v>
      </c>
      <c r="Q149" s="7">
        <f>INDEX(Daggett!$B$7:$M$21, MATCH(D149,Daggett!$A$7:$A$21,0), MATCH(B$149,Daggett!$B$6:$M$6,0))</f>
        <v>673.38709677419354</v>
      </c>
      <c r="R149" s="4">
        <f t="shared" si="358"/>
        <v>0.90022979439684847</v>
      </c>
      <c r="S149" s="91">
        <f t="shared" ref="S149:S158" si="365">R149*P149</f>
        <v>0.47234403513827944</v>
      </c>
      <c r="T149" s="104">
        <f t="shared" ref="T149:T158" si="366">IF(1-$H$7*(($H$5+273)^4-298^4)/(O149*1000)&lt;0,#N/A,1-$H$7*(($H$5+273)^4-298^4)/(O149*1000))</f>
        <v>0.93281603090432941</v>
      </c>
      <c r="U149" s="91">
        <f t="shared" ref="U149:U158" si="367">T149*P149</f>
        <v>0.48944179677393646</v>
      </c>
      <c r="AC149" s="2">
        <v>9</v>
      </c>
      <c r="AD149" s="7"/>
      <c r="AE149" s="38">
        <v>8</v>
      </c>
      <c r="AF149" s="86">
        <f t="shared" ref="AF149:AP149" si="368">AF62</f>
        <v>22537</v>
      </c>
      <c r="AG149" s="37">
        <f t="shared" si="368"/>
        <v>0.6295251396648045</v>
      </c>
      <c r="AH149" s="38">
        <f t="shared" si="368"/>
        <v>19691</v>
      </c>
      <c r="AI149" s="37">
        <f t="shared" si="368"/>
        <v>0.55002793296089381</v>
      </c>
      <c r="AJ149" s="37">
        <f t="shared" si="368"/>
        <v>5.0305680899622063E-2</v>
      </c>
      <c r="AK149" s="38">
        <f t="shared" si="368"/>
        <v>14851</v>
      </c>
      <c r="AL149" s="37">
        <f t="shared" si="368"/>
        <v>0.75420242750495148</v>
      </c>
      <c r="AM149" s="7">
        <f t="shared" si="368"/>
        <v>756.355219154476</v>
      </c>
      <c r="AN149" s="38">
        <f t="shared" si="368"/>
        <v>13506</v>
      </c>
      <c r="AO149" s="37">
        <f t="shared" si="368"/>
        <v>0.90943370816780011</v>
      </c>
      <c r="AP149" s="50">
        <f t="shared" si="368"/>
        <v>4206.0512628135784</v>
      </c>
      <c r="AQ149" s="91">
        <f t="shared" ref="AQ149:AQ158" si="369">AN149/$C$10</f>
        <v>0.37726256983240225</v>
      </c>
      <c r="AR149" s="7">
        <f>INDEX(Daggett!$B$7:$M$21, MATCH(AE149,Daggett!$A$7:$A$21,0), MATCH(AC$149,Daggett!$B$6:$M$6,0))</f>
        <v>673.38709677419354</v>
      </c>
      <c r="AS149" s="4">
        <f t="shared" si="360"/>
        <v>0.86124066769957075</v>
      </c>
      <c r="AT149" s="91">
        <f t="shared" ref="AT149:AT158" si="370">AS149*AQ149</f>
        <v>0.32491386754051405</v>
      </c>
      <c r="AU149" s="104">
        <f t="shared" ref="AU149:AU158" si="371">IF(1-$H$7*(($H$5+273)^4-298^4)/(AP149*1000)&lt;0,#N/A,1-$H$7*(($H$5+273)^4-298^4)/(AP149*1000))</f>
        <v>0.90656125607188831</v>
      </c>
      <c r="AV149" s="91">
        <f t="shared" ref="AV149:AV158" si="372">AU149*AQ149</f>
        <v>0.34201162917617106</v>
      </c>
      <c r="AW149" s="38"/>
      <c r="AX149" s="37"/>
      <c r="AY149" s="38"/>
      <c r="AZ149" s="37"/>
      <c r="BA149" s="37"/>
      <c r="BB149" s="38"/>
      <c r="BC149" s="37"/>
      <c r="BD149" s="2">
        <v>9</v>
      </c>
      <c r="BE149" s="7"/>
      <c r="BF149" s="38">
        <v>8</v>
      </c>
      <c r="BG149" s="86">
        <f t="shared" ref="BG149:BQ149" si="373">BG62</f>
        <v>34973</v>
      </c>
      <c r="BH149" s="37">
        <f t="shared" si="373"/>
        <v>0.9768994413407821</v>
      </c>
      <c r="BI149" s="38">
        <f t="shared" si="373"/>
        <v>23834</v>
      </c>
      <c r="BJ149" s="37">
        <f t="shared" si="373"/>
        <v>0.66575418994413404</v>
      </c>
      <c r="BK149" s="37">
        <f t="shared" si="373"/>
        <v>0.25924222288249688</v>
      </c>
      <c r="BL149" s="38">
        <f t="shared" si="373"/>
        <v>22540</v>
      </c>
      <c r="BM149" s="37">
        <f t="shared" si="373"/>
        <v>0.94570781236888479</v>
      </c>
      <c r="BN149" s="7">
        <f t="shared" si="373"/>
        <v>1147.9527735332226</v>
      </c>
      <c r="BO149" s="38">
        <f t="shared" si="373"/>
        <v>20353</v>
      </c>
      <c r="BP149" s="37">
        <f t="shared" si="373"/>
        <v>0.90297249334516416</v>
      </c>
      <c r="BQ149" s="50">
        <f t="shared" si="373"/>
        <v>6338.3504629086892</v>
      </c>
      <c r="BR149" s="91">
        <f t="shared" si="362"/>
        <v>0.56851955307262569</v>
      </c>
      <c r="BS149" s="103">
        <f>INDEX(Daggett!$B$7:$M$21, MATCH(BF149,Daggett!$A$7:$A$21,0), MATCH(BD$149,Daggett!$B$6:$M$6,0))</f>
        <v>673.38709677419354</v>
      </c>
      <c r="BT149" s="4">
        <f t="shared" si="363"/>
        <v>0.90792101694838112</v>
      </c>
      <c r="BU149" s="91">
        <f t="shared" ref="BU149:BU158" si="374">BT149*BR149</f>
        <v>0.51617085078073743</v>
      </c>
      <c r="BV149" s="104">
        <f t="shared" ref="BV149:BV158" si="375">IF(1-$H$7*(($H$5+273)^4-298^4)/(BQ149*1000)&lt;0,#N/A,1-$H$7*(($H$5+273)^4-298^4)/(BQ149*1000))</f>
        <v>0.93799520092895028</v>
      </c>
      <c r="BW149" s="91">
        <f t="shared" ref="BW149:BW158" si="376">BV149*BR149</f>
        <v>0.53326861241639456</v>
      </c>
      <c r="BX149" s="38"/>
      <c r="BY149" s="37"/>
      <c r="BZ149" s="37"/>
      <c r="CA149" s="38"/>
      <c r="CB149" s="37"/>
      <c r="CC149" s="7"/>
      <c r="CD149" s="41"/>
      <c r="CE149" s="37"/>
    </row>
    <row r="150" spans="2:83">
      <c r="C150" s="7"/>
      <c r="D150" s="38">
        <v>9</v>
      </c>
      <c r="E150" s="86">
        <f t="shared" si="364"/>
        <v>32487</v>
      </c>
      <c r="F150" s="37">
        <f t="shared" si="364"/>
        <v>0.90745810055865916</v>
      </c>
      <c r="G150" s="38">
        <f t="shared" si="364"/>
        <v>27543</v>
      </c>
      <c r="H150" s="37">
        <f t="shared" si="364"/>
        <v>0.76935754189944139</v>
      </c>
      <c r="I150" s="37">
        <f t="shared" si="364"/>
        <v>7.8460815764432867E-2</v>
      </c>
      <c r="J150" s="38">
        <f t="shared" si="364"/>
        <v>25701</v>
      </c>
      <c r="K150" s="37">
        <f t="shared" si="364"/>
        <v>0.93312275351268925</v>
      </c>
      <c r="L150" s="7">
        <f t="shared" si="364"/>
        <v>1308.9411815695366</v>
      </c>
      <c r="M150" s="38">
        <f t="shared" si="364"/>
        <v>23475</v>
      </c>
      <c r="N150" s="37">
        <f t="shared" si="364"/>
        <v>0.91338858410178592</v>
      </c>
      <c r="O150" s="50">
        <f t="shared" si="364"/>
        <v>7310.6066484931698</v>
      </c>
      <c r="P150" s="91">
        <f t="shared" si="357"/>
        <v>0.65572625698324027</v>
      </c>
      <c r="Q150" s="7">
        <f>INDEX(Daggett!$B$7:$M$21, MATCH(D150,Daggett!$A$7:$A$21,0), MATCH(B$149,Daggett!$B$6:$M$6,0))</f>
        <v>771.41935483870964</v>
      </c>
      <c r="R150" s="4">
        <f t="shared" si="358"/>
        <v>0.93031206348790774</v>
      </c>
      <c r="S150" s="91">
        <f t="shared" si="365"/>
        <v>0.61003004721728038</v>
      </c>
      <c r="T150" s="104">
        <f t="shared" si="366"/>
        <v>0.9462413769758008</v>
      </c>
      <c r="U150" s="91">
        <f t="shared" si="367"/>
        <v>0.62047531632700914</v>
      </c>
      <c r="AD150" s="7"/>
      <c r="AE150" s="38">
        <v>9</v>
      </c>
      <c r="AF150" s="86">
        <f t="shared" ref="AF150:AP150" si="377">AF63</f>
        <v>25869</v>
      </c>
      <c r="AG150" s="37">
        <f t="shared" si="377"/>
        <v>0.72259776536312847</v>
      </c>
      <c r="AH150" s="38">
        <f t="shared" si="377"/>
        <v>23364</v>
      </c>
      <c r="AI150" s="37">
        <f t="shared" si="377"/>
        <v>0.6526256983240224</v>
      </c>
      <c r="AJ150" s="37">
        <f t="shared" si="377"/>
        <v>1.8297878777183363E-2</v>
      </c>
      <c r="AK150" s="38">
        <f t="shared" si="377"/>
        <v>19454</v>
      </c>
      <c r="AL150" s="37">
        <f t="shared" si="377"/>
        <v>0.83264851908919701</v>
      </c>
      <c r="AM150" s="7">
        <f t="shared" si="377"/>
        <v>990.78408413111424</v>
      </c>
      <c r="AN150" s="38">
        <f t="shared" si="377"/>
        <v>17703</v>
      </c>
      <c r="AO150" s="37">
        <f t="shared" si="377"/>
        <v>0.90999280353654777</v>
      </c>
      <c r="AP150" s="50">
        <f t="shared" si="377"/>
        <v>5513.0849626528043</v>
      </c>
      <c r="AQ150" s="91">
        <f t="shared" si="369"/>
        <v>0.49449720670391062</v>
      </c>
      <c r="AR150" s="7">
        <f>INDEX(Daggett!$B$7:$M$21, MATCH(AE150,Daggett!$A$7:$A$21,0), MATCH(AC$149,Daggett!$B$6:$M$6,0))</f>
        <v>771.41935483870964</v>
      </c>
      <c r="AS150" s="4">
        <f t="shared" si="360"/>
        <v>0.9075905603783897</v>
      </c>
      <c r="AT150" s="91">
        <f t="shared" si="370"/>
        <v>0.44880099693795067</v>
      </c>
      <c r="AU150" s="104">
        <f t="shared" si="371"/>
        <v>0.92871356970609076</v>
      </c>
      <c r="AV150" s="91">
        <f t="shared" si="372"/>
        <v>0.45924626604767949</v>
      </c>
      <c r="AW150" s="38"/>
      <c r="AX150" s="37"/>
      <c r="AY150" s="38"/>
      <c r="AZ150" s="37"/>
      <c r="BA150" s="37"/>
      <c r="BB150" s="38"/>
      <c r="BC150" s="37"/>
      <c r="BE150" s="7"/>
      <c r="BF150" s="38">
        <v>9</v>
      </c>
      <c r="BG150" s="86">
        <f t="shared" ref="BG150:BQ150" si="378">BG63</f>
        <v>35400</v>
      </c>
      <c r="BH150" s="37">
        <f t="shared" si="378"/>
        <v>0.98882681564245811</v>
      </c>
      <c r="BI150" s="38">
        <f t="shared" si="378"/>
        <v>27841</v>
      </c>
      <c r="BJ150" s="37">
        <f t="shared" si="378"/>
        <v>0.77768156424581003</v>
      </c>
      <c r="BK150" s="37">
        <f t="shared" si="378"/>
        <v>0.14514247113731271</v>
      </c>
      <c r="BL150" s="38">
        <f t="shared" si="378"/>
        <v>26338</v>
      </c>
      <c r="BM150" s="37">
        <f t="shared" si="378"/>
        <v>0.94601487015552599</v>
      </c>
      <c r="BN150" s="7">
        <f t="shared" si="378"/>
        <v>1341.3833251693886</v>
      </c>
      <c r="BO150" s="38">
        <f t="shared" si="378"/>
        <v>23858</v>
      </c>
      <c r="BP150" s="37">
        <f t="shared" si="378"/>
        <v>0.90583947148606581</v>
      </c>
      <c r="BQ150" s="50">
        <f t="shared" si="378"/>
        <v>7429.8808698509074</v>
      </c>
      <c r="BR150" s="91">
        <f t="shared" si="362"/>
        <v>0.66642458100558655</v>
      </c>
      <c r="BS150" s="103">
        <f>INDEX(Daggett!$B$7:$M$21, MATCH(BF150,Daggett!$A$7:$A$21,0), MATCH(BD$149,Daggett!$B$6:$M$6,0))</f>
        <v>771.41935483870964</v>
      </c>
      <c r="BT150" s="4">
        <f t="shared" si="363"/>
        <v>0.9314307859157781</v>
      </c>
      <c r="BU150" s="91">
        <f t="shared" si="374"/>
        <v>0.62072837123962665</v>
      </c>
      <c r="BV150" s="104">
        <f t="shared" si="375"/>
        <v>0.94710438110935213</v>
      </c>
      <c r="BW150" s="91">
        <f t="shared" si="376"/>
        <v>0.6311736403493553</v>
      </c>
      <c r="BX150" s="38"/>
      <c r="BY150" s="37"/>
      <c r="BZ150" s="37"/>
      <c r="CA150" s="38"/>
      <c r="CB150" s="37"/>
      <c r="CC150" s="7"/>
      <c r="CD150" s="41"/>
      <c r="CE150" s="37"/>
    </row>
    <row r="151" spans="2:83">
      <c r="C151" s="69"/>
      <c r="D151" s="38">
        <v>10</v>
      </c>
      <c r="E151" s="86">
        <f t="shared" si="364"/>
        <v>33913</v>
      </c>
      <c r="F151" s="37">
        <f t="shared" si="364"/>
        <v>0.94729050279329607</v>
      </c>
      <c r="G151" s="38">
        <f t="shared" si="364"/>
        <v>29330</v>
      </c>
      <c r="H151" s="37">
        <f t="shared" si="364"/>
        <v>0.81927374301675981</v>
      </c>
      <c r="I151" s="37">
        <f t="shared" si="364"/>
        <v>5.9934692223964525E-2</v>
      </c>
      <c r="J151" s="38">
        <f t="shared" si="364"/>
        <v>27843</v>
      </c>
      <c r="K151" s="37">
        <f t="shared" si="364"/>
        <v>0.94930105693828848</v>
      </c>
      <c r="L151" s="7">
        <f t="shared" si="364"/>
        <v>1418.0323457624454</v>
      </c>
      <c r="M151" s="38">
        <f t="shared" si="364"/>
        <v>25245</v>
      </c>
      <c r="N151" s="37">
        <f t="shared" si="364"/>
        <v>0.90669108932227127</v>
      </c>
      <c r="O151" s="50">
        <f t="shared" si="364"/>
        <v>7861.821718475403</v>
      </c>
      <c r="P151" s="91">
        <f t="shared" si="357"/>
        <v>0.70516759776536309</v>
      </c>
      <c r="Q151" s="7">
        <f>INDEX(Daggett!$B$7:$M$21, MATCH(D151,Daggett!$A$7:$A$21,0), MATCH(B$149,Daggett!$B$6:$M$6,0))</f>
        <v>840.45161290322585</v>
      </c>
      <c r="R151" s="4">
        <f t="shared" si="358"/>
        <v>0.94052072762039807</v>
      </c>
      <c r="S151" s="91">
        <f t="shared" si="365"/>
        <v>0.66322474214460747</v>
      </c>
      <c r="T151" s="104">
        <f>IF(1-$H$7*(($H$5+273)^4-298^4)/(O151*1000)&lt;0,#N/A,1-$H$7*(($H$5+273)^4-298^4)/(O151*1000))</f>
        <v>0.95001054959425324</v>
      </c>
      <c r="U151" s="91">
        <f t="shared" si="367"/>
        <v>0.66991665710913184</v>
      </c>
      <c r="AD151" s="69"/>
      <c r="AE151" s="38">
        <v>10</v>
      </c>
      <c r="AF151" s="86">
        <f t="shared" ref="AF151:AP151" si="379">AF64</f>
        <v>28778</v>
      </c>
      <c r="AG151" s="37">
        <f t="shared" si="379"/>
        <v>0.80385474860335193</v>
      </c>
      <c r="AH151" s="38">
        <f t="shared" si="379"/>
        <v>25811</v>
      </c>
      <c r="AI151" s="37">
        <f t="shared" si="379"/>
        <v>0.72097765363128496</v>
      </c>
      <c r="AJ151" s="37">
        <f t="shared" si="379"/>
        <v>2.5108249961474316E-2</v>
      </c>
      <c r="AK151" s="38">
        <f t="shared" si="379"/>
        <v>22996</v>
      </c>
      <c r="AL151" s="37">
        <f t="shared" si="379"/>
        <v>0.89093797218240289</v>
      </c>
      <c r="AM151" s="7">
        <f t="shared" si="379"/>
        <v>1171.1766628291921</v>
      </c>
      <c r="AN151" s="38">
        <f t="shared" si="379"/>
        <v>20963</v>
      </c>
      <c r="AO151" s="37">
        <f t="shared" si="379"/>
        <v>0.91159332057749176</v>
      </c>
      <c r="AP151" s="50">
        <f t="shared" si="379"/>
        <v>6528.3172384392892</v>
      </c>
      <c r="AQ151" s="91">
        <f t="shared" si="369"/>
        <v>0.58555865921787709</v>
      </c>
      <c r="AR151" s="7">
        <f>INDEX(Daggett!$B$7:$M$21, MATCH(AE151,Daggett!$A$7:$A$21,0), MATCH(AC$149,Daggett!$B$6:$M$6,0))</f>
        <v>840.45161290322585</v>
      </c>
      <c r="AS151" s="4">
        <f t="shared" si="360"/>
        <v>0.92837121446247917</v>
      </c>
      <c r="AT151" s="91">
        <f t="shared" si="370"/>
        <v>0.54361580359712147</v>
      </c>
      <c r="AU151" s="104">
        <f t="shared" si="371"/>
        <v>0.93979947166469135</v>
      </c>
      <c r="AV151" s="91">
        <f t="shared" si="372"/>
        <v>0.55030771856164595</v>
      </c>
      <c r="AW151" s="38"/>
      <c r="AX151" s="37"/>
      <c r="AY151" s="38"/>
      <c r="AZ151" s="37"/>
      <c r="BA151" s="37"/>
      <c r="BB151" s="38"/>
      <c r="BC151" s="37"/>
      <c r="BE151" s="69"/>
      <c r="BF151" s="38">
        <v>10</v>
      </c>
      <c r="BG151" s="86">
        <f t="shared" ref="BG151:BQ151" si="380">BG64</f>
        <v>35229</v>
      </c>
      <c r="BH151" s="37">
        <f t="shared" si="380"/>
        <v>0.98405027932960898</v>
      </c>
      <c r="BI151" s="38">
        <f t="shared" si="380"/>
        <v>29339</v>
      </c>
      <c r="BJ151" s="37">
        <f t="shared" si="380"/>
        <v>0.81952513966480445</v>
      </c>
      <c r="BK151" s="37">
        <f t="shared" si="380"/>
        <v>9.4773698052617261E-2</v>
      </c>
      <c r="BL151" s="38">
        <f t="shared" si="380"/>
        <v>27824</v>
      </c>
      <c r="BM151" s="37">
        <f t="shared" si="380"/>
        <v>0.94836224820205184</v>
      </c>
      <c r="BN151" s="7">
        <f t="shared" si="380"/>
        <v>1417.0646837084466</v>
      </c>
      <c r="BO151" s="38">
        <f t="shared" si="380"/>
        <v>25209</v>
      </c>
      <c r="BP151" s="37">
        <f t="shared" si="380"/>
        <v>0.90601638872915469</v>
      </c>
      <c r="BQ151" s="50">
        <f t="shared" si="380"/>
        <v>7850.6105645096623</v>
      </c>
      <c r="BR151" s="91">
        <f t="shared" si="362"/>
        <v>0.70416201117318433</v>
      </c>
      <c r="BS151" s="103">
        <f>INDEX(Daggett!$B$7:$M$21, MATCH(BF151,Daggett!$A$7:$A$21,0), MATCH(BD$149,Daggett!$B$6:$M$6,0))</f>
        <v>840.45161290322585</v>
      </c>
      <c r="BT151" s="4">
        <f t="shared" si="363"/>
        <v>0.94043578756701773</v>
      </c>
      <c r="BU151" s="91">
        <f t="shared" si="374"/>
        <v>0.66221915555242872</v>
      </c>
      <c r="BV151" s="104">
        <f t="shared" si="375"/>
        <v>0.94993916158938962</v>
      </c>
      <c r="BW151" s="91">
        <f t="shared" si="376"/>
        <v>0.66891107051695309</v>
      </c>
      <c r="BX151" s="38"/>
      <c r="BY151" s="37"/>
      <c r="BZ151" s="37"/>
      <c r="CA151" s="38"/>
      <c r="CB151" s="37"/>
      <c r="CC151" s="7"/>
      <c r="CD151" s="41"/>
      <c r="CE151" s="37"/>
    </row>
    <row r="152" spans="2:83">
      <c r="C152" s="7"/>
      <c r="D152" s="38">
        <v>11</v>
      </c>
      <c r="E152" s="86">
        <f t="shared" si="364"/>
        <v>34779</v>
      </c>
      <c r="F152" s="37">
        <f t="shared" si="364"/>
        <v>0.97148044692737434</v>
      </c>
      <c r="G152" s="38">
        <f t="shared" si="364"/>
        <v>29696</v>
      </c>
      <c r="H152" s="37">
        <f t="shared" si="364"/>
        <v>0.82949720670391058</v>
      </c>
      <c r="I152" s="37">
        <f t="shared" si="364"/>
        <v>7.190371000991358E-2</v>
      </c>
      <c r="J152" s="38">
        <f t="shared" si="364"/>
        <v>28028</v>
      </c>
      <c r="K152" s="37">
        <f t="shared" si="364"/>
        <v>0.94383081896551724</v>
      </c>
      <c r="L152" s="7">
        <f t="shared" si="364"/>
        <v>1427.4543183934857</v>
      </c>
      <c r="M152" s="38">
        <f t="shared" si="364"/>
        <v>25451</v>
      </c>
      <c r="N152" s="37">
        <f t="shared" si="364"/>
        <v>0.90805622948480091</v>
      </c>
      <c r="O152" s="50">
        <f t="shared" si="364"/>
        <v>7925.974432834917</v>
      </c>
      <c r="P152" s="91">
        <f t="shared" si="357"/>
        <v>0.71092178770949721</v>
      </c>
      <c r="Q152" s="7">
        <f>INDEX(Daggett!$B$7:$M$21, MATCH(D152,Daggett!$A$7:$A$21,0), MATCH(B$149,Daggett!$B$6:$M$6,0))</f>
        <v>837.90322580645159</v>
      </c>
      <c r="R152" s="4">
        <f t="shared" si="358"/>
        <v>0.94082271670417306</v>
      </c>
      <c r="S152" s="91">
        <f t="shared" si="365"/>
        <v>0.66885136767703657</v>
      </c>
      <c r="T152" s="104">
        <f t="shared" si="366"/>
        <v>0.9504151634319643</v>
      </c>
      <c r="U152" s="91">
        <f t="shared" si="367"/>
        <v>0.67567084705326608</v>
      </c>
      <c r="AD152" s="7"/>
      <c r="AE152" s="38">
        <v>11</v>
      </c>
      <c r="AF152" s="86">
        <f t="shared" ref="AF152:AP152" si="381">AF65</f>
        <v>31208</v>
      </c>
      <c r="AG152" s="37">
        <f t="shared" si="381"/>
        <v>0.871731843575419</v>
      </c>
      <c r="AH152" s="38">
        <f t="shared" si="381"/>
        <v>27571</v>
      </c>
      <c r="AI152" s="37">
        <f t="shared" si="381"/>
        <v>0.77013966480446927</v>
      </c>
      <c r="AJ152" s="37">
        <f t="shared" si="381"/>
        <v>3.9718076747322306E-2</v>
      </c>
      <c r="AK152" s="38">
        <f t="shared" si="381"/>
        <v>25477</v>
      </c>
      <c r="AL152" s="37">
        <f t="shared" si="381"/>
        <v>0.92405063291139244</v>
      </c>
      <c r="AM152" s="7">
        <f t="shared" si="381"/>
        <v>1297.5329552487096</v>
      </c>
      <c r="AN152" s="38">
        <f t="shared" si="381"/>
        <v>23134</v>
      </c>
      <c r="AO152" s="37">
        <f t="shared" si="381"/>
        <v>0.90803469796286851</v>
      </c>
      <c r="AP152" s="50">
        <f t="shared" si="381"/>
        <v>7204.41210676213</v>
      </c>
      <c r="AQ152" s="91">
        <f t="shared" si="369"/>
        <v>0.64620111731843577</v>
      </c>
      <c r="AR152" s="7">
        <f>INDEX(Daggett!$B$7:$M$21, MATCH(AE152,Daggett!$A$7:$A$21,0), MATCH(AC$149,Daggett!$B$6:$M$6,0))</f>
        <v>837.90322580645159</v>
      </c>
      <c r="AS152" s="4">
        <f t="shared" si="360"/>
        <v>0.934895779495025</v>
      </c>
      <c r="AT152" s="91">
        <f t="shared" si="370"/>
        <v>0.60413069728597513</v>
      </c>
      <c r="AU152" s="104">
        <f t="shared" si="371"/>
        <v>0.94544896362526687</v>
      </c>
      <c r="AV152" s="91">
        <f t="shared" si="372"/>
        <v>0.61095017666220464</v>
      </c>
      <c r="AW152" s="38"/>
      <c r="AX152" s="37"/>
      <c r="AY152" s="38"/>
      <c r="AZ152" s="37"/>
      <c r="BA152" s="37"/>
      <c r="BB152" s="38"/>
      <c r="BC152" s="37"/>
      <c r="BE152" s="7"/>
      <c r="BF152" s="38">
        <v>11</v>
      </c>
      <c r="BG152" s="86">
        <f t="shared" ref="BG152:BQ152" si="382">BG65</f>
        <v>34462</v>
      </c>
      <c r="BH152" s="37">
        <f t="shared" si="382"/>
        <v>0.96262569832402234</v>
      </c>
      <c r="BI152" s="38">
        <f t="shared" si="382"/>
        <v>29484</v>
      </c>
      <c r="BJ152" s="37">
        <f t="shared" si="382"/>
        <v>0.82357541899441344</v>
      </c>
      <c r="BK152" s="37">
        <f t="shared" si="382"/>
        <v>7.0053215514000344E-2</v>
      </c>
      <c r="BL152" s="38">
        <f t="shared" si="382"/>
        <v>27892</v>
      </c>
      <c r="BM152" s="37">
        <f t="shared" si="382"/>
        <v>0.94600461267127933</v>
      </c>
      <c r="BN152" s="7">
        <f t="shared" si="382"/>
        <v>1420.5278952701262</v>
      </c>
      <c r="BO152" s="38">
        <f t="shared" si="382"/>
        <v>25366</v>
      </c>
      <c r="BP152" s="37">
        <f t="shared" si="382"/>
        <v>0.90943639753334293</v>
      </c>
      <c r="BQ152" s="50">
        <f t="shared" si="382"/>
        <v>7899.50365263803</v>
      </c>
      <c r="BR152" s="91">
        <f t="shared" si="362"/>
        <v>0.70854748603351958</v>
      </c>
      <c r="BS152" s="103">
        <f>INDEX(Daggett!$B$7:$M$21, MATCH(BF152,Daggett!$A$7:$A$21,0), MATCH(BD$149,Daggett!$B$6:$M$6,0))</f>
        <v>837.90322580645159</v>
      </c>
      <c r="BT152" s="4">
        <f t="shared" si="363"/>
        <v>0.94062441704793454</v>
      </c>
      <c r="BU152" s="91">
        <f t="shared" si="374"/>
        <v>0.66647706600105894</v>
      </c>
      <c r="BV152" s="104">
        <f t="shared" si="375"/>
        <v>0.95024900751032582</v>
      </c>
      <c r="BW152" s="91">
        <f t="shared" si="376"/>
        <v>0.67329654537728845</v>
      </c>
      <c r="BX152" s="38"/>
      <c r="BY152" s="37"/>
      <c r="BZ152" s="37"/>
      <c r="CA152" s="38"/>
      <c r="CB152" s="37"/>
      <c r="CC152" s="7"/>
      <c r="CD152" s="41"/>
      <c r="CE152" s="37"/>
    </row>
    <row r="153" spans="2:83">
      <c r="C153" s="7"/>
      <c r="D153" s="38">
        <v>12</v>
      </c>
      <c r="E153" s="86">
        <f t="shared" si="364"/>
        <v>35070</v>
      </c>
      <c r="F153" s="37">
        <f t="shared" si="364"/>
        <v>0.97960893854748599</v>
      </c>
      <c r="G153" s="38">
        <f t="shared" si="364"/>
        <v>29622</v>
      </c>
      <c r="H153" s="37">
        <f t="shared" si="364"/>
        <v>0.82743016759776533</v>
      </c>
      <c r="I153" s="37">
        <f t="shared" si="364"/>
        <v>8.1898315170900515E-2</v>
      </c>
      <c r="J153" s="38">
        <f t="shared" si="364"/>
        <v>28146</v>
      </c>
      <c r="K153" s="37">
        <f t="shared" si="364"/>
        <v>0.95017216933360338</v>
      </c>
      <c r="L153" s="7">
        <f t="shared" si="364"/>
        <v>1433.4640090446355</v>
      </c>
      <c r="M153" s="38">
        <f t="shared" si="364"/>
        <v>25580</v>
      </c>
      <c r="N153" s="37">
        <f t="shared" si="364"/>
        <v>0.90883251616570737</v>
      </c>
      <c r="O153" s="50">
        <f t="shared" si="364"/>
        <v>7966.1477345454859</v>
      </c>
      <c r="P153" s="91">
        <f t="shared" si="357"/>
        <v>0.71452513966480447</v>
      </c>
      <c r="Q153" s="7">
        <f>INDEX(Daggett!$B$7:$M$21, MATCH(D153,Daggett!$A$7:$A$21,0), MATCH(B$149,Daggett!$B$6:$M$6,0))</f>
        <v>845.41935483870964</v>
      </c>
      <c r="R153" s="4">
        <f t="shared" si="358"/>
        <v>0.94164460532095351</v>
      </c>
      <c r="S153" s="91">
        <f t="shared" si="365"/>
        <v>0.67282874313156393</v>
      </c>
      <c r="T153" s="104">
        <f t="shared" si="366"/>
        <v>0.95066521987908226</v>
      </c>
      <c r="U153" s="91">
        <f t="shared" si="367"/>
        <v>0.67927419900857333</v>
      </c>
      <c r="AD153" s="7"/>
      <c r="AE153" s="38">
        <v>12</v>
      </c>
      <c r="AF153" s="86">
        <f t="shared" ref="AF153:AP153" si="383">AF66</f>
        <v>33114</v>
      </c>
      <c r="AG153" s="37">
        <f t="shared" si="383"/>
        <v>0.92497206703910617</v>
      </c>
      <c r="AH153" s="38">
        <f t="shared" si="383"/>
        <v>28810</v>
      </c>
      <c r="AI153" s="37">
        <f t="shared" si="383"/>
        <v>0.80474860335195531</v>
      </c>
      <c r="AJ153" s="37">
        <f t="shared" si="383"/>
        <v>5.4320909847667243E-2</v>
      </c>
      <c r="AK153" s="38">
        <f t="shared" si="383"/>
        <v>27084</v>
      </c>
      <c r="AL153" s="37">
        <f t="shared" si="383"/>
        <v>0.94009024644220762</v>
      </c>
      <c r="AM153" s="7">
        <f t="shared" si="383"/>
        <v>1379.3767931842858</v>
      </c>
      <c r="AN153" s="38">
        <f t="shared" si="383"/>
        <v>24624</v>
      </c>
      <c r="AO153" s="37">
        <f t="shared" si="383"/>
        <v>0.90917146654851577</v>
      </c>
      <c r="AP153" s="50">
        <f t="shared" si="383"/>
        <v>7668.4293125663817</v>
      </c>
      <c r="AQ153" s="91">
        <f t="shared" si="369"/>
        <v>0.68782122905027931</v>
      </c>
      <c r="AR153" s="7">
        <f>INDEX(Daggett!$B$7:$M$21, MATCH(AE153,Daggett!$A$7:$A$21,0), MATCH(AC$149,Daggett!$B$6:$M$6,0))</f>
        <v>845.41935483870964</v>
      </c>
      <c r="AS153" s="4">
        <f t="shared" si="360"/>
        <v>0.93937902063474621</v>
      </c>
      <c r="AT153" s="91">
        <f t="shared" si="370"/>
        <v>0.64612483251703878</v>
      </c>
      <c r="AU153" s="104">
        <f t="shared" si="371"/>
        <v>0.94874985073533646</v>
      </c>
      <c r="AV153" s="91">
        <f t="shared" si="372"/>
        <v>0.65257028839404818</v>
      </c>
      <c r="AW153" s="38"/>
      <c r="AX153" s="37"/>
      <c r="AY153" s="38"/>
      <c r="AZ153" s="37"/>
      <c r="BA153" s="37"/>
      <c r="BB153" s="38"/>
      <c r="BC153" s="37"/>
      <c r="BE153" s="7"/>
      <c r="BF153" s="38">
        <v>12</v>
      </c>
      <c r="BG153" s="86">
        <f t="shared" ref="BG153:BQ153" si="384">BG66</f>
        <v>33114</v>
      </c>
      <c r="BH153" s="37">
        <f t="shared" si="384"/>
        <v>0.92497206703910617</v>
      </c>
      <c r="BI153" s="38">
        <f t="shared" si="384"/>
        <v>28810</v>
      </c>
      <c r="BJ153" s="37">
        <f t="shared" si="384"/>
        <v>0.80474860335195531</v>
      </c>
      <c r="BK153" s="37">
        <f t="shared" si="384"/>
        <v>5.4320909847667243E-2</v>
      </c>
      <c r="BL153" s="38">
        <f t="shared" si="384"/>
        <v>27084</v>
      </c>
      <c r="BM153" s="37">
        <f t="shared" si="384"/>
        <v>0.94009024644220762</v>
      </c>
      <c r="BN153" s="7">
        <f t="shared" si="384"/>
        <v>1379.3767931842858</v>
      </c>
      <c r="BO153" s="38">
        <f t="shared" si="384"/>
        <v>24624</v>
      </c>
      <c r="BP153" s="37">
        <f t="shared" si="384"/>
        <v>0.90917146654851577</v>
      </c>
      <c r="BQ153" s="50">
        <f t="shared" si="384"/>
        <v>7668.4293125663817</v>
      </c>
      <c r="BR153" s="91">
        <f t="shared" si="362"/>
        <v>0.68782122905027931</v>
      </c>
      <c r="BS153" s="103">
        <f>INDEX(Daggett!$B$7:$M$21, MATCH(BF153,Daggett!$A$7:$A$21,0), MATCH(BD$149,Daggett!$B$6:$M$6,0))</f>
        <v>845.41935483870964</v>
      </c>
      <c r="BT153" s="4">
        <f t="shared" si="363"/>
        <v>0.93937902063474621</v>
      </c>
      <c r="BU153" s="91">
        <f t="shared" si="374"/>
        <v>0.64612483251703878</v>
      </c>
      <c r="BV153" s="104">
        <f t="shared" si="375"/>
        <v>0.94874985073533646</v>
      </c>
      <c r="BW153" s="91">
        <f t="shared" si="376"/>
        <v>0.65257028839404818</v>
      </c>
      <c r="BX153" s="38"/>
      <c r="BY153" s="37"/>
      <c r="BZ153" s="37"/>
      <c r="CA153" s="38"/>
      <c r="CB153" s="37"/>
      <c r="CC153" s="7"/>
      <c r="CD153" s="41"/>
      <c r="CE153" s="37"/>
    </row>
    <row r="154" spans="2:83">
      <c r="D154" s="38">
        <v>13</v>
      </c>
      <c r="E154" s="86">
        <f t="shared" si="364"/>
        <v>34779</v>
      </c>
      <c r="F154" s="37">
        <f t="shared" si="364"/>
        <v>0.97148044692737434</v>
      </c>
      <c r="G154" s="38">
        <f t="shared" si="364"/>
        <v>29696</v>
      </c>
      <c r="H154" s="37">
        <f t="shared" si="364"/>
        <v>0.82949720670391058</v>
      </c>
      <c r="I154" s="37">
        <f t="shared" si="364"/>
        <v>7.190371000991358E-2</v>
      </c>
      <c r="J154" s="38">
        <f t="shared" si="364"/>
        <v>28028</v>
      </c>
      <c r="K154" s="37">
        <f t="shared" si="364"/>
        <v>0.94383081896551724</v>
      </c>
      <c r="L154" s="7">
        <f t="shared" si="364"/>
        <v>1427.4543183934857</v>
      </c>
      <c r="M154" s="38">
        <f t="shared" si="364"/>
        <v>25451</v>
      </c>
      <c r="N154" s="37">
        <f t="shared" si="364"/>
        <v>0.90805622948480091</v>
      </c>
      <c r="O154" s="50">
        <f t="shared" si="364"/>
        <v>7925.974432834917</v>
      </c>
      <c r="P154" s="91">
        <f>P152</f>
        <v>0.71092178770949721</v>
      </c>
      <c r="Q154" s="7">
        <f>INDEX(Daggett!$B$7:$M$21, MATCH(D154,Daggett!$A$7:$A$21,0), MATCH(B$149,Daggett!$B$6:$M$6,0))</f>
        <v>810.29032258064512</v>
      </c>
      <c r="R154" s="4">
        <f t="shared" si="358"/>
        <v>0.93880608568776203</v>
      </c>
      <c r="S154" s="91">
        <f t="shared" si="365"/>
        <v>0.66741770074969919</v>
      </c>
      <c r="T154" s="104">
        <f t="shared" si="366"/>
        <v>0.9504151634319643</v>
      </c>
      <c r="U154" s="91">
        <f t="shared" si="367"/>
        <v>0.67567084705326608</v>
      </c>
      <c r="AE154" s="38">
        <v>13</v>
      </c>
      <c r="AF154" s="86">
        <f t="shared" ref="AF154:AP154" si="385">AF67</f>
        <v>34462</v>
      </c>
      <c r="AG154" s="37">
        <f t="shared" si="385"/>
        <v>0.96262569832402234</v>
      </c>
      <c r="AH154" s="38">
        <f t="shared" si="385"/>
        <v>29484</v>
      </c>
      <c r="AI154" s="37">
        <f t="shared" si="385"/>
        <v>0.82357541899441344</v>
      </c>
      <c r="AJ154" s="37">
        <f t="shared" si="385"/>
        <v>7.0053215514000344E-2</v>
      </c>
      <c r="AK154" s="38">
        <f t="shared" si="385"/>
        <v>27892</v>
      </c>
      <c r="AL154" s="37">
        <f t="shared" si="385"/>
        <v>0.94600461267127933</v>
      </c>
      <c r="AM154" s="7">
        <f t="shared" si="385"/>
        <v>1420.5278952701262</v>
      </c>
      <c r="AN154" s="38">
        <f t="shared" si="385"/>
        <v>25366</v>
      </c>
      <c r="AO154" s="37">
        <f t="shared" si="385"/>
        <v>0.90943639753334293</v>
      </c>
      <c r="AP154" s="50">
        <f t="shared" si="385"/>
        <v>7899.50365263803</v>
      </c>
      <c r="AQ154" s="91">
        <f t="shared" si="369"/>
        <v>0.70854748603351958</v>
      </c>
      <c r="AR154" s="7">
        <f>INDEX(Daggett!$B$7:$M$21, MATCH(AE154,Daggett!$A$7:$A$21,0), MATCH(AC$149,Daggett!$B$6:$M$6,0))</f>
        <v>810.29032258064512</v>
      </c>
      <c r="AS154" s="4">
        <f t="shared" si="360"/>
        <v>0.93860102841753645</v>
      </c>
      <c r="AT154" s="91">
        <f t="shared" si="370"/>
        <v>0.66504339907372156</v>
      </c>
      <c r="AU154" s="104">
        <f t="shared" si="371"/>
        <v>0.95024900751032582</v>
      </c>
      <c r="AV154" s="91">
        <f t="shared" si="372"/>
        <v>0.67329654537728845</v>
      </c>
      <c r="AW154" s="38"/>
      <c r="AX154" s="37"/>
      <c r="AY154" s="38"/>
      <c r="AZ154" s="37"/>
      <c r="BA154" s="37"/>
      <c r="BB154" s="38"/>
      <c r="BC154" s="37"/>
      <c r="BF154" s="38">
        <v>13</v>
      </c>
      <c r="BG154" s="86">
        <f t="shared" ref="BG154:BQ154" si="386">BG67</f>
        <v>31208</v>
      </c>
      <c r="BH154" s="37">
        <f t="shared" si="386"/>
        <v>0.871731843575419</v>
      </c>
      <c r="BI154" s="38">
        <f t="shared" si="386"/>
        <v>27571</v>
      </c>
      <c r="BJ154" s="37">
        <f t="shared" si="386"/>
        <v>0.77013966480446927</v>
      </c>
      <c r="BK154" s="37">
        <f t="shared" si="386"/>
        <v>3.9718076747322306E-2</v>
      </c>
      <c r="BL154" s="38">
        <f t="shared" si="386"/>
        <v>25477</v>
      </c>
      <c r="BM154" s="37">
        <f t="shared" si="386"/>
        <v>0.92405063291139244</v>
      </c>
      <c r="BN154" s="7">
        <f t="shared" si="386"/>
        <v>1297.5329552487096</v>
      </c>
      <c r="BO154" s="38">
        <f t="shared" si="386"/>
        <v>23134</v>
      </c>
      <c r="BP154" s="37">
        <f t="shared" si="386"/>
        <v>0.90803469796286851</v>
      </c>
      <c r="BQ154" s="50">
        <f t="shared" si="386"/>
        <v>7204.41210676213</v>
      </c>
      <c r="BR154" s="91">
        <f t="shared" si="362"/>
        <v>0.64620111731843577</v>
      </c>
      <c r="BS154" s="103">
        <f>INDEX(Daggett!$B$7:$M$21, MATCH(BF154,Daggett!$A$7:$A$21,0), MATCH(BD$149,Daggett!$B$6:$M$6,0))</f>
        <v>810.29032258064512</v>
      </c>
      <c r="BT154" s="4">
        <f t="shared" si="363"/>
        <v>0.93267717155871144</v>
      </c>
      <c r="BU154" s="91">
        <f t="shared" si="374"/>
        <v>0.60269703035863775</v>
      </c>
      <c r="BV154" s="104">
        <f t="shared" si="375"/>
        <v>0.94544896362526687</v>
      </c>
      <c r="BW154" s="91">
        <f t="shared" si="376"/>
        <v>0.61095017666220464</v>
      </c>
      <c r="BX154" s="38"/>
      <c r="BY154" s="37"/>
      <c r="BZ154" s="37"/>
      <c r="CA154" s="38"/>
      <c r="CB154" s="37"/>
      <c r="CC154" s="7"/>
      <c r="CD154" s="41"/>
      <c r="CE154" s="37"/>
    </row>
    <row r="155" spans="2:83">
      <c r="D155" s="38">
        <v>14</v>
      </c>
      <c r="E155" s="86">
        <f t="shared" si="364"/>
        <v>33913</v>
      </c>
      <c r="F155" s="37">
        <f t="shared" si="364"/>
        <v>0.94729050279329607</v>
      </c>
      <c r="G155" s="38">
        <f t="shared" si="364"/>
        <v>29330</v>
      </c>
      <c r="H155" s="37">
        <f t="shared" si="364"/>
        <v>0.81927374301675981</v>
      </c>
      <c r="I155" s="37">
        <f t="shared" si="364"/>
        <v>5.9934692223964525E-2</v>
      </c>
      <c r="J155" s="38">
        <f t="shared" si="364"/>
        <v>27843</v>
      </c>
      <c r="K155" s="37">
        <f t="shared" si="364"/>
        <v>0.94930105693828848</v>
      </c>
      <c r="L155" s="7">
        <f t="shared" si="364"/>
        <v>1418.0323457624454</v>
      </c>
      <c r="M155" s="38">
        <f t="shared" si="364"/>
        <v>25245</v>
      </c>
      <c r="N155" s="37">
        <f t="shared" si="364"/>
        <v>0.90669108932227127</v>
      </c>
      <c r="O155" s="50">
        <f t="shared" si="364"/>
        <v>7861.821718475403</v>
      </c>
      <c r="P155" s="91">
        <f>P151</f>
        <v>0.70516759776536309</v>
      </c>
      <c r="Q155" s="7">
        <f>INDEX(Daggett!$B$7:$M$21, MATCH(D155,Daggett!$A$7:$A$21,0), MATCH(B$149,Daggett!$B$6:$M$6,0))</f>
        <v>771.32258064516134</v>
      </c>
      <c r="R155" s="4">
        <f t="shared" si="358"/>
        <v>0.93518995597933385</v>
      </c>
      <c r="S155" s="91">
        <f t="shared" si="365"/>
        <v>0.6594656547122425</v>
      </c>
      <c r="T155" s="104">
        <f t="shared" si="366"/>
        <v>0.95001054959425324</v>
      </c>
      <c r="U155" s="91">
        <f t="shared" si="367"/>
        <v>0.66991665710913184</v>
      </c>
      <c r="AE155" s="38">
        <v>14</v>
      </c>
      <c r="AF155" s="86">
        <f t="shared" ref="AF155:AP155" si="387">AF68</f>
        <v>35229</v>
      </c>
      <c r="AG155" s="37">
        <f t="shared" si="387"/>
        <v>0.98405027932960898</v>
      </c>
      <c r="AH155" s="38">
        <f t="shared" si="387"/>
        <v>29339</v>
      </c>
      <c r="AI155" s="37">
        <f t="shared" si="387"/>
        <v>0.81952513966480445</v>
      </c>
      <c r="AJ155" s="37">
        <f t="shared" si="387"/>
        <v>9.4773698052617261E-2</v>
      </c>
      <c r="AK155" s="38">
        <f t="shared" si="387"/>
        <v>27824</v>
      </c>
      <c r="AL155" s="37">
        <f t="shared" si="387"/>
        <v>0.94836224820205184</v>
      </c>
      <c r="AM155" s="7">
        <f t="shared" si="387"/>
        <v>1417.0646837084466</v>
      </c>
      <c r="AN155" s="38">
        <f t="shared" si="387"/>
        <v>25209</v>
      </c>
      <c r="AO155" s="37">
        <f t="shared" si="387"/>
        <v>0.90601638872915469</v>
      </c>
      <c r="AP155" s="50">
        <f t="shared" si="387"/>
        <v>7850.6105645096623</v>
      </c>
      <c r="AQ155" s="91">
        <f t="shared" si="369"/>
        <v>0.70416201117318433</v>
      </c>
      <c r="AR155" s="7">
        <f>INDEX(Daggett!$B$7:$M$21, MATCH(AE155,Daggett!$A$7:$A$21,0), MATCH(AC$149,Daggett!$B$6:$M$6,0))</f>
        <v>771.32258064516134</v>
      </c>
      <c r="AS155" s="4">
        <f t="shared" si="360"/>
        <v>0.93509740325670521</v>
      </c>
      <c r="AT155" s="91">
        <f t="shared" si="370"/>
        <v>0.65846006812006375</v>
      </c>
      <c r="AU155" s="104">
        <f t="shared" si="371"/>
        <v>0.94993916158938962</v>
      </c>
      <c r="AV155" s="91">
        <f t="shared" si="372"/>
        <v>0.66891107051695309</v>
      </c>
      <c r="AW155" s="38"/>
      <c r="AX155" s="37"/>
      <c r="AY155" s="38"/>
      <c r="AZ155" s="37"/>
      <c r="BA155" s="37"/>
      <c r="BB155" s="38"/>
      <c r="BC155" s="37"/>
      <c r="BF155" s="38">
        <v>14</v>
      </c>
      <c r="BG155" s="86">
        <f t="shared" ref="BG155:BQ155" si="388">BG68</f>
        <v>28778</v>
      </c>
      <c r="BH155" s="37">
        <f t="shared" si="388"/>
        <v>0.80385474860335193</v>
      </c>
      <c r="BI155" s="38">
        <f t="shared" si="388"/>
        <v>25811</v>
      </c>
      <c r="BJ155" s="37">
        <f t="shared" si="388"/>
        <v>0.72097765363128496</v>
      </c>
      <c r="BK155" s="37">
        <f t="shared" si="388"/>
        <v>2.5108249961474316E-2</v>
      </c>
      <c r="BL155" s="38">
        <f t="shared" si="388"/>
        <v>22996</v>
      </c>
      <c r="BM155" s="37">
        <f t="shared" si="388"/>
        <v>0.89093797218240289</v>
      </c>
      <c r="BN155" s="7">
        <f t="shared" si="388"/>
        <v>1171.1766628291921</v>
      </c>
      <c r="BO155" s="38">
        <f t="shared" si="388"/>
        <v>20963</v>
      </c>
      <c r="BP155" s="37">
        <f t="shared" si="388"/>
        <v>0.91159332057749176</v>
      </c>
      <c r="BQ155" s="50">
        <f t="shared" si="388"/>
        <v>6528.3172384392892</v>
      </c>
      <c r="BR155" s="91">
        <f t="shared" si="362"/>
        <v>0.58555865921787709</v>
      </c>
      <c r="BS155" s="103">
        <f>INDEX(Daggett!$B$7:$M$21, MATCH(BF155,Daggett!$A$7:$A$21,0), MATCH(BD$149,Daggett!$B$6:$M$6,0))</f>
        <v>771.32258064516134</v>
      </c>
      <c r="BT155" s="4">
        <f t="shared" si="363"/>
        <v>0.92195155458180045</v>
      </c>
      <c r="BU155" s="91">
        <f t="shared" si="374"/>
        <v>0.5398567161647565</v>
      </c>
      <c r="BV155" s="104">
        <f t="shared" si="375"/>
        <v>0.93979947166469135</v>
      </c>
      <c r="BW155" s="91">
        <f t="shared" si="376"/>
        <v>0.55030771856164595</v>
      </c>
      <c r="BX155" s="38"/>
      <c r="BY155" s="37"/>
      <c r="BZ155" s="37"/>
      <c r="CA155" s="38"/>
      <c r="CB155" s="37"/>
      <c r="CC155" s="7"/>
      <c r="CD155" s="41"/>
      <c r="CE155" s="37"/>
    </row>
    <row r="156" spans="2:83">
      <c r="C156" s="7"/>
      <c r="D156" s="38">
        <v>15</v>
      </c>
      <c r="E156" s="86">
        <f t="shared" si="364"/>
        <v>32487</v>
      </c>
      <c r="F156" s="37">
        <f t="shared" si="364"/>
        <v>0.90745810055865916</v>
      </c>
      <c r="G156" s="38">
        <f t="shared" si="364"/>
        <v>27543</v>
      </c>
      <c r="H156" s="37">
        <f t="shared" si="364"/>
        <v>0.76935754189944139</v>
      </c>
      <c r="I156" s="37">
        <f t="shared" si="364"/>
        <v>7.8460815764432867E-2</v>
      </c>
      <c r="J156" s="38">
        <f t="shared" si="364"/>
        <v>25701</v>
      </c>
      <c r="K156" s="37">
        <f t="shared" si="364"/>
        <v>0.93312275351268925</v>
      </c>
      <c r="L156" s="7">
        <f t="shared" si="364"/>
        <v>1308.9411815695366</v>
      </c>
      <c r="M156" s="38">
        <f t="shared" si="364"/>
        <v>23475</v>
      </c>
      <c r="N156" s="37">
        <f t="shared" si="364"/>
        <v>0.91338858410178592</v>
      </c>
      <c r="O156" s="50">
        <f t="shared" si="364"/>
        <v>7310.6066484931698</v>
      </c>
      <c r="P156" s="91">
        <f>P150</f>
        <v>0.65572625698324027</v>
      </c>
      <c r="Q156" s="7">
        <f>INDEX(Daggett!$B$7:$M$21, MATCH(D156,Daggett!$A$7:$A$21,0), MATCH(B$149,Daggett!$B$6:$M$6,0))</f>
        <v>722.09677419354841</v>
      </c>
      <c r="R156" s="4">
        <f t="shared" si="358"/>
        <v>0.92555205209961244</v>
      </c>
      <c r="S156" s="91">
        <f t="shared" si="365"/>
        <v>0.60690878276643589</v>
      </c>
      <c r="T156" s="104">
        <f t="shared" si="366"/>
        <v>0.9462413769758008</v>
      </c>
      <c r="U156" s="91">
        <f t="shared" si="367"/>
        <v>0.62047531632700914</v>
      </c>
      <c r="AD156" s="7"/>
      <c r="AE156" s="38">
        <v>15</v>
      </c>
      <c r="AF156" s="86">
        <f t="shared" ref="AF156:AP156" si="389">AF69</f>
        <v>35400</v>
      </c>
      <c r="AG156" s="37">
        <f t="shared" si="389"/>
        <v>0.98882681564245811</v>
      </c>
      <c r="AH156" s="38">
        <f t="shared" si="389"/>
        <v>27841</v>
      </c>
      <c r="AI156" s="37">
        <f t="shared" si="389"/>
        <v>0.77768156424581003</v>
      </c>
      <c r="AJ156" s="37">
        <f t="shared" si="389"/>
        <v>0.14514247113731271</v>
      </c>
      <c r="AK156" s="38">
        <f t="shared" si="389"/>
        <v>26338</v>
      </c>
      <c r="AL156" s="37">
        <f t="shared" si="389"/>
        <v>0.94601487015552599</v>
      </c>
      <c r="AM156" s="7">
        <f t="shared" si="389"/>
        <v>1341.3833251693886</v>
      </c>
      <c r="AN156" s="38">
        <f t="shared" si="389"/>
        <v>23858</v>
      </c>
      <c r="AO156" s="37">
        <f t="shared" si="389"/>
        <v>0.90583947148606581</v>
      </c>
      <c r="AP156" s="50">
        <f t="shared" si="389"/>
        <v>7429.8808698509074</v>
      </c>
      <c r="AQ156" s="91">
        <f t="shared" si="369"/>
        <v>0.66642458100558655</v>
      </c>
      <c r="AR156" s="7">
        <f>INDEX(Daggett!$B$7:$M$21, MATCH(AE156,Daggett!$A$7:$A$21,0), MATCH(AC$149,Daggett!$B$6:$M$6,0))</f>
        <v>722.09677419354841</v>
      </c>
      <c r="AS156" s="4">
        <f t="shared" si="360"/>
        <v>0.92674718849184357</v>
      </c>
      <c r="AT156" s="91">
        <f t="shared" si="370"/>
        <v>0.61760710678878217</v>
      </c>
      <c r="AU156" s="104">
        <f t="shared" si="371"/>
        <v>0.94710438110935213</v>
      </c>
      <c r="AV156" s="91">
        <f t="shared" si="372"/>
        <v>0.6311736403493553</v>
      </c>
      <c r="AW156" s="38"/>
      <c r="AX156" s="37"/>
      <c r="AY156" s="38"/>
      <c r="AZ156" s="37"/>
      <c r="BA156" s="37"/>
      <c r="BB156" s="38"/>
      <c r="BC156" s="37"/>
      <c r="BE156" s="7"/>
      <c r="BF156" s="38">
        <v>15</v>
      </c>
      <c r="BG156" s="86">
        <f t="shared" ref="BG156:BQ156" si="390">BG69</f>
        <v>25869</v>
      </c>
      <c r="BH156" s="37">
        <f t="shared" si="390"/>
        <v>0.72259776536312847</v>
      </c>
      <c r="BI156" s="38">
        <f t="shared" si="390"/>
        <v>23364</v>
      </c>
      <c r="BJ156" s="37">
        <f t="shared" si="390"/>
        <v>0.6526256983240224</v>
      </c>
      <c r="BK156" s="37">
        <f t="shared" si="390"/>
        <v>1.8297878777183363E-2</v>
      </c>
      <c r="BL156" s="38">
        <f t="shared" si="390"/>
        <v>19454</v>
      </c>
      <c r="BM156" s="37">
        <f t="shared" si="390"/>
        <v>0.83264851908919701</v>
      </c>
      <c r="BN156" s="7">
        <f t="shared" si="390"/>
        <v>990.78408413111424</v>
      </c>
      <c r="BO156" s="38">
        <f t="shared" si="390"/>
        <v>17703</v>
      </c>
      <c r="BP156" s="37">
        <f t="shared" si="390"/>
        <v>0.90999280353654777</v>
      </c>
      <c r="BQ156" s="50">
        <f t="shared" si="390"/>
        <v>5513.0849626528043</v>
      </c>
      <c r="BR156" s="91">
        <f t="shared" si="362"/>
        <v>0.49449720670391062</v>
      </c>
      <c r="BS156" s="103">
        <f>INDEX(Daggett!$B$7:$M$21, MATCH(BF156,Daggett!$A$7:$A$21,0), MATCH(BD$149,Daggett!$B$6:$M$6,0))</f>
        <v>722.09677419354841</v>
      </c>
      <c r="BT156" s="4">
        <f t="shared" si="363"/>
        <v>0.90127856425681541</v>
      </c>
      <c r="BU156" s="91">
        <f t="shared" si="374"/>
        <v>0.44567973248710624</v>
      </c>
      <c r="BV156" s="104">
        <f t="shared" si="375"/>
        <v>0.92871356970609076</v>
      </c>
      <c r="BW156" s="91">
        <f t="shared" si="376"/>
        <v>0.45924626604767949</v>
      </c>
      <c r="BX156" s="38"/>
      <c r="BY156" s="37"/>
      <c r="BZ156" s="37"/>
      <c r="CA156" s="38"/>
      <c r="CB156" s="37"/>
      <c r="CC156" s="7"/>
      <c r="CD156" s="41"/>
      <c r="CE156" s="37"/>
    </row>
    <row r="157" spans="2:83">
      <c r="C157" s="7" t="s">
        <v>162</v>
      </c>
      <c r="D157" s="38">
        <v>16</v>
      </c>
      <c r="E157" s="86">
        <f t="shared" si="364"/>
        <v>30529</v>
      </c>
      <c r="F157" s="37">
        <f t="shared" si="364"/>
        <v>0.8527653631284916</v>
      </c>
      <c r="G157" s="38">
        <f t="shared" si="364"/>
        <v>22633</v>
      </c>
      <c r="H157" s="37">
        <f t="shared" si="364"/>
        <v>0.63220670391061451</v>
      </c>
      <c r="I157" s="37">
        <f t="shared" si="364"/>
        <v>0.19417318102388748</v>
      </c>
      <c r="J157" s="38">
        <f t="shared" si="364"/>
        <v>20702</v>
      </c>
      <c r="K157" s="37">
        <f t="shared" si="364"/>
        <v>0.91468210135642647</v>
      </c>
      <c r="L157" s="7">
        <f t="shared" si="364"/>
        <v>1054.3442022042934</v>
      </c>
      <c r="M157" s="38">
        <f t="shared" si="364"/>
        <v>18784</v>
      </c>
      <c r="N157" s="37">
        <f t="shared" si="364"/>
        <v>0.90735194667181918</v>
      </c>
      <c r="O157" s="50">
        <f t="shared" si="364"/>
        <v>5849.7310025685074</v>
      </c>
      <c r="P157" s="91">
        <f>P149</f>
        <v>0.52469273743016764</v>
      </c>
      <c r="Q157" s="7">
        <f>INDEX(Daggett!$B$7:$M$21, MATCH(D157,Daggett!$A$7:$A$21,0), MATCH(B$149,Daggett!$B$6:$M$6,0))</f>
        <v>586.74193548387098</v>
      </c>
      <c r="R157" s="4">
        <f t="shared" si="358"/>
        <v>0.88549656155006939</v>
      </c>
      <c r="S157" s="91">
        <f t="shared" si="365"/>
        <v>0.46461361486470687</v>
      </c>
      <c r="T157" s="104">
        <f t="shared" si="366"/>
        <v>0.93281603090432941</v>
      </c>
      <c r="U157" s="91">
        <f t="shared" si="367"/>
        <v>0.48944179677393646</v>
      </c>
      <c r="AD157" s="7" t="s">
        <v>162</v>
      </c>
      <c r="AE157" s="38">
        <v>16</v>
      </c>
      <c r="AF157" s="86">
        <f t="shared" ref="AF157:AP157" si="391">AF70</f>
        <v>34973</v>
      </c>
      <c r="AG157" s="37">
        <f t="shared" si="391"/>
        <v>0.9768994413407821</v>
      </c>
      <c r="AH157" s="38">
        <f t="shared" si="391"/>
        <v>23834</v>
      </c>
      <c r="AI157" s="37">
        <f t="shared" si="391"/>
        <v>0.66575418994413404</v>
      </c>
      <c r="AJ157" s="37">
        <f t="shared" si="391"/>
        <v>0.25924222288249688</v>
      </c>
      <c r="AK157" s="38">
        <f t="shared" si="391"/>
        <v>22540</v>
      </c>
      <c r="AL157" s="37">
        <f t="shared" si="391"/>
        <v>0.94570781236888479</v>
      </c>
      <c r="AM157" s="7">
        <f t="shared" si="391"/>
        <v>1147.9527735332226</v>
      </c>
      <c r="AN157" s="38">
        <f t="shared" si="391"/>
        <v>20353</v>
      </c>
      <c r="AO157" s="37">
        <f t="shared" si="391"/>
        <v>0.90297249334516416</v>
      </c>
      <c r="AP157" s="50">
        <f t="shared" si="391"/>
        <v>6338.3504629086892</v>
      </c>
      <c r="AQ157" s="91">
        <f t="shared" si="369"/>
        <v>0.56851955307262569</v>
      </c>
      <c r="AR157" s="7">
        <f>INDEX(Daggett!$B$7:$M$21, MATCH(AE157,Daggett!$A$7:$A$21,0), MATCH(AC$149,Daggett!$B$6:$M$6,0))</f>
        <v>586.74193548387098</v>
      </c>
      <c r="AS157" s="4">
        <f t="shared" si="360"/>
        <v>0.89432355977774791</v>
      </c>
      <c r="AT157" s="91">
        <f t="shared" si="370"/>
        <v>0.50844043050716492</v>
      </c>
      <c r="AU157" s="104">
        <f t="shared" si="371"/>
        <v>0.93799520092895028</v>
      </c>
      <c r="AV157" s="91">
        <f t="shared" si="372"/>
        <v>0.53326861241639456</v>
      </c>
      <c r="AW157" s="38"/>
      <c r="AX157" s="37"/>
      <c r="AY157" s="38"/>
      <c r="AZ157" s="37"/>
      <c r="BA157" s="37"/>
      <c r="BB157" s="38"/>
      <c r="BC157" s="37"/>
      <c r="BE157" s="7" t="s">
        <v>162</v>
      </c>
      <c r="BF157" s="38">
        <v>16</v>
      </c>
      <c r="BG157" s="86">
        <f t="shared" ref="BG157:BQ157" si="392">BG70</f>
        <v>22537</v>
      </c>
      <c r="BH157" s="37">
        <f t="shared" si="392"/>
        <v>0.6295251396648045</v>
      </c>
      <c r="BI157" s="38">
        <f t="shared" si="392"/>
        <v>19691</v>
      </c>
      <c r="BJ157" s="37">
        <f t="shared" si="392"/>
        <v>0.55002793296089381</v>
      </c>
      <c r="BK157" s="37">
        <f t="shared" si="392"/>
        <v>5.0305680899622063E-2</v>
      </c>
      <c r="BL157" s="38">
        <f t="shared" si="392"/>
        <v>14851</v>
      </c>
      <c r="BM157" s="37">
        <f t="shared" si="392"/>
        <v>0.75420242750495148</v>
      </c>
      <c r="BN157" s="7">
        <f t="shared" si="392"/>
        <v>756.355219154476</v>
      </c>
      <c r="BO157" s="38">
        <f t="shared" si="392"/>
        <v>13506</v>
      </c>
      <c r="BP157" s="37">
        <f t="shared" si="392"/>
        <v>0.90943370816780011</v>
      </c>
      <c r="BQ157" s="50">
        <f t="shared" si="392"/>
        <v>4206.0512628135784</v>
      </c>
      <c r="BR157" s="91">
        <f t="shared" si="362"/>
        <v>0.37726256983240225</v>
      </c>
      <c r="BS157" s="103">
        <f>INDEX(Daggett!$B$7:$M$21, MATCH(BF157,Daggett!$A$7:$A$21,0), MATCH(BD$149,Daggett!$B$6:$M$6,0))</f>
        <v>586.74193548387098</v>
      </c>
      <c r="BT157" s="4">
        <f t="shared" si="363"/>
        <v>0.84074984541363129</v>
      </c>
      <c r="BU157" s="91">
        <f t="shared" si="374"/>
        <v>0.31718344726694148</v>
      </c>
      <c r="BV157" s="104">
        <f t="shared" si="375"/>
        <v>0.90656125607188831</v>
      </c>
      <c r="BW157" s="91">
        <f t="shared" si="376"/>
        <v>0.34201162917617106</v>
      </c>
      <c r="BX157" s="38"/>
      <c r="BY157" s="37"/>
      <c r="BZ157" s="37"/>
      <c r="CA157" s="38"/>
      <c r="CB157" s="37"/>
      <c r="CC157" s="7"/>
      <c r="CD157" s="41"/>
      <c r="CE157" s="37"/>
    </row>
    <row r="158" spans="2:83">
      <c r="C158" s="7">
        <f>ROW(D158)-ROW(D148)+1</f>
        <v>11</v>
      </c>
      <c r="D158" s="38">
        <v>17</v>
      </c>
      <c r="E158" s="86">
        <f t="shared" si="364"/>
        <v>28077</v>
      </c>
      <c r="F158" s="37">
        <f t="shared" si="364"/>
        <v>0.78427374301675978</v>
      </c>
      <c r="G158" s="38">
        <f t="shared" si="364"/>
        <v>14217</v>
      </c>
      <c r="H158" s="37">
        <f t="shared" si="364"/>
        <v>0.39712290502793296</v>
      </c>
      <c r="I158" s="37">
        <f t="shared" si="364"/>
        <v>0.44961139475139023</v>
      </c>
      <c r="J158" s="38">
        <f t="shared" si="364"/>
        <v>12199</v>
      </c>
      <c r="K158" s="37">
        <f t="shared" si="364"/>
        <v>0.85805725539846667</v>
      </c>
      <c r="L158" s="7">
        <f t="shared" si="364"/>
        <v>621.28996824897001</v>
      </c>
      <c r="M158" s="38">
        <f t="shared" si="364"/>
        <v>10924</v>
      </c>
      <c r="N158" s="37">
        <f t="shared" si="364"/>
        <v>0.89548323633084681</v>
      </c>
      <c r="O158" s="50">
        <f t="shared" si="364"/>
        <v>3401.9623867152031</v>
      </c>
      <c r="P158" s="91">
        <f>P148</f>
        <v>0.30513966480446925</v>
      </c>
      <c r="Q158" s="7">
        <f>INDEX(Daggett!$B$7:$M$21, MATCH(D158,Daggett!$A$7:$A$21,0), MATCH(B$149,Daggett!$B$6:$M$6,0))</f>
        <v>505.41935483870969</v>
      </c>
      <c r="R158" s="4">
        <f t="shared" si="358"/>
        <v>0.77142950091477669</v>
      </c>
      <c r="S158" s="91">
        <f t="shared" si="365"/>
        <v>0.23539373932941396</v>
      </c>
      <c r="T158" s="104">
        <f t="shared" si="366"/>
        <v>0.88447604581718453</v>
      </c>
      <c r="U158" s="91">
        <f t="shared" si="367"/>
        <v>0.26988872414823806</v>
      </c>
      <c r="AD158" s="7">
        <f>ROW(AE158)-ROW(AE148)+1</f>
        <v>11</v>
      </c>
      <c r="AE158" s="38">
        <v>17</v>
      </c>
      <c r="AF158" s="86">
        <f t="shared" ref="AF158:AP158" si="393">AF71</f>
        <v>33954</v>
      </c>
      <c r="AG158" s="37">
        <f t="shared" si="393"/>
        <v>0.94843575418994408</v>
      </c>
      <c r="AH158" s="38">
        <f t="shared" si="393"/>
        <v>14954</v>
      </c>
      <c r="AI158" s="37">
        <f t="shared" si="393"/>
        <v>0.41770949720670392</v>
      </c>
      <c r="AJ158" s="37">
        <f t="shared" si="393"/>
        <v>0.52128327071664726</v>
      </c>
      <c r="AK158" s="38">
        <f t="shared" si="393"/>
        <v>13475</v>
      </c>
      <c r="AL158" s="37">
        <f t="shared" si="393"/>
        <v>0.90109669653604385</v>
      </c>
      <c r="AM158" s="7">
        <f t="shared" si="393"/>
        <v>686.27611461225263</v>
      </c>
      <c r="AN158" s="38">
        <f t="shared" si="393"/>
        <v>11894</v>
      </c>
      <c r="AO158" s="37">
        <f t="shared" si="393"/>
        <v>0.88267161410018558</v>
      </c>
      <c r="AP158" s="50">
        <f t="shared" si="393"/>
        <v>3704.0407019032064</v>
      </c>
      <c r="AQ158" s="91">
        <f t="shared" si="369"/>
        <v>0.33223463687150839</v>
      </c>
      <c r="AR158" s="7">
        <f>INDEX(Daggett!$B$7:$M$21, MATCH(AE158,Daggett!$A$7:$A$21,0), MATCH(AC$149,Daggett!$B$6:$M$6,0))</f>
        <v>505.41935483870969</v>
      </c>
      <c r="AS158" s="4">
        <f t="shared" si="360"/>
        <v>0.79007027644131667</v>
      </c>
      <c r="AT158" s="91">
        <f t="shared" si="370"/>
        <v>0.26248871139645308</v>
      </c>
      <c r="AU158" s="104">
        <f t="shared" si="371"/>
        <v>0.89389745455750158</v>
      </c>
      <c r="AV158" s="91">
        <f t="shared" si="372"/>
        <v>0.2969836962152772</v>
      </c>
      <c r="AW158" s="38"/>
      <c r="AX158" s="37"/>
      <c r="AY158" s="38"/>
      <c r="AZ158" s="37"/>
      <c r="BA158" s="37"/>
      <c r="BB158" s="38"/>
      <c r="BC158" s="37"/>
      <c r="BE158" s="7">
        <f>ROW(BF158)-ROW(BF148)+1</f>
        <v>11</v>
      </c>
      <c r="BF158" s="38">
        <v>17</v>
      </c>
      <c r="BG158" s="86">
        <f t="shared" ref="BG158:BQ158" si="394">BG71</f>
        <v>18847</v>
      </c>
      <c r="BH158" s="37">
        <f t="shared" si="394"/>
        <v>0.52645251396648041</v>
      </c>
      <c r="BI158" s="38">
        <f t="shared" si="394"/>
        <v>12548</v>
      </c>
      <c r="BJ158" s="37">
        <f t="shared" si="394"/>
        <v>0.35050279329608941</v>
      </c>
      <c r="BK158" s="37">
        <f t="shared" si="394"/>
        <v>0.27632352975101571</v>
      </c>
      <c r="BL158" s="38">
        <f t="shared" si="394"/>
        <v>8203</v>
      </c>
      <c r="BM158" s="37">
        <f t="shared" si="394"/>
        <v>0.65372967803634041</v>
      </c>
      <c r="BN158" s="7">
        <f t="shared" si="394"/>
        <v>417.77535941850158</v>
      </c>
      <c r="BO158" s="38">
        <f t="shared" si="394"/>
        <v>7384</v>
      </c>
      <c r="BP158" s="37">
        <f t="shared" si="394"/>
        <v>0.90015847860538822</v>
      </c>
      <c r="BQ158" s="50">
        <f t="shared" si="394"/>
        <v>2299.5322467507376</v>
      </c>
      <c r="BR158" s="91">
        <f t="shared" si="362"/>
        <v>0.20625698324022346</v>
      </c>
      <c r="BS158" s="103">
        <f>INDEX(Daggett!$B$7:$M$21, MATCH(BF158,Daggett!$A$7:$A$21,0), MATCH(BD$149,Daggett!$B$6:$M$6,0))</f>
        <v>505.41935483870969</v>
      </c>
      <c r="BT158" s="4">
        <f t="shared" si="363"/>
        <v>0.66184938623957479</v>
      </c>
      <c r="BU158" s="91">
        <f t="shared" si="374"/>
        <v>0.13651105776516817</v>
      </c>
      <c r="BV158" s="104">
        <f t="shared" si="375"/>
        <v>0.8290921349548922</v>
      </c>
      <c r="BW158" s="91">
        <f t="shared" si="376"/>
        <v>0.1710060425839923</v>
      </c>
      <c r="BX158" s="38"/>
      <c r="BY158" s="37"/>
      <c r="BZ158" s="37"/>
      <c r="CA158" s="38"/>
      <c r="CB158" s="37"/>
      <c r="CC158" s="7"/>
      <c r="CD158" s="41"/>
      <c r="CE158" s="37"/>
    </row>
    <row r="159" spans="2:83">
      <c r="C159" s="7"/>
      <c r="D159" s="38"/>
      <c r="E159" s="86"/>
      <c r="F159" s="37"/>
      <c r="G159" s="38"/>
      <c r="H159" s="37"/>
      <c r="I159" s="37"/>
      <c r="J159" s="38"/>
      <c r="K159" s="37"/>
      <c r="L159" s="7"/>
      <c r="M159" s="38"/>
      <c r="N159" s="37"/>
      <c r="O159" s="50"/>
      <c r="P159" s="91"/>
      <c r="Q159" s="7"/>
      <c r="R159" s="4"/>
      <c r="S159" s="91"/>
      <c r="T159" s="104"/>
      <c r="U159" s="91"/>
      <c r="AD159" s="7"/>
      <c r="AE159" s="38"/>
      <c r="AF159" s="86"/>
      <c r="AG159" s="37"/>
      <c r="AH159" s="38"/>
      <c r="AI159" s="37"/>
      <c r="AJ159" s="37"/>
      <c r="AK159" s="38"/>
      <c r="AL159" s="37"/>
      <c r="AM159" s="7"/>
      <c r="AN159" s="38"/>
      <c r="AO159" s="37"/>
      <c r="AP159" s="50"/>
      <c r="AQ159" s="91"/>
      <c r="AR159" s="7"/>
      <c r="AS159" s="4"/>
      <c r="AT159" s="91"/>
      <c r="AU159" s="104"/>
      <c r="AV159" s="91"/>
      <c r="AW159" s="38"/>
      <c r="AX159" s="37"/>
      <c r="AY159" s="38"/>
      <c r="AZ159" s="37"/>
      <c r="BA159" s="37"/>
      <c r="BB159" s="38"/>
      <c r="BC159" s="37"/>
      <c r="BE159" s="7"/>
      <c r="BF159" s="38"/>
      <c r="BG159" s="86"/>
      <c r="BH159" s="37"/>
      <c r="BI159" s="38"/>
      <c r="BJ159" s="37"/>
      <c r="BK159" s="37"/>
      <c r="BL159" s="38"/>
      <c r="BM159" s="37"/>
      <c r="BN159" s="7"/>
      <c r="BO159" s="38"/>
      <c r="BP159" s="37"/>
      <c r="BQ159" s="50"/>
      <c r="BR159" s="91"/>
      <c r="BS159" s="103"/>
      <c r="BT159" s="4"/>
      <c r="BU159" s="91"/>
      <c r="BV159" s="104"/>
      <c r="BW159" s="91"/>
      <c r="BX159" s="38"/>
      <c r="BY159" s="37"/>
      <c r="BZ159" s="37"/>
      <c r="CA159" s="38"/>
      <c r="CB159" s="37"/>
      <c r="CC159" s="7"/>
      <c r="CD159" s="41"/>
      <c r="CE159" s="37"/>
    </row>
    <row r="160" spans="2:83">
      <c r="E160" s="87"/>
      <c r="P160" s="88"/>
      <c r="S160" s="88"/>
      <c r="T160" s="87"/>
      <c r="U160" s="88"/>
      <c r="AF160" s="87"/>
      <c r="AQ160" s="88"/>
      <c r="AT160" s="88"/>
      <c r="AU160" s="87"/>
      <c r="AV160" s="88"/>
      <c r="AW160" s="38"/>
      <c r="AX160" s="37"/>
      <c r="AY160" s="38"/>
      <c r="AZ160" s="37"/>
      <c r="BA160" s="37"/>
      <c r="BB160" s="38"/>
      <c r="BC160" s="37"/>
      <c r="BG160" s="87"/>
      <c r="BR160" s="88"/>
      <c r="BS160" s="87"/>
      <c r="BU160" s="88"/>
      <c r="BV160" s="87"/>
      <c r="BW160" s="88"/>
      <c r="BX160" s="38"/>
      <c r="BY160" s="37"/>
      <c r="BZ160" s="37"/>
      <c r="CA160" s="38"/>
      <c r="CB160" s="37"/>
      <c r="CC160" s="7"/>
      <c r="CD160" s="41"/>
      <c r="CE160" s="37"/>
    </row>
    <row r="161" spans="2:83" ht="49.5">
      <c r="B161" s="34"/>
      <c r="C161" s="63" t="s">
        <v>151</v>
      </c>
      <c r="D161" s="63" t="s">
        <v>89</v>
      </c>
      <c r="E161" s="89" t="s">
        <v>152</v>
      </c>
      <c r="F161" s="34" t="s">
        <v>125</v>
      </c>
      <c r="G161" s="63" t="s">
        <v>153</v>
      </c>
      <c r="H161" s="33" t="s">
        <v>154</v>
      </c>
      <c r="I161" s="34" t="s">
        <v>155</v>
      </c>
      <c r="J161" s="85" t="s">
        <v>156</v>
      </c>
      <c r="K161" s="35" t="s">
        <v>157</v>
      </c>
      <c r="L161" s="35" t="s">
        <v>158</v>
      </c>
      <c r="M161" s="85" t="s">
        <v>159</v>
      </c>
      <c r="N161" s="35" t="s">
        <v>72</v>
      </c>
      <c r="O161" s="35" t="s">
        <v>160</v>
      </c>
      <c r="P161" s="100" t="s">
        <v>129</v>
      </c>
      <c r="Q161" s="138" t="s">
        <v>161</v>
      </c>
      <c r="R161" s="67" t="s">
        <v>130</v>
      </c>
      <c r="S161" s="100" t="s">
        <v>131</v>
      </c>
      <c r="T161" s="107" t="s">
        <v>130</v>
      </c>
      <c r="U161" s="100" t="s">
        <v>131</v>
      </c>
      <c r="AC161" s="34"/>
      <c r="AD161" s="63" t="s">
        <v>151</v>
      </c>
      <c r="AE161" s="63" t="s">
        <v>89</v>
      </c>
      <c r="AF161" s="89" t="s">
        <v>152</v>
      </c>
      <c r="AG161" s="34" t="s">
        <v>125</v>
      </c>
      <c r="AH161" s="63" t="s">
        <v>153</v>
      </c>
      <c r="AI161" s="33" t="s">
        <v>154</v>
      </c>
      <c r="AJ161" s="34" t="s">
        <v>155</v>
      </c>
      <c r="AK161" s="85" t="s">
        <v>156</v>
      </c>
      <c r="AL161" s="35" t="s">
        <v>157</v>
      </c>
      <c r="AM161" s="35" t="s">
        <v>158</v>
      </c>
      <c r="AN161" s="85" t="s">
        <v>159</v>
      </c>
      <c r="AO161" s="35" t="s">
        <v>72</v>
      </c>
      <c r="AP161" s="35" t="s">
        <v>160</v>
      </c>
      <c r="AQ161" s="100" t="s">
        <v>129</v>
      </c>
      <c r="AR161" s="138" t="s">
        <v>161</v>
      </c>
      <c r="AS161" s="67" t="s">
        <v>130</v>
      </c>
      <c r="AT161" s="100" t="s">
        <v>131</v>
      </c>
      <c r="AU161" s="107" t="s">
        <v>130</v>
      </c>
      <c r="AV161" s="100" t="s">
        <v>131</v>
      </c>
      <c r="AW161" s="38"/>
      <c r="AX161" s="37"/>
      <c r="AY161" s="38"/>
      <c r="AZ161" s="37"/>
      <c r="BA161" s="37"/>
      <c r="BB161" s="38"/>
      <c r="BC161" s="37"/>
      <c r="BD161" s="34"/>
      <c r="BE161" s="63" t="s">
        <v>151</v>
      </c>
      <c r="BF161" s="63" t="s">
        <v>89</v>
      </c>
      <c r="BG161" s="89" t="s">
        <v>152</v>
      </c>
      <c r="BH161" s="34" t="s">
        <v>125</v>
      </c>
      <c r="BI161" s="63" t="s">
        <v>153</v>
      </c>
      <c r="BJ161" s="33" t="s">
        <v>154</v>
      </c>
      <c r="BK161" s="34" t="s">
        <v>155</v>
      </c>
      <c r="BL161" s="85" t="s">
        <v>156</v>
      </c>
      <c r="BM161" s="35" t="s">
        <v>157</v>
      </c>
      <c r="BN161" s="35" t="s">
        <v>158</v>
      </c>
      <c r="BO161" s="85" t="s">
        <v>159</v>
      </c>
      <c r="BP161" s="35" t="s">
        <v>72</v>
      </c>
      <c r="BQ161" s="35" t="s">
        <v>160</v>
      </c>
      <c r="BR161" s="100" t="s">
        <v>129</v>
      </c>
      <c r="BS161" s="144" t="s">
        <v>161</v>
      </c>
      <c r="BT161" s="67" t="s">
        <v>130</v>
      </c>
      <c r="BU161" s="100" t="s">
        <v>131</v>
      </c>
      <c r="BV161" s="107" t="s">
        <v>130</v>
      </c>
      <c r="BW161" s="100" t="s">
        <v>131</v>
      </c>
      <c r="BX161" s="38"/>
      <c r="BY161" s="37"/>
      <c r="BZ161" s="37"/>
      <c r="CA161" s="38"/>
      <c r="CB161" s="37"/>
      <c r="CC161" s="7"/>
      <c r="CD161" s="41"/>
      <c r="CE161" s="37"/>
    </row>
    <row r="162" spans="2:83">
      <c r="B162" s="2" t="s">
        <v>88</v>
      </c>
      <c r="C162" s="7">
        <v>295</v>
      </c>
      <c r="D162" s="38">
        <v>8</v>
      </c>
      <c r="E162" s="86">
        <f t="shared" ref="E162:E168" si="395">E47</f>
        <v>30994</v>
      </c>
      <c r="F162" s="37">
        <f t="shared" ref="F162:O162" si="396">F47</f>
        <v>0.86575418994413411</v>
      </c>
      <c r="G162" s="38">
        <f t="shared" si="396"/>
        <v>20191</v>
      </c>
      <c r="H162" s="37">
        <f t="shared" si="396"/>
        <v>0.56399441340782119</v>
      </c>
      <c r="I162" s="37">
        <f t="shared" si="396"/>
        <v>0.29190362229996825</v>
      </c>
      <c r="J162" s="38">
        <f t="shared" si="396"/>
        <v>18605</v>
      </c>
      <c r="K162" s="37">
        <f t="shared" si="396"/>
        <v>0.9214501510574018</v>
      </c>
      <c r="L162" s="7">
        <f t="shared" si="396"/>
        <v>947.54486919190811</v>
      </c>
      <c r="M162" s="38">
        <f t="shared" si="396"/>
        <v>16897</v>
      </c>
      <c r="N162" s="37">
        <f t="shared" si="396"/>
        <v>0.90819672131147544</v>
      </c>
      <c r="O162" s="50">
        <f t="shared" si="396"/>
        <v>5262.0796821976182</v>
      </c>
      <c r="P162" s="91">
        <f>M162/$C$10</f>
        <v>0.47198324022346366</v>
      </c>
      <c r="Q162" s="7">
        <f>INDEX(Daggett!$B$7:$M$21, MATCH(D162,Daggett!$A$7:$A$21,0), MATCH(B$163,Daggett!$B$6:$M$6,0))</f>
        <v>580.64516129032256</v>
      </c>
      <c r="R162" s="4">
        <f t="shared" ref="R162:R170" si="397">IF(1-$H$7*(($H$5+273)^4-298^4)*(PI()*$C$19^2)*1000/(M162*Q162*1000)&lt;0,#N/A,1-$H$7*(($H$5+273)^4-298^4)*(PI()*$C$19^2)*1000/(M162*Q162*1000))</f>
        <v>0.87137265017364895</v>
      </c>
      <c r="S162" s="91">
        <f>R162*P162</f>
        <v>0.41127328687106551</v>
      </c>
      <c r="T162" s="104">
        <f>IF(1-$H$7*(($H$5+273)^4-298^4)/(O162*1000)&lt;0,#N/A,1-$H$7*(($H$5+273)^4-298^4)/(O162*1000))</f>
        <v>0.92531315171373163</v>
      </c>
      <c r="U162" s="91">
        <f>T162*P162</f>
        <v>0.43673229956723247</v>
      </c>
      <c r="AC162" s="2" t="s">
        <v>88</v>
      </c>
      <c r="AD162" s="7">
        <v>295</v>
      </c>
      <c r="AE162" s="38">
        <v>8</v>
      </c>
      <c r="AF162" s="86">
        <f>AF47</f>
        <v>22360</v>
      </c>
      <c r="AG162" s="37">
        <f t="shared" ref="AG162:AP162" si="398">AG47</f>
        <v>0.62458100558659213</v>
      </c>
      <c r="AH162" s="38">
        <f t="shared" si="398"/>
        <v>17952</v>
      </c>
      <c r="AI162" s="37">
        <f t="shared" si="398"/>
        <v>0.5014525139664805</v>
      </c>
      <c r="AJ162" s="37">
        <f t="shared" si="398"/>
        <v>0.12732363692929927</v>
      </c>
      <c r="AK162" s="38">
        <f t="shared" si="398"/>
        <v>13514</v>
      </c>
      <c r="AL162" s="37">
        <f t="shared" si="398"/>
        <v>0.75278520499108736</v>
      </c>
      <c r="AM162" s="7">
        <f t="shared" si="398"/>
        <v>688.26236830203959</v>
      </c>
      <c r="AN162" s="38">
        <f t="shared" si="398"/>
        <v>12306</v>
      </c>
      <c r="AO162" s="37">
        <f t="shared" si="398"/>
        <v>0.91061121799615219</v>
      </c>
      <c r="AP162" s="50">
        <f t="shared" si="398"/>
        <v>3832.3461306222343</v>
      </c>
      <c r="AQ162" s="91">
        <f>AN162/$C$10</f>
        <v>0.34374301675977653</v>
      </c>
      <c r="AR162" s="7">
        <f>INDEX(Daggett!$B$7:$M$21, MATCH(AE162,Daggett!$A$7:$A$21,0), MATCH(AC$163,Daggett!$B$6:$M$6,0))</f>
        <v>580.64516129032256</v>
      </c>
      <c r="AS162" s="4">
        <f t="shared" ref="AS162:AS170" si="399">IF(1-$H$7*(($H$5+273)^4-298^4)*(PI()*$C$19^2)*1000/(AN162*AR162*1000)&lt;0,#N/A,1-$H$7*(($H$5+273)^4-298^4)*(PI()*$C$19^2)*1000/(AN162*AR162*1000))</f>
        <v>0.82338563871153481</v>
      </c>
      <c r="AT162" s="91">
        <f>AS162*AQ162</f>
        <v>0.28303306340737844</v>
      </c>
      <c r="AU162" s="104">
        <f>IF(1-$H$7*(($H$5+273)^4-298^4)/(AP162*1000)&lt;0,#N/A,1-$H$7*(($H$5+273)^4-298^4)/(AP162*1000))</f>
        <v>0.89744972570347181</v>
      </c>
      <c r="AV162" s="91">
        <f>AU162*AQ162</f>
        <v>0.30849207610354534</v>
      </c>
      <c r="AW162" s="38"/>
      <c r="AX162" s="37"/>
      <c r="AY162" s="38"/>
      <c r="AZ162" s="37"/>
      <c r="BA162" s="37"/>
      <c r="BB162" s="38"/>
      <c r="BC162" s="37"/>
      <c r="BD162" s="2" t="s">
        <v>88</v>
      </c>
      <c r="BE162" s="7">
        <v>295</v>
      </c>
      <c r="BF162" s="38">
        <v>8</v>
      </c>
      <c r="BG162" s="86">
        <f>BG47</f>
        <v>34675</v>
      </c>
      <c r="BH162" s="37">
        <f t="shared" ref="BH162:BQ162" si="400">BH47</f>
        <v>0.96857541899441346</v>
      </c>
      <c r="BI162" s="38">
        <f t="shared" si="400"/>
        <v>20286</v>
      </c>
      <c r="BJ162" s="37">
        <f t="shared" si="400"/>
        <v>0.56664804469273744</v>
      </c>
      <c r="BK162" s="37">
        <f t="shared" si="400"/>
        <v>0.36409516943042541</v>
      </c>
      <c r="BL162" s="38">
        <f t="shared" si="400"/>
        <v>19199</v>
      </c>
      <c r="BM162" s="37">
        <f t="shared" si="400"/>
        <v>0.94641624765848364</v>
      </c>
      <c r="BN162" s="7">
        <f t="shared" si="400"/>
        <v>977.79704077481551</v>
      </c>
      <c r="BO162" s="38">
        <f t="shared" si="400"/>
        <v>17248</v>
      </c>
      <c r="BP162" s="37">
        <f t="shared" si="400"/>
        <v>0.89838012396478983</v>
      </c>
      <c r="BQ162" s="50">
        <f t="shared" si="400"/>
        <v>5371.388433363587</v>
      </c>
      <c r="BR162" s="91">
        <f>BO162/$C$10</f>
        <v>0.48178770949720673</v>
      </c>
      <c r="BS162" s="103">
        <f>INDEX(Daggett!$B$7:$M$21, MATCH(BF162,Daggett!$A$7:$A$21,0), MATCH(BD$163,Daggett!$B$6:$M$6,0))</f>
        <v>580.64516129032256</v>
      </c>
      <c r="BT162" s="4">
        <f t="shared" ref="BT162:BT170" si="401">IF(1-$H$7*(($H$5+273)^4-298^4)*(PI()*$C$19^2)*1000/(BO162*BS162*1000)&lt;0,#N/A,1-$H$7*(($H$5+273)^4-298^4)*(PI()*$C$19^2)*1000/(BO162*BS162*1000))</f>
        <v>0.87399024060668751</v>
      </c>
      <c r="BU162" s="91">
        <f>BT162*BR162</f>
        <v>0.42107775614480858</v>
      </c>
      <c r="BV162" s="104">
        <f>IF(1-$H$7*(($H$5+273)^4-298^4)/(BQ162*1000)&lt;0,#N/A,1-$H$7*(($H$5+273)^4-298^4)/(BQ162*1000))</f>
        <v>0.92683304293291535</v>
      </c>
      <c r="BW162" s="91">
        <f>BV162*BR162</f>
        <v>0.44653676884097554</v>
      </c>
      <c r="BX162" s="38"/>
      <c r="BY162" s="37"/>
      <c r="BZ162" s="37"/>
      <c r="CA162" s="38"/>
      <c r="CB162" s="37"/>
      <c r="CC162" s="7"/>
      <c r="CD162" s="41"/>
      <c r="CE162" s="37"/>
    </row>
    <row r="163" spans="2:83">
      <c r="B163" s="2">
        <v>10</v>
      </c>
      <c r="D163" s="38">
        <v>9</v>
      </c>
      <c r="E163" s="86">
        <f t="shared" si="395"/>
        <v>32891</v>
      </c>
      <c r="F163" s="37">
        <f t="shared" ref="F163:O163" si="402">F48</f>
        <v>0.91874301675977654</v>
      </c>
      <c r="G163" s="38">
        <f t="shared" si="402"/>
        <v>25468</v>
      </c>
      <c r="H163" s="37">
        <f t="shared" si="402"/>
        <v>0.71139664804469271</v>
      </c>
      <c r="I163" s="37">
        <f t="shared" si="402"/>
        <v>0.15835308456258024</v>
      </c>
      <c r="J163" s="38">
        <f t="shared" si="402"/>
        <v>23821</v>
      </c>
      <c r="K163" s="37">
        <f t="shared" si="402"/>
        <v>0.93533061096277681</v>
      </c>
      <c r="L163" s="7">
        <f t="shared" si="402"/>
        <v>1213.1935678054524</v>
      </c>
      <c r="M163" s="38">
        <f t="shared" si="402"/>
        <v>21632</v>
      </c>
      <c r="N163" s="37">
        <f t="shared" si="402"/>
        <v>0.90810629276688637</v>
      </c>
      <c r="O163" s="50">
        <f t="shared" si="402"/>
        <v>6736.6578496359643</v>
      </c>
      <c r="P163" s="91">
        <f>M163/$C$10</f>
        <v>0.60424581005586597</v>
      </c>
      <c r="Q163" s="7">
        <f>INDEX(Daggett!$B$7:$M$21, MATCH(D163,Daggett!$A$7:$A$21,0), MATCH(B$163,Daggett!$B$6:$M$6,0))</f>
        <v>703.64516129032256</v>
      </c>
      <c r="R163" s="4">
        <f t="shared" si="397"/>
        <v>0.91709067921646004</v>
      </c>
      <c r="S163" s="91">
        <f t="shared" ref="S163:S170" si="403">R163*P163</f>
        <v>0.55414820035783419</v>
      </c>
      <c r="T163" s="104">
        <f t="shared" ref="T163:T170" si="404">IF(1-$H$7*(($H$5+273)^4-298^4)/(O163*1000)&lt;0,#N/A,1-$H$7*(($H$5+273)^4-298^4)/(O163*1000))</f>
        <v>0.94166125760479491</v>
      </c>
      <c r="U163" s="91">
        <f t="shared" ref="U163:U170" si="405">T163*P163</f>
        <v>0.56899486939963473</v>
      </c>
      <c r="AC163" s="2">
        <v>10</v>
      </c>
      <c r="AE163" s="38">
        <v>9</v>
      </c>
      <c r="AF163" s="86">
        <f t="shared" ref="AF163:AP163" si="406">AF48</f>
        <v>25659</v>
      </c>
      <c r="AG163" s="37">
        <f t="shared" si="406"/>
        <v>0.71673184357541897</v>
      </c>
      <c r="AH163" s="38">
        <f t="shared" si="406"/>
        <v>21551</v>
      </c>
      <c r="AI163" s="37">
        <f t="shared" si="406"/>
        <v>0.60198324022346372</v>
      </c>
      <c r="AJ163" s="37">
        <f t="shared" si="406"/>
        <v>8.7064967457812115E-2</v>
      </c>
      <c r="AK163" s="38">
        <f t="shared" si="406"/>
        <v>17994</v>
      </c>
      <c r="AL163" s="37">
        <f t="shared" si="406"/>
        <v>0.83494965430838475</v>
      </c>
      <c r="AM163" s="7">
        <f t="shared" si="406"/>
        <v>916.42689471858068</v>
      </c>
      <c r="AN163" s="38">
        <f t="shared" si="406"/>
        <v>16379</v>
      </c>
      <c r="AO163" s="37">
        <f t="shared" si="406"/>
        <v>0.91024786039791039</v>
      </c>
      <c r="AP163" s="50">
        <f t="shared" si="406"/>
        <v>5100.7636334683548</v>
      </c>
      <c r="AQ163" s="91">
        <f t="shared" ref="AQ163:AQ170" si="407">AN163/$C$10</f>
        <v>0.45751396648044695</v>
      </c>
      <c r="AR163" s="7">
        <f>INDEX(Daggett!$B$7:$M$21, MATCH(AE163,Daggett!$A$7:$A$21,0), MATCH(AC$163,Daggett!$B$6:$M$6,0))</f>
        <v>703.64516129032256</v>
      </c>
      <c r="AS163" s="4">
        <f t="shared" si="399"/>
        <v>0.89050037076808497</v>
      </c>
      <c r="AT163" s="91">
        <f t="shared" ref="AT163:AT170" si="408">AS163*AQ163</f>
        <v>0.40741635678241522</v>
      </c>
      <c r="AU163" s="104">
        <f t="shared" ref="AU163:AU170" si="409">IF(1-$H$7*(($H$5+273)^4-298^4)/(AP163*1000)&lt;0,#N/A,1-$H$7*(($H$5+273)^4-298^4)/(AP163*1000))</f>
        <v>0.92295111572787858</v>
      </c>
      <c r="AV163" s="91">
        <f t="shared" ref="AV163:AV170" si="410">AU163*AQ163</f>
        <v>0.42226302582421577</v>
      </c>
      <c r="AW163" s="38"/>
      <c r="AX163" s="37"/>
      <c r="AY163" s="38"/>
      <c r="AZ163" s="37"/>
      <c r="BA163" s="37"/>
      <c r="BB163" s="38"/>
      <c r="BC163" s="37"/>
      <c r="BD163" s="2">
        <v>10</v>
      </c>
      <c r="BF163" s="38">
        <v>9</v>
      </c>
      <c r="BG163" s="86">
        <f t="shared" ref="BG163:BQ163" si="411">BG48</f>
        <v>35098</v>
      </c>
      <c r="BH163" s="37">
        <f t="shared" si="411"/>
        <v>0.98039106145251398</v>
      </c>
      <c r="BI163" s="38">
        <f t="shared" si="411"/>
        <v>25454</v>
      </c>
      <c r="BJ163" s="37">
        <f t="shared" si="411"/>
        <v>0.71100558659217872</v>
      </c>
      <c r="BK163" s="37">
        <f t="shared" si="411"/>
        <v>0.21171031670329288</v>
      </c>
      <c r="BL163" s="38">
        <f t="shared" si="411"/>
        <v>24068</v>
      </c>
      <c r="BM163" s="37">
        <f t="shared" si="411"/>
        <v>0.94554883318928262</v>
      </c>
      <c r="BN163" s="7">
        <f t="shared" si="411"/>
        <v>1225.7731745074359</v>
      </c>
      <c r="BO163" s="38">
        <f t="shared" si="411"/>
        <v>21729</v>
      </c>
      <c r="BP163" s="37">
        <f t="shared" si="411"/>
        <v>0.90281701844773143</v>
      </c>
      <c r="BQ163" s="50">
        <f t="shared" si="411"/>
        <v>6766.8656811547644</v>
      </c>
      <c r="BR163" s="91">
        <f t="shared" ref="BR163:BR170" si="412">BO163/$C$10</f>
        <v>0.60695530726256985</v>
      </c>
      <c r="BS163" s="103">
        <f>INDEX(Daggett!$B$7:$M$21, MATCH(BF163,Daggett!$A$7:$A$21,0), MATCH(BD$163,Daggett!$B$6:$M$6,0))</f>
        <v>703.64516129032256</v>
      </c>
      <c r="BT163" s="4">
        <f t="shared" si="401"/>
        <v>0.91746079307885609</v>
      </c>
      <c r="BU163" s="91">
        <f t="shared" ref="BU163:BU170" si="413">BT163*BR163</f>
        <v>0.55685769756453807</v>
      </c>
      <c r="BV163" s="104">
        <f t="shared" ref="BV163:BV170" si="414">IF(1-$H$7*(($H$5+273)^4-298^4)/(BQ163*1000)&lt;0,#N/A,1-$H$7*(($H$5+273)^4-298^4)/(BQ163*1000))</f>
        <v>0.9419216864331964</v>
      </c>
      <c r="BW163" s="91">
        <f t="shared" ref="BW163:BW170" si="415">BV163*BR163</f>
        <v>0.57170436660633872</v>
      </c>
      <c r="BX163" s="38"/>
      <c r="BY163" s="37"/>
      <c r="BZ163" s="37"/>
      <c r="CA163" s="38"/>
      <c r="CB163" s="37"/>
      <c r="CC163" s="7"/>
      <c r="CD163" s="41"/>
      <c r="CE163" s="37"/>
    </row>
    <row r="164" spans="2:83">
      <c r="D164" s="38">
        <v>10</v>
      </c>
      <c r="E164" s="86">
        <f t="shared" si="395"/>
        <v>34275</v>
      </c>
      <c r="F164" s="37">
        <f t="shared" ref="F164:O164" si="416">F49</f>
        <v>0.95740223463687146</v>
      </c>
      <c r="G164" s="38">
        <f t="shared" si="416"/>
        <v>28305</v>
      </c>
      <c r="H164" s="37">
        <f t="shared" si="416"/>
        <v>0.79064245810055866</v>
      </c>
      <c r="I164" s="37">
        <f t="shared" si="416"/>
        <v>0.10236894681761965</v>
      </c>
      <c r="J164" s="38">
        <f t="shared" si="416"/>
        <v>26734</v>
      </c>
      <c r="K164" s="37">
        <f t="shared" si="416"/>
        <v>0.94449743861508573</v>
      </c>
      <c r="L164" s="7">
        <f t="shared" si="416"/>
        <v>1361.5514395579935</v>
      </c>
      <c r="M164" s="38">
        <f t="shared" si="416"/>
        <v>24331</v>
      </c>
      <c r="N164" s="37">
        <f t="shared" si="416"/>
        <v>0.91011446098601034</v>
      </c>
      <c r="O164" s="50">
        <f t="shared" si="416"/>
        <v>7577.1829761229956</v>
      </c>
      <c r="P164" s="91">
        <f>M164/$C$10</f>
        <v>0.67963687150837993</v>
      </c>
      <c r="Q164" s="7">
        <f>INDEX(Daggett!$B$7:$M$21, MATCH(D164,Daggett!$A$7:$A$21,0), MATCH(B$163,Daggett!$B$6:$M$6,0))</f>
        <v>763.12903225806451</v>
      </c>
      <c r="R164" s="4">
        <f t="shared" si="397"/>
        <v>0.93203335974088797</v>
      </c>
      <c r="S164" s="91">
        <f t="shared" si="403"/>
        <v>0.63344423675574146</v>
      </c>
      <c r="T164" s="104">
        <f t="shared" si="404"/>
        <v>0.94813268359323188</v>
      </c>
      <c r="U164" s="91">
        <f t="shared" si="405"/>
        <v>0.64438593085214879</v>
      </c>
      <c r="AE164" s="38">
        <v>10</v>
      </c>
      <c r="AF164" s="86">
        <f t="shared" ref="AF164:AP164" si="417">AF49</f>
        <v>28540</v>
      </c>
      <c r="AG164" s="37">
        <f t="shared" si="417"/>
        <v>0.79720670391061454</v>
      </c>
      <c r="AH164" s="38">
        <f t="shared" si="417"/>
        <v>24830</v>
      </c>
      <c r="AI164" s="37">
        <f t="shared" si="417"/>
        <v>0.69357541899441344</v>
      </c>
      <c r="AJ164" s="37">
        <f t="shared" si="417"/>
        <v>5.4340209012522567E-2</v>
      </c>
      <c r="AK164" s="38">
        <f t="shared" si="417"/>
        <v>22057</v>
      </c>
      <c r="AL164" s="37">
        <f t="shared" si="417"/>
        <v>0.88832057994361657</v>
      </c>
      <c r="AM164" s="7">
        <f t="shared" si="417"/>
        <v>1123.3537855289394</v>
      </c>
      <c r="AN164" s="38">
        <f t="shared" si="417"/>
        <v>20059</v>
      </c>
      <c r="AO164" s="37">
        <f t="shared" si="417"/>
        <v>0.90941651176497262</v>
      </c>
      <c r="AP164" s="50">
        <f t="shared" si="417"/>
        <v>6246.7927055218106</v>
      </c>
      <c r="AQ164" s="91">
        <f t="shared" si="407"/>
        <v>0.56030726256983243</v>
      </c>
      <c r="AR164" s="7">
        <f>INDEX(Daggett!$B$7:$M$21, MATCH(AE164,Daggett!$A$7:$A$21,0), MATCH(AC$163,Daggett!$B$6:$M$6,0))</f>
        <v>763.12903225806451</v>
      </c>
      <c r="AS164" s="4">
        <f t="shared" si="399"/>
        <v>0.91755838655244759</v>
      </c>
      <c r="AT164" s="91">
        <f t="shared" si="408"/>
        <v>0.51411462781719408</v>
      </c>
      <c r="AU164" s="104">
        <f t="shared" si="409"/>
        <v>0.9370864113119759</v>
      </c>
      <c r="AV164" s="91">
        <f t="shared" si="410"/>
        <v>0.5250563219136013</v>
      </c>
      <c r="AW164" s="38"/>
      <c r="AX164" s="37"/>
      <c r="AY164" s="38"/>
      <c r="AZ164" s="37"/>
      <c r="BA164" s="37"/>
      <c r="BB164" s="38"/>
      <c r="BC164" s="37"/>
      <c r="BF164" s="38">
        <v>10</v>
      </c>
      <c r="BG164" s="86">
        <f t="shared" ref="BG164:BQ164" si="418">BG49</f>
        <v>34929</v>
      </c>
      <c r="BH164" s="37">
        <f t="shared" si="418"/>
        <v>0.97567039106145248</v>
      </c>
      <c r="BI164" s="38">
        <f t="shared" si="418"/>
        <v>27814</v>
      </c>
      <c r="BJ164" s="37">
        <f t="shared" si="418"/>
        <v>0.77692737430167602</v>
      </c>
      <c r="BK164" s="37">
        <f t="shared" si="418"/>
        <v>0.13445536099939381</v>
      </c>
      <c r="BL164" s="38">
        <f t="shared" si="418"/>
        <v>26350</v>
      </c>
      <c r="BM164" s="37">
        <f t="shared" si="418"/>
        <v>0.94736463651398573</v>
      </c>
      <c r="BN164" s="7">
        <f t="shared" si="418"/>
        <v>1341.9944801508614</v>
      </c>
      <c r="BO164" s="38">
        <f t="shared" si="418"/>
        <v>23876</v>
      </c>
      <c r="BP164" s="37">
        <f t="shared" si="418"/>
        <v>0.90611005692599622</v>
      </c>
      <c r="BQ164" s="50">
        <f t="shared" si="418"/>
        <v>7435.4864468337773</v>
      </c>
      <c r="BR164" s="91">
        <f t="shared" si="412"/>
        <v>0.66692737430167592</v>
      </c>
      <c r="BS164" s="103">
        <f>INDEX(Daggett!$B$7:$M$21, MATCH(BF164,Daggett!$A$7:$A$21,0), MATCH(BD$163,Daggett!$B$6:$M$6,0))</f>
        <v>763.12903225806451</v>
      </c>
      <c r="BT164" s="4">
        <f t="shared" si="401"/>
        <v>0.93073813351715295</v>
      </c>
      <c r="BU164" s="91">
        <f t="shared" si="413"/>
        <v>0.62073473954903746</v>
      </c>
      <c r="BV164" s="104">
        <f t="shared" si="414"/>
        <v>0.94714425885855769</v>
      </c>
      <c r="BW164" s="91">
        <f t="shared" si="415"/>
        <v>0.63167643364544468</v>
      </c>
      <c r="BX164" s="38"/>
      <c r="BY164" s="37"/>
      <c r="BZ164" s="37"/>
      <c r="CA164" s="38"/>
      <c r="CB164" s="37"/>
      <c r="CC164" s="7"/>
      <c r="CD164" s="41"/>
      <c r="CE164" s="37"/>
    </row>
    <row r="165" spans="2:83">
      <c r="D165" s="38">
        <v>11</v>
      </c>
      <c r="E165" s="86">
        <f t="shared" si="395"/>
        <v>35117</v>
      </c>
      <c r="F165" s="37">
        <f t="shared" ref="F165:O165" si="419">F50</f>
        <v>0.98092178770949723</v>
      </c>
      <c r="G165" s="38">
        <f t="shared" si="419"/>
        <v>29383</v>
      </c>
      <c r="H165" s="37">
        <f t="shared" si="419"/>
        <v>0.82075418994413407</v>
      </c>
      <c r="I165" s="37">
        <f t="shared" si="419"/>
        <v>9.0524717992400694E-2</v>
      </c>
      <c r="J165" s="38">
        <f t="shared" si="419"/>
        <v>27845</v>
      </c>
      <c r="K165" s="37">
        <f t="shared" si="419"/>
        <v>0.94765680835857469</v>
      </c>
      <c r="L165" s="7">
        <f t="shared" si="419"/>
        <v>1418.1342049260243</v>
      </c>
      <c r="M165" s="38">
        <f t="shared" si="419"/>
        <v>25289</v>
      </c>
      <c r="N165" s="37">
        <f t="shared" si="419"/>
        <v>0.908206141138445</v>
      </c>
      <c r="O165" s="50">
        <f t="shared" si="419"/>
        <v>7875.5242399890849</v>
      </c>
      <c r="P165" s="91">
        <f>M165/$C$10</f>
        <v>0.70639664804469271</v>
      </c>
      <c r="Q165" s="7">
        <f>INDEX(Daggett!$B$7:$M$21, MATCH(D165,Daggett!$A$7:$A$21,0), MATCH(B$163,Daggett!$B$6:$M$6,0))</f>
        <v>806.70967741935488</v>
      </c>
      <c r="R165" s="4">
        <f t="shared" si="397"/>
        <v>0.93814072669226323</v>
      </c>
      <c r="S165" s="91">
        <f t="shared" si="403"/>
        <v>0.66269946472962693</v>
      </c>
      <c r="T165" s="104">
        <f t="shared" si="404"/>
        <v>0.95009752558451988</v>
      </c>
      <c r="U165" s="91">
        <f t="shared" si="405"/>
        <v>0.67114570738846147</v>
      </c>
      <c r="AE165" s="38">
        <v>11</v>
      </c>
      <c r="AF165" s="86">
        <f t="shared" ref="AF165:AP165" si="420">AF50</f>
        <v>30946</v>
      </c>
      <c r="AG165" s="37">
        <f t="shared" si="420"/>
        <v>0.864413407821229</v>
      </c>
      <c r="AH165" s="38">
        <f t="shared" si="420"/>
        <v>26874</v>
      </c>
      <c r="AI165" s="37">
        <f t="shared" si="420"/>
        <v>0.7506703910614525</v>
      </c>
      <c r="AJ165" s="37">
        <f t="shared" si="420"/>
        <v>5.6069619168312768E-2</v>
      </c>
      <c r="AK165" s="38">
        <f t="shared" si="420"/>
        <v>24725</v>
      </c>
      <c r="AL165" s="37">
        <f t="shared" si="420"/>
        <v>0.92003423383195648</v>
      </c>
      <c r="AM165" s="7">
        <f t="shared" si="420"/>
        <v>1259.2339097430759</v>
      </c>
      <c r="AN165" s="38">
        <f t="shared" si="420"/>
        <v>22480</v>
      </c>
      <c r="AO165" s="37">
        <f t="shared" si="420"/>
        <v>0.90920121334681492</v>
      </c>
      <c r="AP165" s="50">
        <f t="shared" si="420"/>
        <v>7000.7428097178472</v>
      </c>
      <c r="AQ165" s="91">
        <f t="shared" si="407"/>
        <v>0.62793296089385475</v>
      </c>
      <c r="AR165" s="7">
        <f>INDEX(Daggett!$B$7:$M$21, MATCH(AE165,Daggett!$A$7:$A$21,0), MATCH(AC$163,Daggett!$B$6:$M$6,0))</f>
        <v>806.70967741935488</v>
      </c>
      <c r="AS165" s="4">
        <f t="shared" si="399"/>
        <v>0.93041106927582928</v>
      </c>
      <c r="AT165" s="91">
        <f t="shared" si="408"/>
        <v>0.58423577757878886</v>
      </c>
      <c r="AU165" s="104">
        <f t="shared" si="409"/>
        <v>0.94386193614354641</v>
      </c>
      <c r="AV165" s="91">
        <f t="shared" si="410"/>
        <v>0.59268202023762351</v>
      </c>
      <c r="AW165" s="38"/>
      <c r="AX165" s="37"/>
      <c r="AY165" s="38"/>
      <c r="AZ165" s="37"/>
      <c r="BA165" s="37"/>
      <c r="BB165" s="38"/>
      <c r="BC165" s="37"/>
      <c r="BF165" s="38">
        <v>11</v>
      </c>
      <c r="BG165" s="86">
        <f t="shared" ref="BG165:BQ165" si="421">BG50</f>
        <v>34169</v>
      </c>
      <c r="BH165" s="37">
        <f t="shared" si="421"/>
        <v>0.95444134078212295</v>
      </c>
      <c r="BI165" s="38">
        <f t="shared" si="421"/>
        <v>29241</v>
      </c>
      <c r="BJ165" s="37">
        <f t="shared" si="421"/>
        <v>0.81678770949720669</v>
      </c>
      <c r="BK165" s="37">
        <f t="shared" si="421"/>
        <v>6.9809018344876517E-2</v>
      </c>
      <c r="BL165" s="38">
        <f t="shared" si="421"/>
        <v>27666</v>
      </c>
      <c r="BM165" s="37">
        <f t="shared" si="421"/>
        <v>0.94613727300707906</v>
      </c>
      <c r="BN165" s="7">
        <f t="shared" si="421"/>
        <v>1409.0178097857204</v>
      </c>
      <c r="BO165" s="38">
        <f t="shared" si="421"/>
        <v>25159</v>
      </c>
      <c r="BP165" s="37">
        <f t="shared" si="421"/>
        <v>0.90938335863514785</v>
      </c>
      <c r="BQ165" s="50">
        <f t="shared" si="421"/>
        <v>7835.0395173350234</v>
      </c>
      <c r="BR165" s="91">
        <f t="shared" si="412"/>
        <v>0.70276536312849158</v>
      </c>
      <c r="BS165" s="103">
        <f>INDEX(Daggett!$B$7:$M$21, MATCH(BF165,Daggett!$A$7:$A$21,0), MATCH(BD$163,Daggett!$B$6:$M$6,0))</f>
        <v>806.70967741935488</v>
      </c>
      <c r="BT165" s="4">
        <f t="shared" si="401"/>
        <v>0.93782109135182812</v>
      </c>
      <c r="BU165" s="91">
        <f t="shared" si="413"/>
        <v>0.6590681798134258</v>
      </c>
      <c r="BV165" s="104">
        <f t="shared" si="414"/>
        <v>0.94983967266214575</v>
      </c>
      <c r="BW165" s="91">
        <f t="shared" si="415"/>
        <v>0.66751442247226045</v>
      </c>
      <c r="BX165" s="38"/>
      <c r="BY165" s="37"/>
      <c r="BZ165" s="37"/>
      <c r="CA165" s="38"/>
      <c r="CB165" s="37"/>
      <c r="CC165" s="7"/>
      <c r="CD165" s="41"/>
      <c r="CE165" s="37"/>
    </row>
    <row r="166" spans="2:83">
      <c r="D166" s="38">
        <v>12</v>
      </c>
      <c r="E166" s="86">
        <f t="shared" si="395"/>
        <v>35400</v>
      </c>
      <c r="F166" s="37">
        <f t="shared" ref="F166:O166" si="422">F51</f>
        <v>0.98882681564245811</v>
      </c>
      <c r="G166" s="38">
        <f t="shared" si="422"/>
        <v>29225</v>
      </c>
      <c r="H166" s="37">
        <f t="shared" si="422"/>
        <v>0.81634078212290506</v>
      </c>
      <c r="I166" s="37">
        <f t="shared" si="422"/>
        <v>0.10264676983542131</v>
      </c>
      <c r="J166" s="38">
        <f t="shared" si="422"/>
        <v>27749</v>
      </c>
      <c r="K166" s="37">
        <f t="shared" si="422"/>
        <v>0.94949529512403763</v>
      </c>
      <c r="L166" s="7">
        <f t="shared" si="422"/>
        <v>1413.2449650742412</v>
      </c>
      <c r="M166" s="38">
        <f t="shared" si="422"/>
        <v>25283</v>
      </c>
      <c r="N166" s="37">
        <f t="shared" si="422"/>
        <v>0.91113193268225878</v>
      </c>
      <c r="O166" s="50">
        <f t="shared" si="422"/>
        <v>7873.6557143281289</v>
      </c>
      <c r="P166" s="91">
        <f>M166/$C$10</f>
        <v>0.70622905027932958</v>
      </c>
      <c r="Q166" s="7">
        <f>INDEX(Daggett!$B$7:$M$21, MATCH(D166,Daggett!$A$7:$A$21,0), MATCH(B$163,Daggett!$B$6:$M$6,0))</f>
        <v>776.51612903225805</v>
      </c>
      <c r="R166" s="4">
        <f t="shared" si="397"/>
        <v>0.93572018006369728</v>
      </c>
      <c r="S166" s="91">
        <f t="shared" si="403"/>
        <v>0.6608327740935882</v>
      </c>
      <c r="T166" s="104">
        <f t="shared" si="404"/>
        <v>0.95008568304817165</v>
      </c>
      <c r="U166" s="91">
        <f t="shared" si="405"/>
        <v>0.67097810962309845</v>
      </c>
      <c r="AE166" s="38">
        <v>12</v>
      </c>
      <c r="AF166" s="86">
        <f t="shared" ref="AF166:AP166" si="423">AF51</f>
        <v>32834</v>
      </c>
      <c r="AG166" s="37">
        <f t="shared" si="423"/>
        <v>0.91715083798882679</v>
      </c>
      <c r="AH166" s="38">
        <f t="shared" si="423"/>
        <v>28817</v>
      </c>
      <c r="AI166" s="37">
        <f t="shared" si="423"/>
        <v>0.8049441340782123</v>
      </c>
      <c r="AJ166" s="37">
        <f t="shared" si="423"/>
        <v>4.6024666901488764E-2</v>
      </c>
      <c r="AK166" s="38">
        <f t="shared" si="423"/>
        <v>27012</v>
      </c>
      <c r="AL166" s="37">
        <f t="shared" si="423"/>
        <v>0.93736336190443137</v>
      </c>
      <c r="AM166" s="7">
        <f t="shared" si="423"/>
        <v>1375.7098632954485</v>
      </c>
      <c r="AN166" s="38">
        <f t="shared" si="423"/>
        <v>24555</v>
      </c>
      <c r="AO166" s="37">
        <f t="shared" si="423"/>
        <v>0.90904042647712124</v>
      </c>
      <c r="AP166" s="50">
        <f t="shared" si="423"/>
        <v>7646.9412674653795</v>
      </c>
      <c r="AQ166" s="91">
        <f t="shared" si="407"/>
        <v>0.68589385474860332</v>
      </c>
      <c r="AR166" s="7">
        <f>INDEX(Daggett!$B$7:$M$21, MATCH(AE166,Daggett!$A$7:$A$21,0), MATCH(AC$163,Daggett!$B$6:$M$6,0))</f>
        <v>776.51612903225805</v>
      </c>
      <c r="AS166" s="4">
        <f t="shared" si="399"/>
        <v>0.93381442934434777</v>
      </c>
      <c r="AT166" s="91">
        <f t="shared" si="408"/>
        <v>0.64049757856286194</v>
      </c>
      <c r="AU166" s="104">
        <f t="shared" si="409"/>
        <v>0.94860583687668187</v>
      </c>
      <c r="AV166" s="91">
        <f t="shared" si="410"/>
        <v>0.65064291409237218</v>
      </c>
      <c r="AW166" s="38"/>
      <c r="AX166" s="37"/>
      <c r="AY166" s="38"/>
      <c r="AZ166" s="37"/>
      <c r="BA166" s="37"/>
      <c r="BB166" s="38"/>
      <c r="BC166" s="37"/>
      <c r="BF166" s="38">
        <v>12</v>
      </c>
      <c r="BG166" s="86">
        <f t="shared" ref="BG166:BQ166" si="424">BG51</f>
        <v>32834</v>
      </c>
      <c r="BH166" s="37">
        <f t="shared" si="424"/>
        <v>0.91715083798882679</v>
      </c>
      <c r="BI166" s="38">
        <f t="shared" si="424"/>
        <v>28817</v>
      </c>
      <c r="BJ166" s="37">
        <f t="shared" si="424"/>
        <v>0.8049441340782123</v>
      </c>
      <c r="BK166" s="37">
        <f t="shared" si="424"/>
        <v>4.6024666901488764E-2</v>
      </c>
      <c r="BL166" s="38">
        <f t="shared" si="424"/>
        <v>27012</v>
      </c>
      <c r="BM166" s="37">
        <f t="shared" si="424"/>
        <v>0.93736336190443137</v>
      </c>
      <c r="BN166" s="7">
        <f t="shared" si="424"/>
        <v>1375.7098632954485</v>
      </c>
      <c r="BO166" s="38">
        <f t="shared" si="424"/>
        <v>24555</v>
      </c>
      <c r="BP166" s="37">
        <f t="shared" si="424"/>
        <v>0.90904042647712124</v>
      </c>
      <c r="BQ166" s="50">
        <f t="shared" si="424"/>
        <v>7646.9412674653795</v>
      </c>
      <c r="BR166" s="91">
        <f t="shared" si="412"/>
        <v>0.68589385474860332</v>
      </c>
      <c r="BS166" s="103">
        <f>INDEX(Daggett!$B$7:$M$21, MATCH(BF166,Daggett!$A$7:$A$21,0), MATCH(BD$163,Daggett!$B$6:$M$6,0))</f>
        <v>776.51612903225805</v>
      </c>
      <c r="BT166" s="4">
        <f t="shared" si="401"/>
        <v>0.93381442934434777</v>
      </c>
      <c r="BU166" s="91">
        <f t="shared" si="413"/>
        <v>0.64049757856286194</v>
      </c>
      <c r="BV166" s="104">
        <f t="shared" si="414"/>
        <v>0.94860583687668187</v>
      </c>
      <c r="BW166" s="91">
        <f t="shared" si="415"/>
        <v>0.65064291409237218</v>
      </c>
      <c r="BX166" s="38"/>
      <c r="BY166" s="37"/>
      <c r="BZ166" s="37"/>
      <c r="CA166" s="38"/>
      <c r="CB166" s="37"/>
      <c r="CC166" s="7"/>
      <c r="CD166" s="41"/>
      <c r="CE166" s="37"/>
    </row>
    <row r="167" spans="2:83">
      <c r="D167" s="38">
        <v>13</v>
      </c>
      <c r="E167" s="86">
        <f t="shared" si="395"/>
        <v>35117</v>
      </c>
      <c r="F167" s="37">
        <f t="shared" ref="F167:O167" si="425">F52</f>
        <v>0.98092178770949723</v>
      </c>
      <c r="G167" s="38">
        <f t="shared" si="425"/>
        <v>29383</v>
      </c>
      <c r="H167" s="37">
        <f t="shared" si="425"/>
        <v>0.82075418994413407</v>
      </c>
      <c r="I167" s="37">
        <f t="shared" si="425"/>
        <v>9.0524717992400694E-2</v>
      </c>
      <c r="J167" s="38">
        <f t="shared" si="425"/>
        <v>27845</v>
      </c>
      <c r="K167" s="37">
        <f t="shared" si="425"/>
        <v>0.94765680835857469</v>
      </c>
      <c r="L167" s="7">
        <f t="shared" si="425"/>
        <v>1418.1342049260243</v>
      </c>
      <c r="M167" s="38">
        <f t="shared" si="425"/>
        <v>25289</v>
      </c>
      <c r="N167" s="37">
        <f t="shared" si="425"/>
        <v>0.908206141138445</v>
      </c>
      <c r="O167" s="50">
        <f t="shared" si="425"/>
        <v>7875.5242399890849</v>
      </c>
      <c r="P167" s="91">
        <f>P165</f>
        <v>0.70639664804469271</v>
      </c>
      <c r="Q167" s="7">
        <f>INDEX(Daggett!$B$7:$M$21, MATCH(D167,Daggett!$A$7:$A$21,0), MATCH(B$163,Daggett!$B$6:$M$6,0))</f>
        <v>752.90322580645159</v>
      </c>
      <c r="R167" s="4">
        <f t="shared" si="397"/>
        <v>0.9337199354378799</v>
      </c>
      <c r="S167" s="91">
        <f t="shared" si="403"/>
        <v>0.65957663260582522</v>
      </c>
      <c r="T167" s="104">
        <f t="shared" si="404"/>
        <v>0.95009752558451988</v>
      </c>
      <c r="U167" s="91">
        <f t="shared" si="405"/>
        <v>0.67114570738846147</v>
      </c>
      <c r="AE167" s="38">
        <v>13</v>
      </c>
      <c r="AF167" s="86">
        <f t="shared" ref="AF167:AP167" si="426">AF52</f>
        <v>34169</v>
      </c>
      <c r="AG167" s="37">
        <f t="shared" si="426"/>
        <v>0.95444134078212295</v>
      </c>
      <c r="AH167" s="38">
        <f t="shared" si="426"/>
        <v>29241</v>
      </c>
      <c r="AI167" s="37">
        <f t="shared" si="426"/>
        <v>0.81678770949720669</v>
      </c>
      <c r="AJ167" s="37">
        <f t="shared" si="426"/>
        <v>6.9809018344876517E-2</v>
      </c>
      <c r="AK167" s="38">
        <f t="shared" si="426"/>
        <v>27666</v>
      </c>
      <c r="AL167" s="37">
        <f t="shared" si="426"/>
        <v>0.94613727300707906</v>
      </c>
      <c r="AM167" s="7">
        <f t="shared" si="426"/>
        <v>1409.0178097857204</v>
      </c>
      <c r="AN167" s="38">
        <f t="shared" si="426"/>
        <v>25159</v>
      </c>
      <c r="AO167" s="37">
        <f t="shared" si="426"/>
        <v>0.90938335863514785</v>
      </c>
      <c r="AP167" s="50">
        <f t="shared" si="426"/>
        <v>7835.0395173350234</v>
      </c>
      <c r="AQ167" s="91">
        <f t="shared" si="407"/>
        <v>0.70276536312849158</v>
      </c>
      <c r="AR167" s="7">
        <f>INDEX(Daggett!$B$7:$M$21, MATCH(AE167,Daggett!$A$7:$A$21,0), MATCH(AC$163,Daggett!$B$6:$M$6,0))</f>
        <v>752.90322580645159</v>
      </c>
      <c r="AS167" s="4">
        <f t="shared" si="399"/>
        <v>0.93337745726334687</v>
      </c>
      <c r="AT167" s="91">
        <f t="shared" si="408"/>
        <v>0.65594534768962409</v>
      </c>
      <c r="AU167" s="104">
        <f t="shared" si="409"/>
        <v>0.94983967266214575</v>
      </c>
      <c r="AV167" s="91">
        <f t="shared" si="410"/>
        <v>0.66751442247226045</v>
      </c>
      <c r="AW167" s="38"/>
      <c r="AX167" s="37"/>
      <c r="AY167" s="38"/>
      <c r="AZ167" s="37"/>
      <c r="BA167" s="37"/>
      <c r="BB167" s="38"/>
      <c r="BC167" s="37"/>
      <c r="BF167" s="38">
        <v>13</v>
      </c>
      <c r="BG167" s="86">
        <f t="shared" ref="BG167:BQ167" si="427">BG52</f>
        <v>30946</v>
      </c>
      <c r="BH167" s="37">
        <f t="shared" si="427"/>
        <v>0.864413407821229</v>
      </c>
      <c r="BI167" s="38">
        <f t="shared" si="427"/>
        <v>26874</v>
      </c>
      <c r="BJ167" s="37">
        <f t="shared" si="427"/>
        <v>0.7506703910614525</v>
      </c>
      <c r="BK167" s="37">
        <f t="shared" si="427"/>
        <v>5.6069619168312768E-2</v>
      </c>
      <c r="BL167" s="38">
        <f t="shared" si="427"/>
        <v>24725</v>
      </c>
      <c r="BM167" s="37">
        <f t="shared" si="427"/>
        <v>0.92003423383195648</v>
      </c>
      <c r="BN167" s="7">
        <f t="shared" si="427"/>
        <v>1259.2339097430759</v>
      </c>
      <c r="BO167" s="38">
        <f t="shared" si="427"/>
        <v>22480</v>
      </c>
      <c r="BP167" s="37">
        <f t="shared" si="427"/>
        <v>0.90920121334681492</v>
      </c>
      <c r="BQ167" s="50">
        <f t="shared" si="427"/>
        <v>7000.7428097178472</v>
      </c>
      <c r="BR167" s="91">
        <f t="shared" si="412"/>
        <v>0.62793296089385475</v>
      </c>
      <c r="BS167" s="103">
        <f>INDEX(Daggett!$B$7:$M$21, MATCH(BF167,Daggett!$A$7:$A$21,0), MATCH(BD$163,Daggett!$B$6:$M$6,0))</f>
        <v>752.90322580645159</v>
      </c>
      <c r="BT167" s="4">
        <f t="shared" si="401"/>
        <v>0.92543787576906333</v>
      </c>
      <c r="BU167" s="91">
        <f t="shared" si="413"/>
        <v>0.58111294545498726</v>
      </c>
      <c r="BV167" s="104">
        <f t="shared" si="414"/>
        <v>0.94386193614354641</v>
      </c>
      <c r="BW167" s="91">
        <f t="shared" si="415"/>
        <v>0.59268202023762351</v>
      </c>
      <c r="BX167" s="38"/>
      <c r="BY167" s="37"/>
      <c r="BZ167" s="37"/>
      <c r="CA167" s="38"/>
      <c r="CB167" s="37"/>
      <c r="CC167" s="7"/>
      <c r="CD167" s="41"/>
      <c r="CE167" s="37"/>
    </row>
    <row r="168" spans="2:83">
      <c r="D168" s="38">
        <v>14</v>
      </c>
      <c r="E168" s="86">
        <f t="shared" si="395"/>
        <v>34275</v>
      </c>
      <c r="F168" s="37">
        <f t="shared" ref="F168:O168" si="428">F53</f>
        <v>0.95740223463687146</v>
      </c>
      <c r="G168" s="38">
        <f t="shared" si="428"/>
        <v>28305</v>
      </c>
      <c r="H168" s="37">
        <f t="shared" si="428"/>
        <v>0.79064245810055866</v>
      </c>
      <c r="I168" s="37">
        <f t="shared" si="428"/>
        <v>0.10236894681761965</v>
      </c>
      <c r="J168" s="38">
        <f t="shared" si="428"/>
        <v>26734</v>
      </c>
      <c r="K168" s="37">
        <f t="shared" si="428"/>
        <v>0.94449743861508573</v>
      </c>
      <c r="L168" s="7">
        <f t="shared" si="428"/>
        <v>1361.5514395579935</v>
      </c>
      <c r="M168" s="38">
        <f t="shared" si="428"/>
        <v>24331</v>
      </c>
      <c r="N168" s="37">
        <f t="shared" si="428"/>
        <v>0.91011446098601034</v>
      </c>
      <c r="O168" s="50">
        <f t="shared" si="428"/>
        <v>7577.1829761229956</v>
      </c>
      <c r="P168" s="91">
        <f>P164</f>
        <v>0.67963687150837993</v>
      </c>
      <c r="Q168" s="7">
        <f>INDEX(Daggett!$B$7:$M$21, MATCH(D168,Daggett!$A$7:$A$21,0), MATCH(B$163,Daggett!$B$6:$M$6,0))</f>
        <v>756.70967741935488</v>
      </c>
      <c r="R168" s="4">
        <f t="shared" si="397"/>
        <v>0.93145678196735382</v>
      </c>
      <c r="S168" s="91">
        <f t="shared" si="403"/>
        <v>0.6330523732415555</v>
      </c>
      <c r="T168" s="104">
        <f t="shared" si="404"/>
        <v>0.94813268359323188</v>
      </c>
      <c r="U168" s="91">
        <f t="shared" si="405"/>
        <v>0.64438593085214879</v>
      </c>
      <c r="AE168" s="38">
        <v>14</v>
      </c>
      <c r="AF168" s="86">
        <f t="shared" ref="AF168:AP168" si="429">AF53</f>
        <v>34929</v>
      </c>
      <c r="AG168" s="37">
        <f t="shared" si="429"/>
        <v>0.97567039106145248</v>
      </c>
      <c r="AH168" s="38">
        <f t="shared" si="429"/>
        <v>27814</v>
      </c>
      <c r="AI168" s="37">
        <f t="shared" si="429"/>
        <v>0.77692737430167602</v>
      </c>
      <c r="AJ168" s="37">
        <f t="shared" si="429"/>
        <v>0.13445536099939381</v>
      </c>
      <c r="AK168" s="38">
        <f t="shared" si="429"/>
        <v>26350</v>
      </c>
      <c r="AL168" s="37">
        <f t="shared" si="429"/>
        <v>0.94736463651398573</v>
      </c>
      <c r="AM168" s="7">
        <f t="shared" si="429"/>
        <v>1341.9944801508614</v>
      </c>
      <c r="AN168" s="38">
        <f t="shared" si="429"/>
        <v>23876</v>
      </c>
      <c r="AO168" s="37">
        <f t="shared" si="429"/>
        <v>0.90611005692599622</v>
      </c>
      <c r="AP168" s="50">
        <f t="shared" si="429"/>
        <v>7435.4864468337773</v>
      </c>
      <c r="AQ168" s="91">
        <f t="shared" si="407"/>
        <v>0.66692737430167592</v>
      </c>
      <c r="AR168" s="7">
        <f>INDEX(Daggett!$B$7:$M$21, MATCH(AE168,Daggett!$A$7:$A$21,0), MATCH(AC$163,Daggett!$B$6:$M$6,0))</f>
        <v>756.70967741935488</v>
      </c>
      <c r="AS168" s="4">
        <f t="shared" si="399"/>
        <v>0.93015056802009077</v>
      </c>
      <c r="AT168" s="91">
        <f t="shared" si="408"/>
        <v>0.6203428760348515</v>
      </c>
      <c r="AU168" s="104">
        <f t="shared" si="409"/>
        <v>0.94714425885855769</v>
      </c>
      <c r="AV168" s="91">
        <f t="shared" si="410"/>
        <v>0.63167643364544468</v>
      </c>
      <c r="AW168" s="38"/>
      <c r="AX168" s="37"/>
      <c r="AY168" s="38"/>
      <c r="AZ168" s="37"/>
      <c r="BA168" s="37"/>
      <c r="BB168" s="38"/>
      <c r="BC168" s="37"/>
      <c r="BF168" s="38">
        <v>14</v>
      </c>
      <c r="BG168" s="86">
        <f t="shared" ref="BG168:BQ168" si="430">BG53</f>
        <v>28540</v>
      </c>
      <c r="BH168" s="37">
        <f t="shared" si="430"/>
        <v>0.79720670391061454</v>
      </c>
      <c r="BI168" s="38">
        <f t="shared" si="430"/>
        <v>24830</v>
      </c>
      <c r="BJ168" s="37">
        <f t="shared" si="430"/>
        <v>0.69357541899441344</v>
      </c>
      <c r="BK168" s="37">
        <f t="shared" si="430"/>
        <v>5.4340209012522567E-2</v>
      </c>
      <c r="BL168" s="38">
        <f t="shared" si="430"/>
        <v>22057</v>
      </c>
      <c r="BM168" s="37">
        <f t="shared" si="430"/>
        <v>0.88832057994361657</v>
      </c>
      <c r="BN168" s="7">
        <f t="shared" si="430"/>
        <v>1123.3537855289394</v>
      </c>
      <c r="BO168" s="38">
        <f t="shared" si="430"/>
        <v>20059</v>
      </c>
      <c r="BP168" s="37">
        <f t="shared" si="430"/>
        <v>0.90941651176497262</v>
      </c>
      <c r="BQ168" s="50">
        <f t="shared" si="430"/>
        <v>6246.7927055218106</v>
      </c>
      <c r="BR168" s="91">
        <f t="shared" si="412"/>
        <v>0.56030726256983243</v>
      </c>
      <c r="BS168" s="103">
        <f>INDEX(Daggett!$B$7:$M$21, MATCH(BF168,Daggett!$A$7:$A$21,0), MATCH(BD$163,Daggett!$B$6:$M$6,0))</f>
        <v>756.70967741935488</v>
      </c>
      <c r="BT168" s="4">
        <f t="shared" si="401"/>
        <v>0.91685901401105174</v>
      </c>
      <c r="BU168" s="91">
        <f t="shared" si="413"/>
        <v>0.51372276430300801</v>
      </c>
      <c r="BV168" s="104">
        <f t="shared" si="414"/>
        <v>0.9370864113119759</v>
      </c>
      <c r="BW168" s="91">
        <f t="shared" si="415"/>
        <v>0.5250563219136013</v>
      </c>
      <c r="BX168" s="38"/>
      <c r="BY168" s="37"/>
      <c r="BZ168" s="37"/>
      <c r="CA168" s="38"/>
      <c r="CB168" s="37"/>
      <c r="CC168" s="7"/>
      <c r="CD168" s="41"/>
      <c r="CE168" s="37"/>
    </row>
    <row r="169" spans="2:83">
      <c r="C169" s="7" t="s">
        <v>162</v>
      </c>
      <c r="D169" s="38">
        <v>15</v>
      </c>
      <c r="E169" s="86">
        <f t="shared" ref="E169:O169" si="431">E54</f>
        <v>32891</v>
      </c>
      <c r="F169" s="37">
        <f t="shared" si="431"/>
        <v>0.91874301675977654</v>
      </c>
      <c r="G169" s="38">
        <f t="shared" si="431"/>
        <v>25468</v>
      </c>
      <c r="H169" s="37">
        <f t="shared" si="431"/>
        <v>0.71139664804469271</v>
      </c>
      <c r="I169" s="37">
        <f t="shared" si="431"/>
        <v>0.15835308456258024</v>
      </c>
      <c r="J169" s="38">
        <f t="shared" si="431"/>
        <v>23821</v>
      </c>
      <c r="K169" s="37">
        <f t="shared" si="431"/>
        <v>0.93533061096277681</v>
      </c>
      <c r="L169" s="7">
        <f t="shared" si="431"/>
        <v>1213.1935678054524</v>
      </c>
      <c r="M169" s="38">
        <f t="shared" si="431"/>
        <v>21632</v>
      </c>
      <c r="N169" s="37">
        <f t="shared" si="431"/>
        <v>0.90810629276688637</v>
      </c>
      <c r="O169" s="50">
        <f t="shared" si="431"/>
        <v>6736.6578496359643</v>
      </c>
      <c r="P169" s="91">
        <f>P163</f>
        <v>0.60424581005586597</v>
      </c>
      <c r="Q169" s="7">
        <f>INDEX(Daggett!$B$7:$M$21, MATCH(D169,Daggett!$A$7:$A$21,0), MATCH(B$163,Daggett!$B$6:$M$6,0))</f>
        <v>699.06451612903231</v>
      </c>
      <c r="R169" s="4">
        <f t="shared" si="397"/>
        <v>0.91654741293658082</v>
      </c>
      <c r="S169" s="91">
        <f t="shared" si="403"/>
        <v>0.5538199339844726</v>
      </c>
      <c r="T169" s="104">
        <f t="shared" si="404"/>
        <v>0.94166125760479491</v>
      </c>
      <c r="U169" s="91">
        <f t="shared" si="405"/>
        <v>0.56899486939963473</v>
      </c>
      <c r="AD169" s="7" t="s">
        <v>162</v>
      </c>
      <c r="AE169" s="38">
        <v>15</v>
      </c>
      <c r="AF169" s="86">
        <f t="shared" ref="AF169:AP169" si="432">AF54</f>
        <v>35098</v>
      </c>
      <c r="AG169" s="37">
        <f t="shared" si="432"/>
        <v>0.98039106145251398</v>
      </c>
      <c r="AH169" s="38">
        <f t="shared" si="432"/>
        <v>25454</v>
      </c>
      <c r="AI169" s="37">
        <f t="shared" si="432"/>
        <v>0.71100558659217872</v>
      </c>
      <c r="AJ169" s="37">
        <f t="shared" si="432"/>
        <v>0.21171031670329288</v>
      </c>
      <c r="AK169" s="38">
        <f t="shared" si="432"/>
        <v>24068</v>
      </c>
      <c r="AL169" s="37">
        <f t="shared" si="432"/>
        <v>0.94554883318928262</v>
      </c>
      <c r="AM169" s="7">
        <f t="shared" si="432"/>
        <v>1225.7731745074359</v>
      </c>
      <c r="AN169" s="38">
        <f t="shared" si="432"/>
        <v>21729</v>
      </c>
      <c r="AO169" s="37">
        <f t="shared" si="432"/>
        <v>0.90281701844773143</v>
      </c>
      <c r="AP169" s="50">
        <f t="shared" si="432"/>
        <v>6766.8656811547644</v>
      </c>
      <c r="AQ169" s="91">
        <f t="shared" si="407"/>
        <v>0.60695530726256985</v>
      </c>
      <c r="AR169" s="7">
        <f>INDEX(Daggett!$B$7:$M$21, MATCH(AE169,Daggett!$A$7:$A$21,0), MATCH(AC$163,Daggett!$B$6:$M$6,0))</f>
        <v>699.06451612903231</v>
      </c>
      <c r="AS169" s="4">
        <f t="shared" si="399"/>
        <v>0.9169199519832536</v>
      </c>
      <c r="AT169" s="91">
        <f t="shared" si="408"/>
        <v>0.55652943119117648</v>
      </c>
      <c r="AU169" s="104">
        <f t="shared" si="409"/>
        <v>0.9419216864331964</v>
      </c>
      <c r="AV169" s="91">
        <f t="shared" si="410"/>
        <v>0.57170436660633872</v>
      </c>
      <c r="AW169" s="38"/>
      <c r="AX169" s="37"/>
      <c r="AY169" s="38"/>
      <c r="AZ169" s="37"/>
      <c r="BA169" s="37"/>
      <c r="BB169" s="38"/>
      <c r="BC169" s="37"/>
      <c r="BE169" s="7" t="s">
        <v>162</v>
      </c>
      <c r="BF169" s="38">
        <v>15</v>
      </c>
      <c r="BG169" s="86">
        <f t="shared" ref="BG169:BQ169" si="433">BG54</f>
        <v>25659</v>
      </c>
      <c r="BH169" s="37">
        <f t="shared" si="433"/>
        <v>0.71673184357541897</v>
      </c>
      <c r="BI169" s="38">
        <f t="shared" si="433"/>
        <v>21551</v>
      </c>
      <c r="BJ169" s="37">
        <f t="shared" si="433"/>
        <v>0.60198324022346372</v>
      </c>
      <c r="BK169" s="37">
        <f t="shared" si="433"/>
        <v>8.7064967457812115E-2</v>
      </c>
      <c r="BL169" s="38">
        <f t="shared" si="433"/>
        <v>17994</v>
      </c>
      <c r="BM169" s="37">
        <f t="shared" si="433"/>
        <v>0.83494965430838475</v>
      </c>
      <c r="BN169" s="7">
        <f t="shared" si="433"/>
        <v>916.42689471858068</v>
      </c>
      <c r="BO169" s="38">
        <f t="shared" si="433"/>
        <v>16379</v>
      </c>
      <c r="BP169" s="37">
        <f t="shared" si="433"/>
        <v>0.91024786039791039</v>
      </c>
      <c r="BQ169" s="50">
        <f t="shared" si="433"/>
        <v>5100.7636334683548</v>
      </c>
      <c r="BR169" s="91">
        <f t="shared" si="412"/>
        <v>0.45751396648044695</v>
      </c>
      <c r="BS169" s="103">
        <f>INDEX(Daggett!$B$7:$M$21, MATCH(BF169,Daggett!$A$7:$A$21,0), MATCH(BD$163,Daggett!$B$6:$M$6,0))</f>
        <v>699.06451612903231</v>
      </c>
      <c r="BT169" s="4">
        <f t="shared" si="401"/>
        <v>0.88978287054424055</v>
      </c>
      <c r="BU169" s="91">
        <f t="shared" si="413"/>
        <v>0.40708809040905353</v>
      </c>
      <c r="BV169" s="104">
        <f t="shared" si="414"/>
        <v>0.92295111572787858</v>
      </c>
      <c r="BW169" s="91">
        <f t="shared" si="415"/>
        <v>0.42226302582421577</v>
      </c>
      <c r="BX169" s="38"/>
      <c r="BY169" s="37"/>
      <c r="BZ169" s="37"/>
      <c r="CA169" s="38"/>
      <c r="CB169" s="37"/>
      <c r="CC169" s="7"/>
      <c r="CD169" s="41"/>
      <c r="CE169" s="37"/>
    </row>
    <row r="170" spans="2:83">
      <c r="C170" s="7">
        <f>ROW(D170)-ROW(D162)+1</f>
        <v>9</v>
      </c>
      <c r="D170" s="38">
        <v>16</v>
      </c>
      <c r="E170" s="86">
        <f t="shared" ref="E170:O170" si="434">E55</f>
        <v>30994</v>
      </c>
      <c r="F170" s="37">
        <f t="shared" si="434"/>
        <v>0.86575418994413411</v>
      </c>
      <c r="G170" s="38">
        <f t="shared" si="434"/>
        <v>20191</v>
      </c>
      <c r="H170" s="37">
        <f t="shared" si="434"/>
        <v>0.56399441340782119</v>
      </c>
      <c r="I170" s="37">
        <f t="shared" si="434"/>
        <v>0.29190362229996825</v>
      </c>
      <c r="J170" s="38">
        <f t="shared" si="434"/>
        <v>18605</v>
      </c>
      <c r="K170" s="37">
        <f t="shared" si="434"/>
        <v>0.9214501510574018</v>
      </c>
      <c r="L170" s="7">
        <f t="shared" si="434"/>
        <v>947.54486919190811</v>
      </c>
      <c r="M170" s="38">
        <f t="shared" si="434"/>
        <v>16897</v>
      </c>
      <c r="N170" s="37">
        <f t="shared" si="434"/>
        <v>0.90819672131147544</v>
      </c>
      <c r="O170" s="50">
        <f t="shared" si="434"/>
        <v>5262.0796821976182</v>
      </c>
      <c r="P170" s="91">
        <f>P162</f>
        <v>0.47198324022346366</v>
      </c>
      <c r="Q170" s="7">
        <f>INDEX(Daggett!$B$7:$M$21, MATCH(D170,Daggett!$A$7:$A$21,0), MATCH(B$163,Daggett!$B$6:$M$6,0))</f>
        <v>596.45161290322585</v>
      </c>
      <c r="R170" s="4">
        <f t="shared" si="397"/>
        <v>0.8747813792928979</v>
      </c>
      <c r="S170" s="91">
        <f t="shared" si="403"/>
        <v>0.41288214988581273</v>
      </c>
      <c r="T170" s="104">
        <f t="shared" si="404"/>
        <v>0.92531315171373163</v>
      </c>
      <c r="U170" s="91">
        <f t="shared" si="405"/>
        <v>0.43673229956723247</v>
      </c>
      <c r="AD170" s="7">
        <f>ROW(AE170)-ROW(AE162)+1</f>
        <v>9</v>
      </c>
      <c r="AE170" s="38">
        <v>16</v>
      </c>
      <c r="AF170" s="86">
        <f t="shared" ref="AF170:AP170" si="435">AF55</f>
        <v>34675</v>
      </c>
      <c r="AG170" s="37">
        <f t="shared" si="435"/>
        <v>0.96857541899441346</v>
      </c>
      <c r="AH170" s="38">
        <f t="shared" si="435"/>
        <v>20286</v>
      </c>
      <c r="AI170" s="37">
        <f t="shared" si="435"/>
        <v>0.56664804469273744</v>
      </c>
      <c r="AJ170" s="37">
        <f t="shared" si="435"/>
        <v>0.36409516943042541</v>
      </c>
      <c r="AK170" s="38">
        <f t="shared" si="435"/>
        <v>19199</v>
      </c>
      <c r="AL170" s="37">
        <f t="shared" si="435"/>
        <v>0.94641624765848364</v>
      </c>
      <c r="AM170" s="7">
        <f t="shared" si="435"/>
        <v>977.79704077481551</v>
      </c>
      <c r="AN170" s="38">
        <f t="shared" si="435"/>
        <v>17248</v>
      </c>
      <c r="AO170" s="37">
        <f t="shared" si="435"/>
        <v>0.89838012396478983</v>
      </c>
      <c r="AP170" s="50">
        <f t="shared" si="435"/>
        <v>5371.388433363587</v>
      </c>
      <c r="AQ170" s="91">
        <f t="shared" si="407"/>
        <v>0.48178770949720673</v>
      </c>
      <c r="AR170" s="7">
        <f>INDEX(Daggett!$B$7:$M$21, MATCH(AE170,Daggett!$A$7:$A$21,0), MATCH(AC$163,Daggett!$B$6:$M$6,0))</f>
        <v>596.45161290322585</v>
      </c>
      <c r="AS170" s="4">
        <f t="shared" si="399"/>
        <v>0.87732960145594241</v>
      </c>
      <c r="AT170" s="91">
        <f t="shared" si="408"/>
        <v>0.42268661915955574</v>
      </c>
      <c r="AU170" s="104">
        <f t="shared" si="409"/>
        <v>0.92683304293291535</v>
      </c>
      <c r="AV170" s="91">
        <f t="shared" si="410"/>
        <v>0.44653676884097554</v>
      </c>
      <c r="AW170" s="38"/>
      <c r="AX170" s="37"/>
      <c r="AY170" s="38"/>
      <c r="AZ170" s="37"/>
      <c r="BA170" s="37"/>
      <c r="BB170" s="38"/>
      <c r="BC170" s="37"/>
      <c r="BE170" s="7">
        <f>ROW(BF170)-ROW(BF162)+1</f>
        <v>9</v>
      </c>
      <c r="BF170" s="38">
        <v>16</v>
      </c>
      <c r="BG170" s="86">
        <f t="shared" ref="BG170:BQ170" si="436">BG55</f>
        <v>22360</v>
      </c>
      <c r="BH170" s="37">
        <f t="shared" si="436"/>
        <v>0.62458100558659213</v>
      </c>
      <c r="BI170" s="38">
        <f t="shared" si="436"/>
        <v>17952</v>
      </c>
      <c r="BJ170" s="37">
        <f t="shared" si="436"/>
        <v>0.5014525139664805</v>
      </c>
      <c r="BK170" s="37">
        <f t="shared" si="436"/>
        <v>0.12732363692929927</v>
      </c>
      <c r="BL170" s="38">
        <f t="shared" si="436"/>
        <v>13514</v>
      </c>
      <c r="BM170" s="37">
        <f t="shared" si="436"/>
        <v>0.75278520499108736</v>
      </c>
      <c r="BN170" s="7">
        <f t="shared" si="436"/>
        <v>688.26236830203959</v>
      </c>
      <c r="BO170" s="38">
        <f t="shared" si="436"/>
        <v>12306</v>
      </c>
      <c r="BP170" s="37">
        <f t="shared" si="436"/>
        <v>0.91061121799615219</v>
      </c>
      <c r="BQ170" s="50">
        <f t="shared" si="436"/>
        <v>3832.3461306222343</v>
      </c>
      <c r="BR170" s="91">
        <f t="shared" si="412"/>
        <v>0.34374301675977653</v>
      </c>
      <c r="BS170" s="103">
        <f>INDEX(Daggett!$B$7:$M$21, MATCH(BF170,Daggett!$A$7:$A$21,0), MATCH(BD$163,Daggett!$B$6:$M$6,0))</f>
        <v>596.45161290322585</v>
      </c>
      <c r="BT170" s="4">
        <f t="shared" si="401"/>
        <v>0.82806606256396031</v>
      </c>
      <c r="BU170" s="91">
        <f t="shared" si="413"/>
        <v>0.28464192642212555</v>
      </c>
      <c r="BV170" s="104">
        <f t="shared" si="414"/>
        <v>0.89744972570347181</v>
      </c>
      <c r="BW170" s="91">
        <f t="shared" si="415"/>
        <v>0.30849207610354534</v>
      </c>
      <c r="BX170" s="38"/>
      <c r="BY170" s="37"/>
      <c r="BZ170" s="37"/>
      <c r="CA170" s="38"/>
      <c r="CB170" s="37"/>
      <c r="CC170" s="7"/>
      <c r="CD170" s="41"/>
      <c r="CE170" s="37"/>
    </row>
    <row r="171" spans="2:83">
      <c r="C171" s="7"/>
      <c r="D171" s="38"/>
      <c r="E171" s="86"/>
      <c r="F171" s="37"/>
      <c r="G171" s="38"/>
      <c r="H171" s="37"/>
      <c r="I171" s="37"/>
      <c r="J171" s="38"/>
      <c r="K171" s="37"/>
      <c r="L171" s="7"/>
      <c r="M171" s="38"/>
      <c r="N171" s="37"/>
      <c r="O171" s="50"/>
      <c r="P171" s="91"/>
      <c r="Q171" s="4"/>
      <c r="R171" s="4"/>
      <c r="S171" s="91"/>
      <c r="T171" s="104"/>
      <c r="U171" s="91"/>
      <c r="AD171" s="7"/>
      <c r="AE171" s="38"/>
      <c r="AF171" s="86"/>
      <c r="AG171" s="37"/>
      <c r="AH171" s="38"/>
      <c r="AI171" s="37"/>
      <c r="AJ171" s="37"/>
      <c r="AK171" s="38"/>
      <c r="AL171" s="37"/>
      <c r="AM171" s="7"/>
      <c r="AN171" s="38"/>
      <c r="AO171" s="37"/>
      <c r="AP171" s="50"/>
      <c r="AQ171" s="91"/>
      <c r="AR171" s="4"/>
      <c r="AS171" s="4"/>
      <c r="AT171" s="91"/>
      <c r="AU171" s="104"/>
      <c r="AV171" s="91"/>
      <c r="AW171" s="38"/>
      <c r="AX171" s="37"/>
      <c r="AY171" s="38"/>
      <c r="AZ171" s="37"/>
      <c r="BA171" s="37"/>
      <c r="BB171" s="38"/>
      <c r="BC171" s="37"/>
      <c r="BE171" s="7"/>
      <c r="BF171" s="38"/>
      <c r="BG171" s="86"/>
      <c r="BH171" s="37"/>
      <c r="BI171" s="38"/>
      <c r="BJ171" s="37"/>
      <c r="BK171" s="37"/>
      <c r="BL171" s="38"/>
      <c r="BM171" s="37"/>
      <c r="BN171" s="7"/>
      <c r="BO171" s="38"/>
      <c r="BP171" s="37"/>
      <c r="BQ171" s="50"/>
      <c r="BR171" s="91"/>
      <c r="BS171" s="104"/>
      <c r="BT171" s="4"/>
      <c r="BU171" s="91"/>
      <c r="BV171" s="104"/>
      <c r="BW171" s="91"/>
      <c r="BX171" s="38"/>
      <c r="BY171" s="37"/>
      <c r="BZ171" s="37"/>
      <c r="CA171" s="38"/>
      <c r="CB171" s="37"/>
      <c r="CC171" s="7"/>
      <c r="CD171" s="41"/>
      <c r="CE171" s="37"/>
    </row>
    <row r="172" spans="2:83">
      <c r="C172" s="7"/>
      <c r="D172" s="38"/>
      <c r="E172" s="86"/>
      <c r="F172" s="37"/>
      <c r="G172" s="38"/>
      <c r="H172" s="37"/>
      <c r="I172" s="37"/>
      <c r="J172" s="38"/>
      <c r="K172" s="37"/>
      <c r="L172" s="7"/>
      <c r="M172" s="38"/>
      <c r="N172" s="37"/>
      <c r="O172" s="50"/>
      <c r="P172" s="91"/>
      <c r="Q172" s="7"/>
      <c r="R172" s="4"/>
      <c r="S172" s="91"/>
      <c r="T172" s="104"/>
      <c r="U172" s="91"/>
      <c r="AD172" s="7"/>
      <c r="AE172" s="38"/>
      <c r="AF172" s="86"/>
      <c r="AG172" s="37"/>
      <c r="AH172" s="38"/>
      <c r="AI172" s="37"/>
      <c r="AJ172" s="37"/>
      <c r="AK172" s="38"/>
      <c r="AL172" s="37"/>
      <c r="AM172" s="7"/>
      <c r="AN172" s="38"/>
      <c r="AO172" s="37"/>
      <c r="AP172" s="50"/>
      <c r="AQ172" s="91"/>
      <c r="AR172" s="7"/>
      <c r="AS172" s="4"/>
      <c r="AT172" s="91"/>
      <c r="AU172" s="104"/>
      <c r="AV172" s="91"/>
      <c r="AW172" s="38"/>
      <c r="AX172" s="37"/>
      <c r="AY172" s="38"/>
      <c r="AZ172" s="37"/>
      <c r="BA172" s="37"/>
      <c r="BB172" s="38"/>
      <c r="BC172" s="37"/>
      <c r="BE172" s="7"/>
      <c r="BF172" s="38"/>
      <c r="BG172" s="86"/>
      <c r="BH172" s="37"/>
      <c r="BI172" s="38"/>
      <c r="BJ172" s="37"/>
      <c r="BK172" s="37"/>
      <c r="BL172" s="38"/>
      <c r="BM172" s="37"/>
      <c r="BN172" s="7"/>
      <c r="BO172" s="38"/>
      <c r="BP172" s="37"/>
      <c r="BQ172" s="50"/>
      <c r="BR172" s="91"/>
      <c r="BS172" s="103"/>
      <c r="BT172" s="4"/>
      <c r="BU172" s="91"/>
      <c r="BV172" s="104"/>
      <c r="BW172" s="91"/>
      <c r="BX172" s="38"/>
      <c r="BY172" s="37"/>
      <c r="BZ172" s="37"/>
      <c r="CA172" s="38"/>
      <c r="CB172" s="37"/>
      <c r="CC172" s="7"/>
      <c r="CD172" s="41"/>
      <c r="CE172" s="37"/>
    </row>
    <row r="173" spans="2:83">
      <c r="E173" s="87"/>
      <c r="P173" s="88"/>
      <c r="S173" s="88"/>
      <c r="T173" s="87"/>
      <c r="U173" s="88"/>
      <c r="AF173" s="87"/>
      <c r="AQ173" s="88"/>
      <c r="AT173" s="88"/>
      <c r="AU173" s="87"/>
      <c r="AV173" s="88"/>
      <c r="AW173" s="38"/>
      <c r="AX173" s="37"/>
      <c r="AY173" s="38"/>
      <c r="AZ173" s="37"/>
      <c r="BA173" s="37"/>
      <c r="BB173" s="38"/>
      <c r="BC173" s="37"/>
      <c r="BG173" s="87"/>
      <c r="BR173" s="88"/>
      <c r="BS173" s="87"/>
      <c r="BU173" s="88"/>
      <c r="BV173" s="87"/>
      <c r="BW173" s="88"/>
      <c r="BX173" s="38"/>
      <c r="BY173" s="37"/>
      <c r="BZ173" s="37"/>
      <c r="CA173" s="38"/>
      <c r="CB173" s="37"/>
      <c r="CC173" s="7"/>
      <c r="CD173" s="41"/>
      <c r="CE173" s="37"/>
    </row>
    <row r="174" spans="2:83" ht="49.5">
      <c r="B174" s="34"/>
      <c r="C174" s="63" t="s">
        <v>151</v>
      </c>
      <c r="D174" s="63" t="s">
        <v>89</v>
      </c>
      <c r="E174" s="89" t="s">
        <v>152</v>
      </c>
      <c r="F174" s="34" t="s">
        <v>125</v>
      </c>
      <c r="G174" s="63" t="s">
        <v>153</v>
      </c>
      <c r="H174" s="33" t="s">
        <v>154</v>
      </c>
      <c r="I174" s="34" t="s">
        <v>155</v>
      </c>
      <c r="J174" s="85" t="s">
        <v>156</v>
      </c>
      <c r="K174" s="35" t="s">
        <v>157</v>
      </c>
      <c r="L174" s="35" t="s">
        <v>158</v>
      </c>
      <c r="M174" s="85" t="s">
        <v>159</v>
      </c>
      <c r="N174" s="35" t="s">
        <v>72</v>
      </c>
      <c r="O174" s="35" t="s">
        <v>160</v>
      </c>
      <c r="P174" s="100" t="s">
        <v>129</v>
      </c>
      <c r="Q174" s="138" t="s">
        <v>161</v>
      </c>
      <c r="R174" s="67" t="s">
        <v>130</v>
      </c>
      <c r="S174" s="100" t="s">
        <v>131</v>
      </c>
      <c r="T174" s="107" t="s">
        <v>130</v>
      </c>
      <c r="U174" s="100" t="s">
        <v>131</v>
      </c>
      <c r="AC174" s="34"/>
      <c r="AD174" s="63" t="s">
        <v>151</v>
      </c>
      <c r="AE174" s="63" t="s">
        <v>89</v>
      </c>
      <c r="AF174" s="89" t="s">
        <v>152</v>
      </c>
      <c r="AG174" s="34" t="s">
        <v>125</v>
      </c>
      <c r="AH174" s="63" t="s">
        <v>153</v>
      </c>
      <c r="AI174" s="33" t="s">
        <v>154</v>
      </c>
      <c r="AJ174" s="34" t="s">
        <v>155</v>
      </c>
      <c r="AK174" s="85" t="s">
        <v>156</v>
      </c>
      <c r="AL174" s="35" t="s">
        <v>157</v>
      </c>
      <c r="AM174" s="35" t="s">
        <v>158</v>
      </c>
      <c r="AN174" s="85" t="s">
        <v>159</v>
      </c>
      <c r="AO174" s="35" t="s">
        <v>72</v>
      </c>
      <c r="AP174" s="35" t="s">
        <v>160</v>
      </c>
      <c r="AQ174" s="100" t="s">
        <v>129</v>
      </c>
      <c r="AR174" s="138" t="s">
        <v>161</v>
      </c>
      <c r="AS174" s="67" t="s">
        <v>130</v>
      </c>
      <c r="AT174" s="100" t="s">
        <v>131</v>
      </c>
      <c r="AU174" s="107" t="s">
        <v>130</v>
      </c>
      <c r="AV174" s="100" t="s">
        <v>131</v>
      </c>
      <c r="AW174" s="38"/>
      <c r="AX174" s="37"/>
      <c r="AY174" s="38"/>
      <c r="AZ174" s="37"/>
      <c r="BA174" s="37"/>
      <c r="BB174" s="38"/>
      <c r="BC174" s="37"/>
      <c r="BD174" s="34"/>
      <c r="BE174" s="63" t="s">
        <v>151</v>
      </c>
      <c r="BF174" s="63" t="s">
        <v>89</v>
      </c>
      <c r="BG174" s="89" t="s">
        <v>152</v>
      </c>
      <c r="BH174" s="34" t="s">
        <v>125</v>
      </c>
      <c r="BI174" s="63" t="s">
        <v>153</v>
      </c>
      <c r="BJ174" s="33" t="s">
        <v>154</v>
      </c>
      <c r="BK174" s="34" t="s">
        <v>155</v>
      </c>
      <c r="BL174" s="85" t="s">
        <v>156</v>
      </c>
      <c r="BM174" s="35" t="s">
        <v>157</v>
      </c>
      <c r="BN174" s="35" t="s">
        <v>158</v>
      </c>
      <c r="BO174" s="85" t="s">
        <v>159</v>
      </c>
      <c r="BP174" s="35" t="s">
        <v>72</v>
      </c>
      <c r="BQ174" s="35" t="s">
        <v>160</v>
      </c>
      <c r="BR174" s="100" t="s">
        <v>129</v>
      </c>
      <c r="BS174" s="144" t="s">
        <v>161</v>
      </c>
      <c r="BT174" s="67" t="s">
        <v>130</v>
      </c>
      <c r="BU174" s="100" t="s">
        <v>131</v>
      </c>
      <c r="BV174" s="107" t="s">
        <v>130</v>
      </c>
      <c r="BW174" s="100" t="s">
        <v>131</v>
      </c>
      <c r="BX174" s="38"/>
      <c r="BY174" s="37"/>
      <c r="BZ174" s="37"/>
      <c r="CA174" s="38"/>
      <c r="CB174" s="37"/>
      <c r="CC174" s="7"/>
      <c r="CD174" s="41"/>
      <c r="CE174" s="37"/>
    </row>
    <row r="175" spans="2:83">
      <c r="B175" s="2" t="s">
        <v>88</v>
      </c>
      <c r="C175" s="7">
        <v>326</v>
      </c>
      <c r="D175" s="38">
        <v>8</v>
      </c>
      <c r="E175" s="86">
        <f t="shared" ref="E175:E181" si="437">E35</f>
        <v>31229</v>
      </c>
      <c r="F175" s="37">
        <f t="shared" ref="F175:O175" si="438">F35</f>
        <v>0.87231843575418999</v>
      </c>
      <c r="G175" s="38">
        <f t="shared" si="438"/>
        <v>15288</v>
      </c>
      <c r="H175" s="37">
        <f t="shared" si="438"/>
        <v>0.42703910614525142</v>
      </c>
      <c r="I175" s="37">
        <f t="shared" si="438"/>
        <v>0.46788589758404608</v>
      </c>
      <c r="J175" s="38">
        <f t="shared" si="438"/>
        <v>14076</v>
      </c>
      <c r="K175" s="37">
        <f t="shared" si="438"/>
        <v>0.92072213500784927</v>
      </c>
      <c r="L175" s="7">
        <f t="shared" si="438"/>
        <v>716.88479326768595</v>
      </c>
      <c r="M175" s="38">
        <f t="shared" si="438"/>
        <v>12588</v>
      </c>
      <c r="N175" s="37">
        <f t="shared" si="438"/>
        <v>0.89428815004262574</v>
      </c>
      <c r="O175" s="50">
        <f t="shared" si="438"/>
        <v>3920.1668366872</v>
      </c>
      <c r="P175" s="91">
        <f>M175/$C$10</f>
        <v>0.3516201117318436</v>
      </c>
      <c r="Q175" s="7">
        <f>INDEX(Daggett!$B$7:$M$21, MATCH(D175,Daggett!$A$7:$A$21,0), MATCH(B$176,Daggett!$B$6:$M$6,0))</f>
        <v>496</v>
      </c>
      <c r="R175" s="4">
        <f t="shared" ref="R175:R183" si="439">IF(1-$H$7*(($H$5+273)^4-298^4)*(PI()*$C$19^2)*1000/(M175*Q175*1000)&lt;0,#N/A,1-$H$7*(($H$5+273)^4-298^4)*(PI()*$C$19^2)*1000/(M175*Q175*1000))</f>
        <v>0.79787719046732364</v>
      </c>
      <c r="S175" s="91">
        <f>R175*P175</f>
        <v>0.28054966686040977</v>
      </c>
      <c r="T175" s="104">
        <f>IF(1-$H$7*(($H$5+273)^4-298^4)/(O175*1000)&lt;0,#N/A,1-$H$7*(($H$5+273)^4-298^4)/(O175*1000))</f>
        <v>0.89974708647179247</v>
      </c>
      <c r="U175" s="91">
        <f>T175*P175</f>
        <v>0.31636917107561241</v>
      </c>
      <c r="AC175" s="2" t="s">
        <v>88</v>
      </c>
      <c r="AD175" s="7">
        <v>326</v>
      </c>
      <c r="AE175" s="38">
        <v>8</v>
      </c>
      <c r="AF175" s="86">
        <f>AF35</f>
        <v>22297</v>
      </c>
      <c r="AG175" s="37">
        <f t="shared" ref="AG175:AP175" si="440">AG35</f>
        <v>0.62282122905027937</v>
      </c>
      <c r="AH175" s="38">
        <f t="shared" si="440"/>
        <v>14202</v>
      </c>
      <c r="AI175" s="37">
        <f t="shared" si="440"/>
        <v>0.39670391061452515</v>
      </c>
      <c r="AJ175" s="37">
        <f t="shared" si="440"/>
        <v>0.30766665821683947</v>
      </c>
      <c r="AK175" s="38">
        <f t="shared" si="440"/>
        <v>10672</v>
      </c>
      <c r="AL175" s="37">
        <f t="shared" si="440"/>
        <v>0.75144345866779327</v>
      </c>
      <c r="AM175" s="7">
        <f t="shared" si="440"/>
        <v>543.52049685654629</v>
      </c>
      <c r="AN175" s="38">
        <f t="shared" si="440"/>
        <v>9637</v>
      </c>
      <c r="AO175" s="37">
        <f t="shared" si="440"/>
        <v>0.90301724137931039</v>
      </c>
      <c r="AP175" s="50">
        <f t="shared" si="440"/>
        <v>3001.1636324399865</v>
      </c>
      <c r="AQ175" s="91">
        <f>AN175/$C$10</f>
        <v>0.26918994413407821</v>
      </c>
      <c r="AR175" s="7">
        <f>INDEX(Daggett!$B$7:$M$21, MATCH(AE175,Daggett!$A$7:$A$21,0), MATCH(AC$149,Daggett!$B$6:$M$6,0))</f>
        <v>673.38709677419354</v>
      </c>
      <c r="AS175" s="4">
        <f t="shared" ref="AS175:AS183" si="441">IF(1-$H$7*(($H$5+273)^4-298^4)*(PI()*$C$19^2)*1000/(AN175*AR175*1000)&lt;0,#N/A,1-$H$7*(($H$5+273)^4-298^4)*(PI()*$C$19^2)*1000/(AN175*AR175*1000))</f>
        <v>0.80553247462388733</v>
      </c>
      <c r="AT175" s="91">
        <f>AS175*AQ175</f>
        <v>0.21684124184219</v>
      </c>
      <c r="AU175" s="104">
        <f>IF(1-$H$7*(($H$5+273)^4-298^4)/(AP175*1000)&lt;0,#N/A,1-$H$7*(($H$5+273)^4-298^4)/(AP175*1000))</f>
        <v>0.86904807767011771</v>
      </c>
      <c r="AV175" s="91">
        <f>AU175*AQ175</f>
        <v>0.23393900347784705</v>
      </c>
      <c r="AW175" s="38"/>
      <c r="AX175" s="37"/>
      <c r="AY175" s="38"/>
      <c r="AZ175" s="37"/>
      <c r="BA175" s="37"/>
      <c r="BB175" s="38"/>
      <c r="BC175" s="37"/>
      <c r="BD175" s="2" t="s">
        <v>88</v>
      </c>
      <c r="BE175" s="7">
        <v>326</v>
      </c>
      <c r="BF175" s="38">
        <v>8</v>
      </c>
      <c r="BG175" s="86">
        <f>BG35</f>
        <v>34200</v>
      </c>
      <c r="BH175" s="37">
        <f t="shared" ref="BH175:BQ175" si="442">BH35</f>
        <v>0.95530726256983245</v>
      </c>
      <c r="BI175" s="38">
        <f t="shared" si="442"/>
        <v>15314</v>
      </c>
      <c r="BJ175" s="37">
        <f t="shared" si="442"/>
        <v>0.42776536312849162</v>
      </c>
      <c r="BK175" s="37">
        <f t="shared" si="442"/>
        <v>0.51328502415458943</v>
      </c>
      <c r="BL175" s="38">
        <f t="shared" si="442"/>
        <v>14479</v>
      </c>
      <c r="BM175" s="37">
        <f t="shared" si="442"/>
        <v>0.94547472900613816</v>
      </c>
      <c r="BN175" s="7">
        <f t="shared" si="442"/>
        <v>737.40941472881684</v>
      </c>
      <c r="BO175" s="38">
        <f t="shared" si="442"/>
        <v>12867</v>
      </c>
      <c r="BP175" s="37">
        <f t="shared" si="442"/>
        <v>0.88866634436079839</v>
      </c>
      <c r="BQ175" s="50">
        <f t="shared" si="442"/>
        <v>4007.0532799216876</v>
      </c>
      <c r="BR175" s="91">
        <f>BO175/$C$10</f>
        <v>0.35941340782122905</v>
      </c>
      <c r="BS175" s="103">
        <f>INDEX(Daggett!$B$7:$M$21, MATCH(BF175,Daggett!$A$7:$A$21,0), MATCH(BD$149,Daggett!$B$6:$M$6,0))</f>
        <v>673.38709677419354</v>
      </c>
      <c r="BT175" s="4">
        <f t="shared" ref="BT175:BT183" si="443">IF(1-$H$7*(($H$5+273)^4-298^4)*(PI()*$C$19^2)*1000/(BO175*BS175*1000)&lt;0,#N/A,1-$H$7*(($H$5+273)^4-298^4)*(PI()*$C$19^2)*1000/(BO175*BS175*1000))</f>
        <v>0.85434961202692172</v>
      </c>
      <c r="BU175" s="91">
        <f>BT175*BR175</f>
        <v>0.30706470552934084</v>
      </c>
      <c r="BV175" s="104">
        <f>IF(1-$H$7*(($H$5+273)^4-298^4)/(BQ175*1000)&lt;0,#N/A,1-$H$7*(($H$5+273)^4-298^4)/(BQ175*1000))</f>
        <v>0.9019209080987739</v>
      </c>
      <c r="BW175" s="91">
        <f>BV175*BR175</f>
        <v>0.32416246716499786</v>
      </c>
      <c r="BX175" s="38"/>
      <c r="BY175" s="37"/>
      <c r="BZ175" s="37"/>
      <c r="CA175" s="38"/>
      <c r="CB175" s="37"/>
      <c r="CC175" s="7"/>
      <c r="CD175" s="41"/>
      <c r="CE175" s="37"/>
    </row>
    <row r="176" spans="2:83">
      <c r="B176" s="2">
        <v>11</v>
      </c>
      <c r="D176" s="38">
        <v>9</v>
      </c>
      <c r="E176" s="86">
        <f t="shared" si="437"/>
        <v>33034</v>
      </c>
      <c r="F176" s="37">
        <f t="shared" ref="F176:O176" si="444">F36</f>
        <v>0.92273743016759779</v>
      </c>
      <c r="G176" s="38">
        <f t="shared" si="444"/>
        <v>22107</v>
      </c>
      <c r="H176" s="37">
        <f t="shared" si="444"/>
        <v>0.61751396648044687</v>
      </c>
      <c r="I176" s="37">
        <f t="shared" si="444"/>
        <v>0.27258740007002014</v>
      </c>
      <c r="J176" s="38">
        <f t="shared" si="444"/>
        <v>20751</v>
      </c>
      <c r="K176" s="37">
        <f t="shared" si="444"/>
        <v>0.93866196227439269</v>
      </c>
      <c r="L176" s="7">
        <f t="shared" si="444"/>
        <v>1056.8397517119745</v>
      </c>
      <c r="M176" s="38">
        <f t="shared" si="444"/>
        <v>18727</v>
      </c>
      <c r="N176" s="37">
        <f t="shared" si="444"/>
        <v>0.90246253192617221</v>
      </c>
      <c r="O176" s="50">
        <f t="shared" si="444"/>
        <v>5831.9800087894182</v>
      </c>
      <c r="P176" s="91">
        <f>M176/$C$10</f>
        <v>0.5231005586592179</v>
      </c>
      <c r="Q176" s="7">
        <f>INDEX(Daggett!$B$7:$M$21, MATCH(D176,Daggett!$A$7:$A$21,0), MATCH(B$176,Daggett!$B$6:$M$6,0))</f>
        <v>672.5333333333333</v>
      </c>
      <c r="R176" s="4">
        <f t="shared" si="439"/>
        <v>0.8997990792977999</v>
      </c>
      <c r="S176" s="91">
        <f t="shared" ref="S176:S183" si="445">R176*P176</f>
        <v>0.47068540106172901</v>
      </c>
      <c r="T176" s="104">
        <f t="shared" ref="T176:T183" si="446">IF(1-$H$7*(($H$5+273)^4-298^4)/(O176*1000)&lt;0,#N/A,1-$H$7*(($H$5+273)^4-298^4)/(O176*1000))</f>
        <v>0.93261154079708031</v>
      </c>
      <c r="U176" s="91">
        <f t="shared" ref="U176:U183" si="447">T176*P176</f>
        <v>0.48784961800298671</v>
      </c>
      <c r="AC176" s="2">
        <v>11</v>
      </c>
      <c r="AE176" s="38">
        <v>9</v>
      </c>
      <c r="AF176" s="86">
        <f t="shared" ref="AF176:AP176" si="448">AF36</f>
        <v>25472</v>
      </c>
      <c r="AG176" s="37">
        <f t="shared" si="448"/>
        <v>0.71150837988826821</v>
      </c>
      <c r="AH176" s="38">
        <f t="shared" si="448"/>
        <v>17759</v>
      </c>
      <c r="AI176" s="37">
        <f t="shared" si="448"/>
        <v>0.49606145251396649</v>
      </c>
      <c r="AJ176" s="37">
        <f t="shared" si="448"/>
        <v>0.24217725857548622</v>
      </c>
      <c r="AK176" s="38">
        <f t="shared" si="448"/>
        <v>14746</v>
      </c>
      <c r="AL176" s="37">
        <f t="shared" si="448"/>
        <v>0.83033954614561634</v>
      </c>
      <c r="AM176" s="7">
        <f t="shared" si="448"/>
        <v>751.00761306658831</v>
      </c>
      <c r="AN176" s="38">
        <f t="shared" si="448"/>
        <v>13346</v>
      </c>
      <c r="AO176" s="37">
        <f t="shared" si="448"/>
        <v>0.90505899905058995</v>
      </c>
      <c r="AP176" s="50">
        <f t="shared" si="448"/>
        <v>4156.2239118547323</v>
      </c>
      <c r="AQ176" s="91">
        <f t="shared" ref="AQ176:AQ183" si="449">AN176/$C$10</f>
        <v>0.3727932960893855</v>
      </c>
      <c r="AR176" s="7">
        <f>INDEX(Daggett!$B$7:$M$21, MATCH(AE176,Daggett!$A$7:$A$21,0), MATCH(AC$149,Daggett!$B$6:$M$6,0))</f>
        <v>771.41935483870964</v>
      </c>
      <c r="AS176" s="4">
        <f t="shared" si="441"/>
        <v>0.87742212575892653</v>
      </c>
      <c r="AT176" s="91">
        <f t="shared" ref="AT176:AT183" si="450">AS176*AQ176</f>
        <v>0.32709708632342555</v>
      </c>
      <c r="AU176" s="104">
        <f t="shared" ref="AU176:AU183" si="451">IF(1-$H$7*(($H$5+273)^4-298^4)/(AP176*1000)&lt;0,#N/A,1-$H$7*(($H$5+273)^4-298^4)/(AP176*1000))</f>
        <v>0.90544105533545061</v>
      </c>
      <c r="AV176" s="91">
        <f t="shared" ref="AV176:AV183" si="452">AU176*AQ176</f>
        <v>0.33754235543315431</v>
      </c>
      <c r="AW176" s="38"/>
      <c r="AX176" s="37"/>
      <c r="AY176" s="38"/>
      <c r="AZ176" s="37"/>
      <c r="BA176" s="37"/>
      <c r="BB176" s="38"/>
      <c r="BC176" s="37"/>
      <c r="BD176" s="2">
        <v>11</v>
      </c>
      <c r="BF176" s="38">
        <v>9</v>
      </c>
      <c r="BG176" s="86">
        <f t="shared" ref="BG176:BQ176" si="453">BG36</f>
        <v>34611</v>
      </c>
      <c r="BH176" s="37">
        <f t="shared" si="453"/>
        <v>0.96678770949720672</v>
      </c>
      <c r="BI176" s="38">
        <f t="shared" si="453"/>
        <v>22748</v>
      </c>
      <c r="BJ176" s="37">
        <f t="shared" si="453"/>
        <v>0.63541899441340777</v>
      </c>
      <c r="BK176" s="37">
        <f t="shared" si="453"/>
        <v>0.28560033063125201</v>
      </c>
      <c r="BL176" s="38">
        <f t="shared" si="453"/>
        <v>21547</v>
      </c>
      <c r="BM176" s="37">
        <f t="shared" si="453"/>
        <v>0.94720414981536838</v>
      </c>
      <c r="BN176" s="7">
        <f t="shared" si="453"/>
        <v>1097.3796988163419</v>
      </c>
      <c r="BO176" s="38">
        <f t="shared" si="453"/>
        <v>19418</v>
      </c>
      <c r="BP176" s="37">
        <f t="shared" si="453"/>
        <v>0.90119274144892558</v>
      </c>
      <c r="BQ176" s="50">
        <f t="shared" si="453"/>
        <v>6047.1718807429343</v>
      </c>
      <c r="BR176" s="91">
        <f t="shared" ref="BR176:BR183" si="454">BO176/$C$10</f>
        <v>0.54240223463687154</v>
      </c>
      <c r="BS176" s="103">
        <f>INDEX(Daggett!$B$7:$M$21, MATCH(BF176,Daggett!$A$7:$A$21,0), MATCH(BD$149,Daggett!$B$6:$M$6,0))</f>
        <v>771.41935483870964</v>
      </c>
      <c r="BT176" s="4">
        <f t="shared" si="443"/>
        <v>0.91575217274583554</v>
      </c>
      <c r="BU176" s="91">
        <f t="shared" ref="BU176:BU183" si="455">BT176*BR176</f>
        <v>0.49670602487091159</v>
      </c>
      <c r="BV176" s="104">
        <f t="shared" ref="BV176:BV183" si="456">IF(1-$H$7*(($H$5+273)^4-298^4)/(BQ176*1000)&lt;0,#N/A,1-$H$7*(($H$5+273)^4-298^4)/(BQ176*1000))</f>
        <v>0.93500959545302931</v>
      </c>
      <c r="BW176" s="91">
        <f t="shared" ref="BW176:BW183" si="457">BV176*BR176</f>
        <v>0.50715129398064029</v>
      </c>
      <c r="BX176" s="38"/>
      <c r="BY176" s="37"/>
      <c r="BZ176" s="37"/>
      <c r="CA176" s="38"/>
      <c r="CB176" s="37"/>
      <c r="CC176" s="7"/>
      <c r="CD176" s="41"/>
      <c r="CE176" s="37"/>
    </row>
    <row r="177" spans="2:83">
      <c r="D177" s="38">
        <v>10</v>
      </c>
      <c r="E177" s="86">
        <f t="shared" si="437"/>
        <v>34355</v>
      </c>
      <c r="F177" s="37">
        <f t="shared" ref="F177:O177" si="458">F37</f>
        <v>0.95963687150837984</v>
      </c>
      <c r="G177" s="38">
        <f t="shared" si="458"/>
        <v>24891</v>
      </c>
      <c r="H177" s="37">
        <f t="shared" si="458"/>
        <v>0.69527932960893857</v>
      </c>
      <c r="I177" s="37">
        <f t="shared" si="458"/>
        <v>0.21247460973341015</v>
      </c>
      <c r="J177" s="38">
        <f t="shared" si="458"/>
        <v>23524</v>
      </c>
      <c r="K177" s="37">
        <f t="shared" si="458"/>
        <v>0.94508055120324619</v>
      </c>
      <c r="L177" s="7">
        <f t="shared" si="458"/>
        <v>1198.0674820139986</v>
      </c>
      <c r="M177" s="38">
        <f t="shared" si="458"/>
        <v>21291</v>
      </c>
      <c r="N177" s="37">
        <f t="shared" si="458"/>
        <v>0.90507566740350276</v>
      </c>
      <c r="O177" s="50">
        <f t="shared" si="458"/>
        <v>6630.4633079049236</v>
      </c>
      <c r="P177" s="91">
        <f>M177/$C$10</f>
        <v>0.59472067039106147</v>
      </c>
      <c r="Q177" s="7">
        <f>INDEX(Daggett!$B$7:$M$21, MATCH(D177,Daggett!$A$7:$A$21,0), MATCH(B$176,Daggett!$B$6:$M$6,0))</f>
        <v>739.0333333333333</v>
      </c>
      <c r="R177" s="4">
        <f t="shared" si="439"/>
        <v>0.91979643923658794</v>
      </c>
      <c r="S177" s="91">
        <f t="shared" si="445"/>
        <v>0.54702195496609485</v>
      </c>
      <c r="T177" s="104">
        <f t="shared" si="446"/>
        <v>0.94072689514381302</v>
      </c>
      <c r="U177" s="91">
        <f t="shared" si="447"/>
        <v>0.55946972973483022</v>
      </c>
      <c r="AE177" s="38">
        <v>10</v>
      </c>
      <c r="AF177" s="86">
        <f t="shared" ref="AF177:AP177" si="459">AF37</f>
        <v>28254</v>
      </c>
      <c r="AG177" s="37">
        <f t="shared" si="459"/>
        <v>0.78921787709497204</v>
      </c>
      <c r="AH177" s="38">
        <f t="shared" si="459"/>
        <v>22170</v>
      </c>
      <c r="AI177" s="37">
        <f t="shared" si="459"/>
        <v>0.61927374301675975</v>
      </c>
      <c r="AJ177" s="37">
        <f t="shared" si="459"/>
        <v>0.14710037209044657</v>
      </c>
      <c r="AK177" s="38">
        <f t="shared" si="459"/>
        <v>19559</v>
      </c>
      <c r="AL177" s="37">
        <f t="shared" si="459"/>
        <v>0.88222823635543524</v>
      </c>
      <c r="AM177" s="7">
        <f t="shared" si="459"/>
        <v>996.13169021900183</v>
      </c>
      <c r="AN177" s="38">
        <f t="shared" si="459"/>
        <v>17775</v>
      </c>
      <c r="AO177" s="37">
        <f t="shared" si="459"/>
        <v>0.90878879288307168</v>
      </c>
      <c r="AP177" s="50">
        <f t="shared" si="459"/>
        <v>5535.5072705842849</v>
      </c>
      <c r="AQ177" s="91">
        <f t="shared" si="449"/>
        <v>0.49650837988826818</v>
      </c>
      <c r="AR177" s="7">
        <f>INDEX(Daggett!$B$7:$M$21, MATCH(AE177,Daggett!$A$7:$A$21,0), MATCH(AC$149,Daggett!$B$6:$M$6,0))</f>
        <v>840.45161290322585</v>
      </c>
      <c r="AS177" s="4">
        <f t="shared" si="441"/>
        <v>0.91552437517732488</v>
      </c>
      <c r="AT177" s="91">
        <f t="shared" si="450"/>
        <v>0.45456552426751257</v>
      </c>
      <c r="AU177" s="104">
        <f t="shared" si="451"/>
        <v>0.92900232486677492</v>
      </c>
      <c r="AV177" s="91">
        <f t="shared" si="452"/>
        <v>0.46125743923203699</v>
      </c>
      <c r="AW177" s="38"/>
      <c r="AX177" s="37"/>
      <c r="AY177" s="38"/>
      <c r="AZ177" s="37"/>
      <c r="BA177" s="37"/>
      <c r="BB177" s="38"/>
      <c r="BC177" s="37"/>
      <c r="BF177" s="38">
        <v>10</v>
      </c>
      <c r="BG177" s="86">
        <f t="shared" ref="BG177:BQ177" si="460">BG37</f>
        <v>34446</v>
      </c>
      <c r="BH177" s="37">
        <f t="shared" si="460"/>
        <v>0.96217877094972071</v>
      </c>
      <c r="BI177" s="38">
        <f t="shared" si="460"/>
        <v>24731</v>
      </c>
      <c r="BJ177" s="37">
        <f t="shared" si="460"/>
        <v>0.69081005586592181</v>
      </c>
      <c r="BK177" s="37">
        <f t="shared" si="460"/>
        <v>0.21960396739445986</v>
      </c>
      <c r="BL177" s="38">
        <f t="shared" si="460"/>
        <v>23408</v>
      </c>
      <c r="BM177" s="37">
        <f t="shared" si="460"/>
        <v>0.94650438720634023</v>
      </c>
      <c r="BN177" s="7">
        <f t="shared" si="460"/>
        <v>1192.1596505264274</v>
      </c>
      <c r="BO177" s="38">
        <f t="shared" si="460"/>
        <v>21174</v>
      </c>
      <c r="BP177" s="37">
        <f t="shared" si="460"/>
        <v>0.90456254272043746</v>
      </c>
      <c r="BQ177" s="50">
        <f t="shared" si="460"/>
        <v>6594.0270575162676</v>
      </c>
      <c r="BR177" s="91">
        <f t="shared" si="454"/>
        <v>0.59145251396648046</v>
      </c>
      <c r="BS177" s="103">
        <f>INDEX(Daggett!$B$7:$M$21, MATCH(BF177,Daggett!$A$7:$A$21,0), MATCH(BD$149,Daggett!$B$6:$M$6,0))</f>
        <v>840.45161290322585</v>
      </c>
      <c r="BT177" s="4">
        <f t="shared" si="443"/>
        <v>0.92908499899768349</v>
      </c>
      <c r="BU177" s="91">
        <f t="shared" si="455"/>
        <v>0.54950965834572485</v>
      </c>
      <c r="BV177" s="104">
        <f t="shared" si="456"/>
        <v>0.94039937302856913</v>
      </c>
      <c r="BW177" s="91">
        <f t="shared" si="457"/>
        <v>0.55620157331024922</v>
      </c>
      <c r="BX177" s="38"/>
      <c r="BY177" s="37"/>
      <c r="BZ177" s="37"/>
      <c r="CA177" s="38"/>
      <c r="CB177" s="37"/>
      <c r="CC177" s="7"/>
      <c r="CD177" s="41"/>
      <c r="CE177" s="37"/>
    </row>
    <row r="178" spans="2:83">
      <c r="D178" s="38">
        <v>11</v>
      </c>
      <c r="E178" s="86">
        <f t="shared" si="437"/>
        <v>35160</v>
      </c>
      <c r="F178" s="37">
        <f t="shared" ref="F178:O178" si="461">F38</f>
        <v>0.98212290502793298</v>
      </c>
      <c r="G178" s="38">
        <f t="shared" si="461"/>
        <v>27603</v>
      </c>
      <c r="H178" s="37">
        <f t="shared" si="461"/>
        <v>0.77103351955307264</v>
      </c>
      <c r="I178" s="37">
        <f t="shared" si="461"/>
        <v>0.14666493545036352</v>
      </c>
      <c r="J178" s="38">
        <f t="shared" si="461"/>
        <v>26110</v>
      </c>
      <c r="K178" s="37">
        <f t="shared" si="461"/>
        <v>0.9459116762670724</v>
      </c>
      <c r="L178" s="7">
        <f t="shared" si="461"/>
        <v>1329.7713805214039</v>
      </c>
      <c r="M178" s="38">
        <f t="shared" si="461"/>
        <v>23685</v>
      </c>
      <c r="N178" s="37">
        <f t="shared" si="461"/>
        <v>0.90712370739180392</v>
      </c>
      <c r="O178" s="50">
        <f t="shared" si="461"/>
        <v>7376.0050466266557</v>
      </c>
      <c r="P178" s="91">
        <f>M178/$C$10</f>
        <v>0.66159217877094967</v>
      </c>
      <c r="Q178" s="7">
        <f>INDEX(Daggett!$B$7:$M$21, MATCH(D178,Daggett!$A$7:$A$21,0), MATCH(B$176,Daggett!$B$6:$M$6,0))</f>
        <v>779.3</v>
      </c>
      <c r="R178" s="4">
        <f t="shared" si="439"/>
        <v>0.93162841123891349</v>
      </c>
      <c r="S178" s="91">
        <f t="shared" si="445"/>
        <v>0.61635807039647106</v>
      </c>
      <c r="T178" s="104">
        <f t="shared" si="446"/>
        <v>0.94671802087848533</v>
      </c>
      <c r="U178" s="91">
        <f t="shared" si="447"/>
        <v>0.62634123811471853</v>
      </c>
      <c r="AE178" s="38">
        <v>11</v>
      </c>
      <c r="AF178" s="86">
        <f t="shared" ref="AF178:AP178" si="462">AF38</f>
        <v>30583</v>
      </c>
      <c r="AG178" s="37">
        <f t="shared" si="462"/>
        <v>0.85427374301675973</v>
      </c>
      <c r="AH178" s="38">
        <f t="shared" si="462"/>
        <v>25691</v>
      </c>
      <c r="AI178" s="37">
        <f t="shared" si="462"/>
        <v>0.71762569832402234</v>
      </c>
      <c r="AJ178" s="37">
        <f t="shared" si="462"/>
        <v>8.6911029003040929E-2</v>
      </c>
      <c r="AK178" s="38">
        <f t="shared" si="462"/>
        <v>23513</v>
      </c>
      <c r="AL178" s="37">
        <f t="shared" si="462"/>
        <v>0.91522322992487637</v>
      </c>
      <c r="AM178" s="7">
        <f t="shared" si="462"/>
        <v>1197.5072566143151</v>
      </c>
      <c r="AN178" s="38">
        <f t="shared" si="462"/>
        <v>21405</v>
      </c>
      <c r="AO178" s="37">
        <f t="shared" si="462"/>
        <v>0.91034746735848249</v>
      </c>
      <c r="AP178" s="50">
        <f t="shared" si="462"/>
        <v>6665.965295463101</v>
      </c>
      <c r="AQ178" s="91">
        <f t="shared" si="449"/>
        <v>0.59790502793296085</v>
      </c>
      <c r="AR178" s="7">
        <f>INDEX(Daggett!$B$7:$M$21, MATCH(AE178,Daggett!$A$7:$A$21,0), MATCH(AC$149,Daggett!$B$6:$M$6,0))</f>
        <v>837.90322580645159</v>
      </c>
      <c r="AS178" s="4">
        <f t="shared" si="441"/>
        <v>0.92963695224657361</v>
      </c>
      <c r="AT178" s="91">
        <f t="shared" si="450"/>
        <v>0.55583460790050021</v>
      </c>
      <c r="AU178" s="104">
        <f t="shared" si="451"/>
        <v>0.9410425753098306</v>
      </c>
      <c r="AV178" s="91">
        <f t="shared" si="452"/>
        <v>0.56265408727672972</v>
      </c>
      <c r="AW178" s="38"/>
      <c r="AX178" s="37"/>
      <c r="AY178" s="38"/>
      <c r="AZ178" s="37"/>
      <c r="BA178" s="37"/>
      <c r="BB178" s="38"/>
      <c r="BC178" s="37"/>
      <c r="BF178" s="38">
        <v>11</v>
      </c>
      <c r="BG178" s="86">
        <f t="shared" ref="BG178:BQ178" si="463">BG38</f>
        <v>33709</v>
      </c>
      <c r="BH178" s="37">
        <f t="shared" si="463"/>
        <v>0.94159217877094969</v>
      </c>
      <c r="BI178" s="38">
        <f t="shared" si="463"/>
        <v>27509</v>
      </c>
      <c r="BJ178" s="37">
        <f t="shared" si="463"/>
        <v>0.76840782122905027</v>
      </c>
      <c r="BK178" s="37">
        <f t="shared" si="463"/>
        <v>0.11296428382563306</v>
      </c>
      <c r="BL178" s="38">
        <f t="shared" si="463"/>
        <v>25885</v>
      </c>
      <c r="BM178" s="37">
        <f t="shared" si="463"/>
        <v>0.94096477516449162</v>
      </c>
      <c r="BN178" s="7">
        <f t="shared" si="463"/>
        <v>1318.3122246187875</v>
      </c>
      <c r="BO178" s="38">
        <f t="shared" si="463"/>
        <v>23511</v>
      </c>
      <c r="BP178" s="37">
        <f t="shared" si="463"/>
        <v>0.90828665250144869</v>
      </c>
      <c r="BQ178" s="50">
        <f t="shared" si="463"/>
        <v>7321.8178024589106</v>
      </c>
      <c r="BR178" s="91">
        <f t="shared" si="454"/>
        <v>0.65673184357541903</v>
      </c>
      <c r="BS178" s="103">
        <f>INDEX(Daggett!$B$7:$M$21, MATCH(BF178,Daggett!$A$7:$A$21,0), MATCH(BD$149,Daggett!$B$6:$M$6,0))</f>
        <v>837.90322580645159</v>
      </c>
      <c r="BT178" s="4">
        <f t="shared" si="443"/>
        <v>0.93593972875836451</v>
      </c>
      <c r="BU178" s="91">
        <f t="shared" si="455"/>
        <v>0.61466142354295839</v>
      </c>
      <c r="BV178" s="104">
        <f t="shared" si="456"/>
        <v>0.9463236920805973</v>
      </c>
      <c r="BW178" s="91">
        <f t="shared" si="457"/>
        <v>0.62148090291918778</v>
      </c>
      <c r="BX178" s="38"/>
      <c r="BY178" s="37"/>
      <c r="BZ178" s="37"/>
      <c r="CA178" s="38"/>
      <c r="CB178" s="37"/>
      <c r="CC178" s="7"/>
      <c r="CD178" s="41"/>
      <c r="CE178" s="37"/>
    </row>
    <row r="179" spans="2:83">
      <c r="D179" s="38">
        <v>12</v>
      </c>
      <c r="E179" s="86">
        <f t="shared" si="437"/>
        <v>35430</v>
      </c>
      <c r="F179" s="37">
        <f t="shared" ref="F179:O179" si="464">F39</f>
        <v>0.98966480446927374</v>
      </c>
      <c r="G179" s="38">
        <f t="shared" si="464"/>
        <v>28116</v>
      </c>
      <c r="H179" s="37">
        <f t="shared" si="464"/>
        <v>0.78536312849162015</v>
      </c>
      <c r="I179" s="37">
        <f t="shared" si="464"/>
        <v>0.13742959172403646</v>
      </c>
      <c r="J179" s="38">
        <f t="shared" si="464"/>
        <v>26615</v>
      </c>
      <c r="K179" s="37">
        <f t="shared" si="464"/>
        <v>0.94661402759994306</v>
      </c>
      <c r="L179" s="7">
        <f t="shared" si="464"/>
        <v>1355.4908193250542</v>
      </c>
      <c r="M179" s="38">
        <f t="shared" si="464"/>
        <v>24106</v>
      </c>
      <c r="N179" s="37">
        <f t="shared" si="464"/>
        <v>0.90572985158745067</v>
      </c>
      <c r="O179" s="50">
        <f t="shared" si="464"/>
        <v>7507.1132638371182</v>
      </c>
      <c r="P179" s="91">
        <f>M179/$C$10</f>
        <v>0.67335195530726255</v>
      </c>
      <c r="Q179" s="7">
        <f>INDEX(Daggett!$B$7:$M$21, MATCH(D179,Daggett!$A$7:$A$21,0), MATCH(B$176,Daggett!$B$6:$M$6,0))</f>
        <v>775</v>
      </c>
      <c r="R179" s="4">
        <f t="shared" si="439"/>
        <v>0.93244976217977715</v>
      </c>
      <c r="S179" s="91">
        <f t="shared" si="445"/>
        <v>0.62786687058954493</v>
      </c>
      <c r="T179" s="104">
        <f t="shared" si="446"/>
        <v>0.94764856568932732</v>
      </c>
      <c r="U179" s="91">
        <f t="shared" si="447"/>
        <v>0.63810101465103142</v>
      </c>
      <c r="AE179" s="38">
        <v>12</v>
      </c>
      <c r="AF179" s="86">
        <f t="shared" ref="AF179:AP179" si="465">AF39</f>
        <v>32413</v>
      </c>
      <c r="AG179" s="37">
        <f t="shared" si="465"/>
        <v>0.90539106145251391</v>
      </c>
      <c r="AH179" s="38">
        <f t="shared" si="465"/>
        <v>28046</v>
      </c>
      <c r="AI179" s="37">
        <f t="shared" si="465"/>
        <v>0.78340782122905028</v>
      </c>
      <c r="AJ179" s="37">
        <f t="shared" si="465"/>
        <v>5.9489013399079083E-2</v>
      </c>
      <c r="AK179" s="38">
        <f t="shared" si="465"/>
        <v>26223</v>
      </c>
      <c r="AL179" s="37">
        <f t="shared" si="465"/>
        <v>0.9349996434429152</v>
      </c>
      <c r="AM179" s="7">
        <f t="shared" si="465"/>
        <v>1335.5264232636068</v>
      </c>
      <c r="AN179" s="38">
        <f t="shared" si="465"/>
        <v>23858</v>
      </c>
      <c r="AO179" s="37">
        <f t="shared" si="465"/>
        <v>0.90981199710178084</v>
      </c>
      <c r="AP179" s="50">
        <f t="shared" si="465"/>
        <v>7429.8808698509074</v>
      </c>
      <c r="AQ179" s="91">
        <f t="shared" si="449"/>
        <v>0.66642458100558655</v>
      </c>
      <c r="AR179" s="7">
        <f>INDEX(Daggett!$B$7:$M$21, MATCH(AE179,Daggett!$A$7:$A$21,0), MATCH(AC$149,Daggett!$B$6:$M$6,0))</f>
        <v>845.41935483870964</v>
      </c>
      <c r="AS179" s="4">
        <f t="shared" si="441"/>
        <v>0.93743268522550049</v>
      </c>
      <c r="AT179" s="91">
        <f t="shared" si="450"/>
        <v>0.62472818447234602</v>
      </c>
      <c r="AU179" s="104">
        <f t="shared" si="451"/>
        <v>0.94710438110935213</v>
      </c>
      <c r="AV179" s="91">
        <f t="shared" si="452"/>
        <v>0.6311736403493553</v>
      </c>
      <c r="AW179" s="38"/>
      <c r="AX179" s="37"/>
      <c r="AY179" s="38"/>
      <c r="AZ179" s="37"/>
      <c r="BA179" s="37"/>
      <c r="BB179" s="38"/>
      <c r="BC179" s="37"/>
      <c r="BF179" s="38">
        <v>12</v>
      </c>
      <c r="BG179" s="86">
        <f t="shared" ref="BG179:BQ179" si="466">BG39</f>
        <v>32413</v>
      </c>
      <c r="BH179" s="37">
        <f t="shared" si="466"/>
        <v>0.90539106145251391</v>
      </c>
      <c r="BI179" s="38">
        <f t="shared" si="466"/>
        <v>28046</v>
      </c>
      <c r="BJ179" s="37">
        <f t="shared" si="466"/>
        <v>0.78340782122905028</v>
      </c>
      <c r="BK179" s="37">
        <f t="shared" si="466"/>
        <v>5.9489013399079083E-2</v>
      </c>
      <c r="BL179" s="38">
        <f t="shared" si="466"/>
        <v>26223</v>
      </c>
      <c r="BM179" s="37">
        <f t="shared" si="466"/>
        <v>0.9349996434429152</v>
      </c>
      <c r="BN179" s="7">
        <f t="shared" si="466"/>
        <v>1335.5264232636068</v>
      </c>
      <c r="BO179" s="38">
        <f t="shared" si="466"/>
        <v>23858</v>
      </c>
      <c r="BP179" s="37">
        <f t="shared" si="466"/>
        <v>0.90981199710178084</v>
      </c>
      <c r="BQ179" s="50">
        <f t="shared" si="466"/>
        <v>7429.8808698509074</v>
      </c>
      <c r="BR179" s="91">
        <f t="shared" si="454"/>
        <v>0.66642458100558655</v>
      </c>
      <c r="BS179" s="103">
        <f>INDEX(Daggett!$B$7:$M$21, MATCH(BF179,Daggett!$A$7:$A$21,0), MATCH(BD$149,Daggett!$B$6:$M$6,0))</f>
        <v>845.41935483870964</v>
      </c>
      <c r="BT179" s="4">
        <f t="shared" si="443"/>
        <v>0.93743268522550049</v>
      </c>
      <c r="BU179" s="91">
        <f t="shared" si="455"/>
        <v>0.62472818447234602</v>
      </c>
      <c r="BV179" s="104">
        <f t="shared" si="456"/>
        <v>0.94710438110935213</v>
      </c>
      <c r="BW179" s="91">
        <f t="shared" si="457"/>
        <v>0.6311736403493553</v>
      </c>
      <c r="BX179" s="38"/>
      <c r="BY179" s="37"/>
      <c r="BZ179" s="37"/>
      <c r="CA179" s="38"/>
      <c r="CB179" s="37"/>
      <c r="CC179" s="7"/>
      <c r="CD179" s="41"/>
      <c r="CE179" s="37"/>
    </row>
    <row r="180" spans="2:83">
      <c r="D180" s="38">
        <v>13</v>
      </c>
      <c r="E180" s="86">
        <f t="shared" si="437"/>
        <v>35160</v>
      </c>
      <c r="F180" s="37">
        <f t="shared" ref="F180:O180" si="467">F40</f>
        <v>0.98212290502793298</v>
      </c>
      <c r="G180" s="38">
        <f t="shared" si="467"/>
        <v>27603</v>
      </c>
      <c r="H180" s="37">
        <f t="shared" si="467"/>
        <v>0.77103351955307264</v>
      </c>
      <c r="I180" s="37">
        <f t="shared" si="467"/>
        <v>0.14666493545036352</v>
      </c>
      <c r="J180" s="38">
        <f t="shared" si="467"/>
        <v>26110</v>
      </c>
      <c r="K180" s="37">
        <f t="shared" si="467"/>
        <v>0.9459116762670724</v>
      </c>
      <c r="L180" s="7">
        <f t="shared" si="467"/>
        <v>1329.7713805214039</v>
      </c>
      <c r="M180" s="38">
        <f t="shared" si="467"/>
        <v>23685</v>
      </c>
      <c r="N180" s="37">
        <f t="shared" si="467"/>
        <v>0.90712370739180392</v>
      </c>
      <c r="O180" s="50">
        <f t="shared" si="467"/>
        <v>7376.0050466266557</v>
      </c>
      <c r="P180" s="91">
        <f>P178</f>
        <v>0.66159217877094967</v>
      </c>
      <c r="Q180" s="7">
        <f>INDEX(Daggett!$B$7:$M$21, MATCH(D180,Daggett!$A$7:$A$21,0), MATCH(B$176,Daggett!$B$6:$M$6,0))</f>
        <v>731.5333333333333</v>
      </c>
      <c r="R180" s="4">
        <f t="shared" si="439"/>
        <v>0.92716397641276582</v>
      </c>
      <c r="S180" s="91">
        <f t="shared" si="445"/>
        <v>0.61340443523285915</v>
      </c>
      <c r="T180" s="104">
        <f t="shared" si="446"/>
        <v>0.94671802087848533</v>
      </c>
      <c r="U180" s="91">
        <f t="shared" si="447"/>
        <v>0.62634123811471853</v>
      </c>
      <c r="AE180" s="38">
        <v>13</v>
      </c>
      <c r="AF180" s="86">
        <f t="shared" ref="AF180:AP180" si="468">AF40</f>
        <v>33709</v>
      </c>
      <c r="AG180" s="37">
        <f t="shared" si="468"/>
        <v>0.94159217877094969</v>
      </c>
      <c r="AH180" s="38">
        <f t="shared" si="468"/>
        <v>27509</v>
      </c>
      <c r="AI180" s="37">
        <f t="shared" si="468"/>
        <v>0.76840782122905027</v>
      </c>
      <c r="AJ180" s="37">
        <f t="shared" si="468"/>
        <v>0.11296428382563306</v>
      </c>
      <c r="AK180" s="38">
        <f t="shared" si="468"/>
        <v>25885</v>
      </c>
      <c r="AL180" s="37">
        <f t="shared" si="468"/>
        <v>0.94096477516449162</v>
      </c>
      <c r="AM180" s="7">
        <f t="shared" si="468"/>
        <v>1318.3122246187875</v>
      </c>
      <c r="AN180" s="38">
        <f t="shared" si="468"/>
        <v>23511</v>
      </c>
      <c r="AO180" s="37">
        <f t="shared" si="468"/>
        <v>0.90828665250144869</v>
      </c>
      <c r="AP180" s="50">
        <f t="shared" si="468"/>
        <v>7321.8178024589106</v>
      </c>
      <c r="AQ180" s="91">
        <f t="shared" si="449"/>
        <v>0.65673184357541903</v>
      </c>
      <c r="AR180" s="7">
        <f>INDEX(Daggett!$B$7:$M$21, MATCH(AE180,Daggett!$A$7:$A$21,0), MATCH(AC$149,Daggett!$B$6:$M$6,0))</f>
        <v>810.29032258064512</v>
      </c>
      <c r="AS180" s="4">
        <f t="shared" si="441"/>
        <v>0.93375669630552638</v>
      </c>
      <c r="AT180" s="91">
        <f t="shared" si="450"/>
        <v>0.61322775661562101</v>
      </c>
      <c r="AU180" s="104">
        <f t="shared" si="451"/>
        <v>0.9463236920805973</v>
      </c>
      <c r="AV180" s="91">
        <f t="shared" si="452"/>
        <v>0.62148090291918778</v>
      </c>
      <c r="AW180" s="38"/>
      <c r="AX180" s="37"/>
      <c r="AY180" s="38"/>
      <c r="AZ180" s="37"/>
      <c r="BA180" s="37"/>
      <c r="BB180" s="38"/>
      <c r="BC180" s="37"/>
      <c r="BF180" s="38">
        <v>13</v>
      </c>
      <c r="BG180" s="86">
        <f t="shared" ref="BG180:BQ180" si="469">BG40</f>
        <v>30583</v>
      </c>
      <c r="BH180" s="37">
        <f t="shared" si="469"/>
        <v>0.85427374301675973</v>
      </c>
      <c r="BI180" s="38">
        <f t="shared" si="469"/>
        <v>25691</v>
      </c>
      <c r="BJ180" s="37">
        <f t="shared" si="469"/>
        <v>0.71762569832402234</v>
      </c>
      <c r="BK180" s="37">
        <f t="shared" si="469"/>
        <v>8.6911029003040929E-2</v>
      </c>
      <c r="BL180" s="38">
        <f t="shared" si="469"/>
        <v>23513</v>
      </c>
      <c r="BM180" s="37">
        <f t="shared" si="469"/>
        <v>0.91522322992487637</v>
      </c>
      <c r="BN180" s="7">
        <f t="shared" si="469"/>
        <v>1197.5072566143151</v>
      </c>
      <c r="BO180" s="38">
        <f t="shared" si="469"/>
        <v>21405</v>
      </c>
      <c r="BP180" s="37">
        <f t="shared" si="469"/>
        <v>0.91034746735848249</v>
      </c>
      <c r="BQ180" s="50">
        <f t="shared" si="469"/>
        <v>6665.965295463101</v>
      </c>
      <c r="BR180" s="91">
        <f t="shared" si="454"/>
        <v>0.59790502793296085</v>
      </c>
      <c r="BS180" s="103">
        <f>INDEX(Daggett!$B$7:$M$21, MATCH(BF180,Daggett!$A$7:$A$21,0), MATCH(BD$149,Daggett!$B$6:$M$6,0))</f>
        <v>810.29032258064512</v>
      </c>
      <c r="BT180" s="4">
        <f t="shared" si="443"/>
        <v>0.92723913510110867</v>
      </c>
      <c r="BU180" s="91">
        <f t="shared" si="455"/>
        <v>0.55440094097316284</v>
      </c>
      <c r="BV180" s="104">
        <f t="shared" si="456"/>
        <v>0.9410425753098306</v>
      </c>
      <c r="BW180" s="91">
        <f t="shared" si="457"/>
        <v>0.56265408727672972</v>
      </c>
      <c r="BX180" s="38"/>
      <c r="BY180" s="37"/>
      <c r="BZ180" s="37"/>
      <c r="CA180" s="38"/>
      <c r="CB180" s="37"/>
      <c r="CC180" s="7"/>
      <c r="CD180" s="41"/>
      <c r="CE180" s="37"/>
    </row>
    <row r="181" spans="2:83">
      <c r="D181" s="38">
        <v>14</v>
      </c>
      <c r="E181" s="86">
        <f t="shared" si="437"/>
        <v>34355</v>
      </c>
      <c r="F181" s="37">
        <f t="shared" ref="F181:O181" si="470">F41</f>
        <v>0.95963687150837984</v>
      </c>
      <c r="G181" s="38">
        <f t="shared" si="470"/>
        <v>24891</v>
      </c>
      <c r="H181" s="37">
        <f t="shared" si="470"/>
        <v>0.69527932960893857</v>
      </c>
      <c r="I181" s="37">
        <f t="shared" si="470"/>
        <v>0.21247460973341015</v>
      </c>
      <c r="J181" s="38">
        <f t="shared" si="470"/>
        <v>23524</v>
      </c>
      <c r="K181" s="37">
        <f t="shared" si="470"/>
        <v>0.94508055120324619</v>
      </c>
      <c r="L181" s="7">
        <f t="shared" si="470"/>
        <v>1198.0674820139986</v>
      </c>
      <c r="M181" s="38">
        <f t="shared" si="470"/>
        <v>21291</v>
      </c>
      <c r="N181" s="37">
        <f t="shared" si="470"/>
        <v>0.90507566740350276</v>
      </c>
      <c r="O181" s="50">
        <f t="shared" si="470"/>
        <v>6630.4633079049236</v>
      </c>
      <c r="P181" s="91">
        <f>P177</f>
        <v>0.59472067039106147</v>
      </c>
      <c r="Q181" s="7">
        <f>INDEX(Daggett!$B$7:$M$21, MATCH(D181,Daggett!$A$7:$A$21,0), MATCH(B$176,Daggett!$B$6:$M$6,0))</f>
        <v>668</v>
      </c>
      <c r="R181" s="4">
        <f t="shared" si="439"/>
        <v>0.91126780710151656</v>
      </c>
      <c r="S181" s="91">
        <f t="shared" si="445"/>
        <v>0.54194980114520641</v>
      </c>
      <c r="T181" s="104">
        <f t="shared" si="446"/>
        <v>0.94072689514381302</v>
      </c>
      <c r="U181" s="91">
        <f t="shared" si="447"/>
        <v>0.55946972973483022</v>
      </c>
      <c r="AE181" s="38">
        <v>14</v>
      </c>
      <c r="AF181" s="86">
        <f t="shared" ref="AF181:AP181" si="471">AF41</f>
        <v>34446</v>
      </c>
      <c r="AG181" s="37">
        <f t="shared" si="471"/>
        <v>0.96217877094972071</v>
      </c>
      <c r="AH181" s="38">
        <f t="shared" si="471"/>
        <v>24731</v>
      </c>
      <c r="AI181" s="37">
        <f t="shared" si="471"/>
        <v>0.69081005586592181</v>
      </c>
      <c r="AJ181" s="37">
        <f t="shared" si="471"/>
        <v>0.21960396739445986</v>
      </c>
      <c r="AK181" s="38">
        <f t="shared" si="471"/>
        <v>23408</v>
      </c>
      <c r="AL181" s="37">
        <f t="shared" si="471"/>
        <v>0.94650438720634023</v>
      </c>
      <c r="AM181" s="7">
        <f t="shared" si="471"/>
        <v>1192.1596505264274</v>
      </c>
      <c r="AN181" s="38">
        <f t="shared" si="471"/>
        <v>21174</v>
      </c>
      <c r="AO181" s="37">
        <f t="shared" si="471"/>
        <v>0.90456254272043746</v>
      </c>
      <c r="AP181" s="50">
        <f t="shared" si="471"/>
        <v>6594.0270575162676</v>
      </c>
      <c r="AQ181" s="91">
        <f t="shared" si="449"/>
        <v>0.59145251396648046</v>
      </c>
      <c r="AR181" s="7">
        <f>INDEX(Daggett!$B$7:$M$21, MATCH(AE181,Daggett!$A$7:$A$21,0), MATCH(AC$149,Daggett!$B$6:$M$6,0))</f>
        <v>771.32258064516134</v>
      </c>
      <c r="AS181" s="4">
        <f t="shared" si="441"/>
        <v>0.92272931135818848</v>
      </c>
      <c r="AT181" s="91">
        <f t="shared" si="450"/>
        <v>0.54575057091335988</v>
      </c>
      <c r="AU181" s="104">
        <f t="shared" si="451"/>
        <v>0.94039937302856913</v>
      </c>
      <c r="AV181" s="91">
        <f t="shared" si="452"/>
        <v>0.55620157331024922</v>
      </c>
      <c r="AW181" s="38"/>
      <c r="AX181" s="37"/>
      <c r="AY181" s="38"/>
      <c r="AZ181" s="37"/>
      <c r="BA181" s="37"/>
      <c r="BB181" s="38"/>
      <c r="BC181" s="37"/>
      <c r="BF181" s="38">
        <v>14</v>
      </c>
      <c r="BG181" s="86">
        <f t="shared" ref="BG181:BQ181" si="472">BG41</f>
        <v>28254</v>
      </c>
      <c r="BH181" s="37">
        <f t="shared" si="472"/>
        <v>0.78921787709497204</v>
      </c>
      <c r="BI181" s="38">
        <f t="shared" si="472"/>
        <v>22170</v>
      </c>
      <c r="BJ181" s="37">
        <f t="shared" si="472"/>
        <v>0.61927374301675975</v>
      </c>
      <c r="BK181" s="37">
        <f t="shared" si="472"/>
        <v>0.14710037209044657</v>
      </c>
      <c r="BL181" s="38">
        <f t="shared" si="472"/>
        <v>19559</v>
      </c>
      <c r="BM181" s="37">
        <f t="shared" si="472"/>
        <v>0.88222823635543524</v>
      </c>
      <c r="BN181" s="7">
        <f t="shared" si="472"/>
        <v>996.13169021900183</v>
      </c>
      <c r="BO181" s="38">
        <f t="shared" si="472"/>
        <v>17775</v>
      </c>
      <c r="BP181" s="37">
        <f t="shared" si="472"/>
        <v>0.90878879288307168</v>
      </c>
      <c r="BQ181" s="50">
        <f t="shared" si="472"/>
        <v>5535.5072705842849</v>
      </c>
      <c r="BR181" s="91">
        <f t="shared" si="454"/>
        <v>0.49650837988826818</v>
      </c>
      <c r="BS181" s="103">
        <f>INDEX(Daggett!$B$7:$M$21, MATCH(BF181,Daggett!$A$7:$A$21,0), MATCH(BD$149,Daggett!$B$6:$M$6,0))</f>
        <v>771.32258064516134</v>
      </c>
      <c r="BT181" s="4">
        <f t="shared" si="443"/>
        <v>0.90795332988457289</v>
      </c>
      <c r="BU181" s="91">
        <f t="shared" si="455"/>
        <v>0.45080643683514759</v>
      </c>
      <c r="BV181" s="104">
        <f t="shared" si="456"/>
        <v>0.92900232486677492</v>
      </c>
      <c r="BW181" s="91">
        <f t="shared" si="457"/>
        <v>0.46125743923203699</v>
      </c>
      <c r="BX181" s="38"/>
      <c r="BY181" s="37"/>
      <c r="BZ181" s="37"/>
      <c r="CA181" s="38"/>
      <c r="CB181" s="37"/>
      <c r="CC181" s="7"/>
      <c r="CD181" s="41"/>
      <c r="CE181" s="37"/>
    </row>
    <row r="182" spans="2:83">
      <c r="C182" s="7" t="s">
        <v>162</v>
      </c>
      <c r="D182" s="38">
        <v>15</v>
      </c>
      <c r="E182" s="86">
        <f t="shared" ref="E182:O182" si="473">E42</f>
        <v>33034</v>
      </c>
      <c r="F182" s="37">
        <f t="shared" si="473"/>
        <v>0.92273743016759779</v>
      </c>
      <c r="G182" s="38">
        <f t="shared" si="473"/>
        <v>22107</v>
      </c>
      <c r="H182" s="37">
        <f t="shared" si="473"/>
        <v>0.61751396648044687</v>
      </c>
      <c r="I182" s="37">
        <f t="shared" si="473"/>
        <v>0.27258740007002014</v>
      </c>
      <c r="J182" s="38">
        <f t="shared" si="473"/>
        <v>20751</v>
      </c>
      <c r="K182" s="37">
        <f t="shared" si="473"/>
        <v>0.93866196227439269</v>
      </c>
      <c r="L182" s="7">
        <f t="shared" si="473"/>
        <v>1056.8397517119745</v>
      </c>
      <c r="M182" s="38">
        <f t="shared" si="473"/>
        <v>18727</v>
      </c>
      <c r="N182" s="37">
        <f t="shared" si="473"/>
        <v>0.90246253192617221</v>
      </c>
      <c r="O182" s="50">
        <f t="shared" si="473"/>
        <v>5831.9800087894182</v>
      </c>
      <c r="P182" s="91">
        <f>P176</f>
        <v>0.5231005586592179</v>
      </c>
      <c r="Q182" s="7">
        <f>INDEX(Daggett!$B$7:$M$21, MATCH(D182,Daggett!$A$7:$A$21,0), MATCH(B$176,Daggett!$B$6:$M$6,0))</f>
        <v>567.33333333333337</v>
      </c>
      <c r="R182" s="4">
        <f t="shared" si="439"/>
        <v>0.88121893207475976</v>
      </c>
      <c r="S182" s="91">
        <f t="shared" si="445"/>
        <v>0.46096611566938622</v>
      </c>
      <c r="T182" s="104">
        <f t="shared" si="446"/>
        <v>0.93261154079708031</v>
      </c>
      <c r="U182" s="91">
        <f t="shared" si="447"/>
        <v>0.48784961800298671</v>
      </c>
      <c r="AD182" s="7" t="s">
        <v>162</v>
      </c>
      <c r="AE182" s="38">
        <v>15</v>
      </c>
      <c r="AF182" s="86">
        <f t="shared" ref="AF182:AP182" si="474">AF42</f>
        <v>34611</v>
      </c>
      <c r="AG182" s="37">
        <f t="shared" si="474"/>
        <v>0.96678770949720672</v>
      </c>
      <c r="AH182" s="38">
        <f t="shared" si="474"/>
        <v>22748</v>
      </c>
      <c r="AI182" s="37">
        <f t="shared" si="474"/>
        <v>0.63541899441340777</v>
      </c>
      <c r="AJ182" s="37">
        <f t="shared" si="474"/>
        <v>0.28560033063125201</v>
      </c>
      <c r="AK182" s="38">
        <f t="shared" si="474"/>
        <v>21547</v>
      </c>
      <c r="AL182" s="37">
        <f t="shared" si="474"/>
        <v>0.94720414981536838</v>
      </c>
      <c r="AM182" s="7">
        <f t="shared" si="474"/>
        <v>1097.3796988163419</v>
      </c>
      <c r="AN182" s="38">
        <f t="shared" si="474"/>
        <v>19418</v>
      </c>
      <c r="AO182" s="37">
        <f t="shared" si="474"/>
        <v>0.90119274144892558</v>
      </c>
      <c r="AP182" s="50">
        <f t="shared" si="474"/>
        <v>6047.1718807429343</v>
      </c>
      <c r="AQ182" s="91">
        <f t="shared" si="449"/>
        <v>0.54240223463687154</v>
      </c>
      <c r="AR182" s="7">
        <f>INDEX(Daggett!$B$7:$M$21, MATCH(AE182,Daggett!$A$7:$A$21,0), MATCH(AC$149,Daggett!$B$6:$M$6,0))</f>
        <v>722.09677419354841</v>
      </c>
      <c r="AS182" s="4">
        <f t="shared" si="441"/>
        <v>0.90999765284985079</v>
      </c>
      <c r="AT182" s="91">
        <f t="shared" si="450"/>
        <v>0.49358476042006716</v>
      </c>
      <c r="AU182" s="104">
        <f t="shared" si="451"/>
        <v>0.93500959545302931</v>
      </c>
      <c r="AV182" s="91">
        <f t="shared" si="452"/>
        <v>0.50715129398064029</v>
      </c>
      <c r="AW182" s="38"/>
      <c r="AX182" s="37"/>
      <c r="AY182" s="38"/>
      <c r="AZ182" s="37"/>
      <c r="BA182" s="37"/>
      <c r="BB182" s="38"/>
      <c r="BC182" s="37"/>
      <c r="BE182" s="7" t="s">
        <v>162</v>
      </c>
      <c r="BF182" s="38">
        <v>15</v>
      </c>
      <c r="BG182" s="86">
        <f t="shared" ref="BG182:BQ182" si="475">BG42</f>
        <v>25472</v>
      </c>
      <c r="BH182" s="37">
        <f t="shared" si="475"/>
        <v>0.71150837988826821</v>
      </c>
      <c r="BI182" s="38">
        <f t="shared" si="475"/>
        <v>17759</v>
      </c>
      <c r="BJ182" s="37">
        <f t="shared" si="475"/>
        <v>0.49606145251396649</v>
      </c>
      <c r="BK182" s="37">
        <f t="shared" si="475"/>
        <v>0.24217725857548622</v>
      </c>
      <c r="BL182" s="38">
        <f t="shared" si="475"/>
        <v>14746</v>
      </c>
      <c r="BM182" s="37">
        <f t="shared" si="475"/>
        <v>0.83033954614561634</v>
      </c>
      <c r="BN182" s="7">
        <f t="shared" si="475"/>
        <v>751.00761306658831</v>
      </c>
      <c r="BO182" s="38">
        <f t="shared" si="475"/>
        <v>13346</v>
      </c>
      <c r="BP182" s="37">
        <f t="shared" si="475"/>
        <v>0.90505899905058995</v>
      </c>
      <c r="BQ182" s="50">
        <f t="shared" si="475"/>
        <v>4156.2239118547323</v>
      </c>
      <c r="BR182" s="91">
        <f t="shared" si="454"/>
        <v>0.3727932960893855</v>
      </c>
      <c r="BS182" s="103">
        <f>INDEX(Daggett!$B$7:$M$21, MATCH(BF182,Daggett!$A$7:$A$21,0), MATCH(BD$149,Daggett!$B$6:$M$6,0))</f>
        <v>722.09677419354841</v>
      </c>
      <c r="BT182" s="4">
        <f t="shared" si="443"/>
        <v>0.86904948471739862</v>
      </c>
      <c r="BU182" s="91">
        <f t="shared" si="455"/>
        <v>0.32397582187258106</v>
      </c>
      <c r="BV182" s="104">
        <f t="shared" si="456"/>
        <v>0.90544105533545061</v>
      </c>
      <c r="BW182" s="91">
        <f t="shared" si="457"/>
        <v>0.33754235543315431</v>
      </c>
      <c r="BX182" s="38"/>
      <c r="BY182" s="37"/>
      <c r="BZ182" s="37"/>
      <c r="CA182" s="38"/>
      <c r="CB182" s="37"/>
      <c r="CC182" s="7"/>
      <c r="CD182" s="41"/>
      <c r="CE182" s="37"/>
    </row>
    <row r="183" spans="2:83">
      <c r="C183" s="7">
        <f>ROW(D183)-ROW(D175)+1</f>
        <v>9</v>
      </c>
      <c r="D183" s="38">
        <v>16</v>
      </c>
      <c r="E183" s="86">
        <f t="shared" ref="E183:O183" si="476">E43</f>
        <v>31229</v>
      </c>
      <c r="F183" s="37">
        <f t="shared" si="476"/>
        <v>0.87231843575418999</v>
      </c>
      <c r="G183" s="38">
        <f t="shared" si="476"/>
        <v>15288</v>
      </c>
      <c r="H183" s="37">
        <f t="shared" si="476"/>
        <v>0.42703910614525142</v>
      </c>
      <c r="I183" s="37">
        <f t="shared" si="476"/>
        <v>0.46788589758404608</v>
      </c>
      <c r="J183" s="38">
        <f t="shared" si="476"/>
        <v>14076</v>
      </c>
      <c r="K183" s="37">
        <f t="shared" si="476"/>
        <v>0.92072213500784927</v>
      </c>
      <c r="L183" s="7">
        <f t="shared" si="476"/>
        <v>716.88479326768595</v>
      </c>
      <c r="M183" s="38">
        <f t="shared" si="476"/>
        <v>12588</v>
      </c>
      <c r="N183" s="37">
        <f t="shared" si="476"/>
        <v>0.89428815004262574</v>
      </c>
      <c r="O183" s="50">
        <f t="shared" si="476"/>
        <v>3920.1668366872</v>
      </c>
      <c r="P183" s="91">
        <f>P175</f>
        <v>0.3516201117318436</v>
      </c>
      <c r="Q183" s="7">
        <f>INDEX(Daggett!$B$7:$M$21, MATCH(D183,Daggett!$A$7:$A$21,0), MATCH(B$176,Daggett!$B$6:$M$6,0))</f>
        <v>461.36666666666667</v>
      </c>
      <c r="R183" s="4">
        <f t="shared" si="439"/>
        <v>0.78270447179783076</v>
      </c>
      <c r="S183" s="91">
        <f t="shared" si="445"/>
        <v>0.27521463382656686</v>
      </c>
      <c r="T183" s="104">
        <f t="shared" si="446"/>
        <v>0.89974708647179247</v>
      </c>
      <c r="U183" s="91">
        <f t="shared" si="447"/>
        <v>0.31636917107561241</v>
      </c>
      <c r="AD183" s="7">
        <f>ROW(AE183)-ROW(AE175)+1</f>
        <v>9</v>
      </c>
      <c r="AE183" s="38">
        <v>16</v>
      </c>
      <c r="AF183" s="86">
        <f t="shared" ref="AF183:AP183" si="477">AF43</f>
        <v>34200</v>
      </c>
      <c r="AG183" s="37">
        <f t="shared" si="477"/>
        <v>0.95530726256983245</v>
      </c>
      <c r="AH183" s="38">
        <f t="shared" si="477"/>
        <v>15314</v>
      </c>
      <c r="AI183" s="37">
        <f t="shared" si="477"/>
        <v>0.42776536312849162</v>
      </c>
      <c r="AJ183" s="37">
        <f t="shared" si="477"/>
        <v>0.51328502415458943</v>
      </c>
      <c r="AK183" s="38">
        <f t="shared" si="477"/>
        <v>14479</v>
      </c>
      <c r="AL183" s="37">
        <f t="shared" si="477"/>
        <v>0.94547472900613816</v>
      </c>
      <c r="AM183" s="7">
        <f t="shared" si="477"/>
        <v>737.40941472881684</v>
      </c>
      <c r="AN183" s="38">
        <f t="shared" si="477"/>
        <v>12867</v>
      </c>
      <c r="AO183" s="37">
        <f t="shared" si="477"/>
        <v>0.88866634436079839</v>
      </c>
      <c r="AP183" s="50">
        <f t="shared" si="477"/>
        <v>4007.0532799216876</v>
      </c>
      <c r="AQ183" s="91">
        <f t="shared" si="449"/>
        <v>0.35941340782122905</v>
      </c>
      <c r="AR183" s="7">
        <f>INDEX(Daggett!$B$7:$M$21, MATCH(AE183,Daggett!$A$7:$A$21,0), MATCH(AC$149,Daggett!$B$6:$M$6,0))</f>
        <v>586.74193548387098</v>
      </c>
      <c r="AS183" s="4">
        <f t="shared" si="441"/>
        <v>0.8328411760438722</v>
      </c>
      <c r="AT183" s="91">
        <f t="shared" si="450"/>
        <v>0.29933428525576827</v>
      </c>
      <c r="AU183" s="104">
        <f t="shared" si="451"/>
        <v>0.9019209080987739</v>
      </c>
      <c r="AV183" s="91">
        <f t="shared" si="452"/>
        <v>0.32416246716499786</v>
      </c>
      <c r="AW183" s="38"/>
      <c r="AX183" s="37"/>
      <c r="AY183" s="38"/>
      <c r="AZ183" s="37"/>
      <c r="BA183" s="37"/>
      <c r="BB183" s="38"/>
      <c r="BC183" s="37"/>
      <c r="BE183" s="7">
        <f>ROW(BF183)-ROW(BF175)+1</f>
        <v>9</v>
      </c>
      <c r="BF183" s="38">
        <v>16</v>
      </c>
      <c r="BG183" s="86">
        <f>BG43</f>
        <v>22297</v>
      </c>
      <c r="BH183" s="37">
        <f t="shared" ref="BH183:BQ183" si="478">BH43</f>
        <v>0.62282122905027937</v>
      </c>
      <c r="BI183" s="38">
        <f t="shared" si="478"/>
        <v>14202</v>
      </c>
      <c r="BJ183" s="37">
        <f t="shared" si="478"/>
        <v>0.39670391061452515</v>
      </c>
      <c r="BK183" s="37">
        <f t="shared" si="478"/>
        <v>0.30766665821683947</v>
      </c>
      <c r="BL183" s="38">
        <f t="shared" si="478"/>
        <v>10672</v>
      </c>
      <c r="BM183" s="37">
        <f t="shared" si="478"/>
        <v>0.75144345866779327</v>
      </c>
      <c r="BN183" s="7">
        <f t="shared" si="478"/>
        <v>543.52049685654629</v>
      </c>
      <c r="BO183" s="38">
        <f t="shared" si="478"/>
        <v>9637</v>
      </c>
      <c r="BP183" s="37">
        <f t="shared" si="478"/>
        <v>0.90301724137931039</v>
      </c>
      <c r="BQ183" s="50">
        <f t="shared" si="478"/>
        <v>3001.1636324399865</v>
      </c>
      <c r="BR183" s="91">
        <f t="shared" si="454"/>
        <v>0.26918994413407821</v>
      </c>
      <c r="BS183" s="103">
        <f>INDEX(Daggett!$B$7:$M$21, MATCH(BF183,Daggett!$A$7:$A$21,0), MATCH(BD$149,Daggett!$B$6:$M$6,0))</f>
        <v>586.74193548387098</v>
      </c>
      <c r="BT183" s="4">
        <f t="shared" si="443"/>
        <v>0.77681513045102246</v>
      </c>
      <c r="BU183" s="91">
        <f t="shared" si="455"/>
        <v>0.20911082156861741</v>
      </c>
      <c r="BV183" s="104">
        <f t="shared" si="456"/>
        <v>0.86904807767011771</v>
      </c>
      <c r="BW183" s="91">
        <f t="shared" si="457"/>
        <v>0.23393900347784705</v>
      </c>
      <c r="BX183" s="38"/>
      <c r="BY183" s="37"/>
      <c r="BZ183" s="37"/>
      <c r="CA183" s="38"/>
      <c r="CB183" s="37"/>
      <c r="CC183" s="7"/>
      <c r="CD183" s="41"/>
      <c r="CE183" s="37"/>
    </row>
    <row r="184" spans="2:83">
      <c r="C184" s="7"/>
      <c r="D184" s="38"/>
      <c r="E184" s="86"/>
      <c r="F184" s="37"/>
      <c r="G184" s="38"/>
      <c r="H184" s="37"/>
      <c r="I184" s="37"/>
      <c r="J184" s="38"/>
      <c r="K184" s="37"/>
      <c r="L184" s="7"/>
      <c r="M184" s="38"/>
      <c r="N184" s="37"/>
      <c r="O184" s="50"/>
      <c r="P184" s="91"/>
      <c r="Q184" s="7"/>
      <c r="R184" s="4"/>
      <c r="S184" s="91"/>
      <c r="T184" s="104"/>
      <c r="U184" s="91"/>
      <c r="AD184" s="7"/>
      <c r="AE184" s="38"/>
      <c r="AF184" s="86"/>
      <c r="AG184" s="37"/>
      <c r="AH184" s="38"/>
      <c r="AI184" s="37"/>
      <c r="AJ184" s="37"/>
      <c r="AK184" s="38"/>
      <c r="AL184" s="37"/>
      <c r="AM184" s="7"/>
      <c r="AN184" s="38"/>
      <c r="AO184" s="37"/>
      <c r="AP184" s="50"/>
      <c r="AQ184" s="91"/>
      <c r="AR184" s="7"/>
      <c r="AS184" s="4"/>
      <c r="AT184" s="91"/>
      <c r="AU184" s="104"/>
      <c r="AV184" s="91"/>
      <c r="AW184" s="38"/>
      <c r="AX184" s="37"/>
      <c r="AY184" s="38"/>
      <c r="AZ184" s="37"/>
      <c r="BA184" s="37"/>
      <c r="BB184" s="38"/>
      <c r="BC184" s="37"/>
      <c r="BE184" s="7"/>
      <c r="BF184" s="38"/>
      <c r="BG184" s="86"/>
      <c r="BH184" s="37"/>
      <c r="BI184" s="38"/>
      <c r="BJ184" s="37"/>
      <c r="BK184" s="37"/>
      <c r="BL184" s="38"/>
      <c r="BM184" s="37"/>
      <c r="BN184" s="7"/>
      <c r="BO184" s="38"/>
      <c r="BP184" s="37"/>
      <c r="BQ184" s="50"/>
      <c r="BR184" s="91"/>
      <c r="BS184" s="103"/>
      <c r="BT184" s="4"/>
      <c r="BU184" s="91"/>
      <c r="BV184" s="104"/>
      <c r="BW184" s="91"/>
      <c r="BX184" s="38"/>
      <c r="BY184" s="37"/>
      <c r="BZ184" s="37"/>
      <c r="CA184" s="38"/>
      <c r="CB184" s="37"/>
      <c r="CC184" s="7"/>
      <c r="CD184" s="41"/>
      <c r="CE184" s="37"/>
    </row>
    <row r="185" spans="2:83">
      <c r="C185" s="7"/>
      <c r="D185" s="38"/>
      <c r="E185" s="86"/>
      <c r="F185" s="37"/>
      <c r="G185" s="38"/>
      <c r="H185" s="37"/>
      <c r="I185" s="37"/>
      <c r="J185" s="38"/>
      <c r="K185" s="37"/>
      <c r="L185" s="7"/>
      <c r="M185" s="38"/>
      <c r="N185" s="37"/>
      <c r="O185" s="50"/>
      <c r="P185" s="91"/>
      <c r="Q185" s="7"/>
      <c r="R185" s="4"/>
      <c r="S185" s="91"/>
      <c r="T185" s="104"/>
      <c r="U185" s="91"/>
      <c r="AD185" s="7"/>
      <c r="AE185" s="38"/>
      <c r="AF185" s="86"/>
      <c r="AG185" s="37"/>
      <c r="AH185" s="38"/>
      <c r="AI185" s="37"/>
      <c r="AJ185" s="37"/>
      <c r="AK185" s="38"/>
      <c r="AL185" s="37"/>
      <c r="AM185" s="7"/>
      <c r="AN185" s="38"/>
      <c r="AO185" s="37"/>
      <c r="AP185" s="50"/>
      <c r="AQ185" s="91"/>
      <c r="AR185" s="7"/>
      <c r="AS185" s="4"/>
      <c r="AT185" s="91"/>
      <c r="AU185" s="104"/>
      <c r="AV185" s="91"/>
      <c r="AW185" s="38"/>
      <c r="AX185" s="37"/>
      <c r="AY185" s="38"/>
      <c r="AZ185" s="37"/>
      <c r="BA185" s="37"/>
      <c r="BB185" s="38"/>
      <c r="BC185" s="37"/>
      <c r="BE185" s="7"/>
      <c r="BF185" s="38"/>
      <c r="BG185" s="86"/>
      <c r="BH185" s="37"/>
      <c r="BI185" s="38"/>
      <c r="BJ185" s="37"/>
      <c r="BK185" s="37"/>
      <c r="BL185" s="38"/>
      <c r="BM185" s="37"/>
      <c r="BN185" s="7"/>
      <c r="BO185" s="38"/>
      <c r="BP185" s="37"/>
      <c r="BQ185" s="50"/>
      <c r="BR185" s="91"/>
      <c r="BS185" s="103"/>
      <c r="BT185" s="4"/>
      <c r="BU185" s="91"/>
      <c r="BV185" s="104"/>
      <c r="BW185" s="91"/>
      <c r="BX185" s="38"/>
      <c r="BY185" s="37"/>
      <c r="BZ185" s="37"/>
      <c r="CA185" s="38"/>
      <c r="CB185" s="37"/>
      <c r="CC185" s="7"/>
      <c r="CD185" s="41"/>
      <c r="CE185" s="37"/>
    </row>
    <row r="186" spans="2:83">
      <c r="E186" s="87"/>
      <c r="P186" s="88"/>
      <c r="S186" s="88"/>
      <c r="T186" s="87"/>
      <c r="U186" s="88"/>
      <c r="AF186" s="87"/>
      <c r="AQ186" s="88"/>
      <c r="AT186" s="88"/>
      <c r="AU186" s="87"/>
      <c r="AV186" s="88"/>
      <c r="AW186" s="38"/>
      <c r="AX186" s="37"/>
      <c r="AY186" s="38"/>
      <c r="AZ186" s="37"/>
      <c r="BA186" s="37"/>
      <c r="BB186" s="38"/>
      <c r="BC186" s="37"/>
      <c r="BG186" s="87"/>
      <c r="BR186" s="88"/>
      <c r="BS186" s="87"/>
      <c r="BU186" s="88"/>
      <c r="BV186" s="87"/>
      <c r="BW186" s="88"/>
      <c r="BX186" s="38"/>
      <c r="BY186" s="37"/>
      <c r="BZ186" s="37"/>
      <c r="CA186" s="38"/>
      <c r="CB186" s="37"/>
      <c r="CC186" s="7"/>
      <c r="CD186" s="41"/>
      <c r="CE186" s="37"/>
    </row>
    <row r="187" spans="2:83" ht="49.5">
      <c r="B187" s="34"/>
      <c r="C187" s="63" t="s">
        <v>151</v>
      </c>
      <c r="D187" s="63" t="s">
        <v>89</v>
      </c>
      <c r="E187" s="89" t="s">
        <v>152</v>
      </c>
      <c r="F187" s="34" t="s">
        <v>125</v>
      </c>
      <c r="G187" s="63" t="s">
        <v>153</v>
      </c>
      <c r="H187" s="33" t="s">
        <v>154</v>
      </c>
      <c r="I187" s="34" t="s">
        <v>155</v>
      </c>
      <c r="J187" s="85" t="s">
        <v>156</v>
      </c>
      <c r="K187" s="35" t="s">
        <v>157</v>
      </c>
      <c r="L187" s="35" t="s">
        <v>158</v>
      </c>
      <c r="M187" s="85" t="s">
        <v>159</v>
      </c>
      <c r="N187" s="35" t="s">
        <v>72</v>
      </c>
      <c r="O187" s="35" t="s">
        <v>160</v>
      </c>
      <c r="P187" s="100" t="s">
        <v>129</v>
      </c>
      <c r="Q187" s="138" t="s">
        <v>161</v>
      </c>
      <c r="R187" s="67" t="s">
        <v>130</v>
      </c>
      <c r="S187" s="100" t="s">
        <v>131</v>
      </c>
      <c r="T187" s="107" t="s">
        <v>130</v>
      </c>
      <c r="U187" s="100" t="s">
        <v>131</v>
      </c>
      <c r="AC187" s="34"/>
      <c r="AD187" s="63" t="s">
        <v>151</v>
      </c>
      <c r="AE187" s="63" t="s">
        <v>89</v>
      </c>
      <c r="AF187" s="89" t="s">
        <v>152</v>
      </c>
      <c r="AG187" s="34" t="s">
        <v>125</v>
      </c>
      <c r="AH187" s="63" t="s">
        <v>153</v>
      </c>
      <c r="AI187" s="33" t="s">
        <v>154</v>
      </c>
      <c r="AJ187" s="34" t="s">
        <v>155</v>
      </c>
      <c r="AK187" s="85" t="s">
        <v>156</v>
      </c>
      <c r="AL187" s="35" t="s">
        <v>157</v>
      </c>
      <c r="AM187" s="35" t="s">
        <v>158</v>
      </c>
      <c r="AN187" s="85" t="s">
        <v>159</v>
      </c>
      <c r="AO187" s="35" t="s">
        <v>72</v>
      </c>
      <c r="AP187" s="35" t="s">
        <v>160</v>
      </c>
      <c r="AQ187" s="100" t="s">
        <v>129</v>
      </c>
      <c r="AR187" s="138" t="s">
        <v>161</v>
      </c>
      <c r="AS187" s="67" t="s">
        <v>130</v>
      </c>
      <c r="AT187" s="100" t="s">
        <v>131</v>
      </c>
      <c r="AU187" s="107" t="s">
        <v>130</v>
      </c>
      <c r="AV187" s="100" t="s">
        <v>131</v>
      </c>
      <c r="AW187" s="38"/>
      <c r="AX187" s="37"/>
      <c r="AY187" s="38"/>
      <c r="AZ187" s="37"/>
      <c r="BA187" s="37"/>
      <c r="BB187" s="38"/>
      <c r="BC187" s="37"/>
      <c r="BD187" s="34"/>
      <c r="BE187" s="63" t="s">
        <v>151</v>
      </c>
      <c r="BF187" s="63" t="s">
        <v>89</v>
      </c>
      <c r="BG187" s="89" t="s">
        <v>152</v>
      </c>
      <c r="BH187" s="34" t="s">
        <v>125</v>
      </c>
      <c r="BI187" s="63" t="s">
        <v>153</v>
      </c>
      <c r="BJ187" s="33" t="s">
        <v>154</v>
      </c>
      <c r="BK187" s="34" t="s">
        <v>155</v>
      </c>
      <c r="BL187" s="85" t="s">
        <v>156</v>
      </c>
      <c r="BM187" s="35" t="s">
        <v>157</v>
      </c>
      <c r="BN187" s="35" t="s">
        <v>158</v>
      </c>
      <c r="BO187" s="85" t="s">
        <v>159</v>
      </c>
      <c r="BP187" s="35" t="s">
        <v>72</v>
      </c>
      <c r="BQ187" s="35" t="s">
        <v>160</v>
      </c>
      <c r="BR187" s="100" t="s">
        <v>129</v>
      </c>
      <c r="BS187" s="144" t="s">
        <v>161</v>
      </c>
      <c r="BT187" s="67" t="s">
        <v>130</v>
      </c>
      <c r="BU187" s="100" t="s">
        <v>131</v>
      </c>
      <c r="BV187" s="107" t="s">
        <v>130</v>
      </c>
      <c r="BW187" s="100" t="s">
        <v>131</v>
      </c>
      <c r="BX187" s="38"/>
      <c r="BY187" s="37"/>
      <c r="BZ187" s="37"/>
      <c r="CA187" s="38"/>
      <c r="CB187" s="37"/>
      <c r="CC187" s="7"/>
      <c r="CD187" s="41"/>
      <c r="CE187" s="37"/>
    </row>
    <row r="188" spans="2:83">
      <c r="B188" s="2" t="s">
        <v>88</v>
      </c>
      <c r="C188" s="7">
        <v>356</v>
      </c>
      <c r="D188" s="38">
        <v>8</v>
      </c>
      <c r="E188" s="86">
        <v>31284</v>
      </c>
      <c r="F188" s="37">
        <f>E188/$C$10</f>
        <v>0.87385474860335199</v>
      </c>
      <c r="G188" s="38">
        <v>13256</v>
      </c>
      <c r="H188" s="37">
        <f>G188/$C$10</f>
        <v>0.37027932960893856</v>
      </c>
      <c r="I188" s="37">
        <f>1-G188/(E188*$C$8)</f>
        <v>0.53942284707281951</v>
      </c>
      <c r="J188" s="38">
        <v>12192</v>
      </c>
      <c r="K188" s="37">
        <f>J188/G188</f>
        <v>0.9197344598672299</v>
      </c>
      <c r="L188" s="7">
        <f>J188/(PI()*$C$18^2)</f>
        <v>620.9334611764441</v>
      </c>
      <c r="M188" s="41">
        <v>10883</v>
      </c>
      <c r="N188" s="37">
        <f>M188/J188</f>
        <v>0.89263451443569553</v>
      </c>
      <c r="O188" s="50">
        <f>M188/(PI()*$C$19^2)</f>
        <v>3389.1941280319988</v>
      </c>
      <c r="P188" s="91">
        <f>M188/$C$10</f>
        <v>0.30399441340782124</v>
      </c>
      <c r="Q188" s="7">
        <f>INDEX(Daggett!$B$7:$M$21, MATCH(D188,Daggett!$A$7:$A$21,0), MATCH(B$189,Daggett!$B$6:$M$6,0))</f>
        <v>347.80645161290323</v>
      </c>
      <c r="R188" s="4">
        <f t="shared" ref="R188:R196" si="479">IF(1-$H$7*(($H$5+273)^4-298^4)*(PI()*$C$19^2)*1000/(M188*Q188*1000)&lt;0,#N/A,1-$H$7*(($H$5+273)^4-298^4)*(PI()*$C$19^2)*1000/(M188*Q188*1000))</f>
        <v>0.66659855770278198</v>
      </c>
      <c r="S188" s="91">
        <f>R188*P188</f>
        <v>0.20264223752735688</v>
      </c>
      <c r="T188" s="104">
        <f>IF(1-$H$7*(($H$5+273)^4-298^4)/(O188*1000)&lt;0,#N/A,1-$H$7*(($H$5+273)^4-298^4)/(O188*1000))</f>
        <v>0.88404082739198053</v>
      </c>
      <c r="U188" s="91">
        <f>T188*P188</f>
        <v>0.26874347275159005</v>
      </c>
      <c r="AC188" s="2" t="s">
        <v>88</v>
      </c>
      <c r="AD188" s="7">
        <v>356</v>
      </c>
      <c r="AE188" s="38">
        <v>8</v>
      </c>
      <c r="AF188" s="86">
        <v>22293</v>
      </c>
      <c r="AG188" s="37">
        <f>AF188/$C$10</f>
        <v>0.62270949720670388</v>
      </c>
      <c r="AH188" s="38">
        <v>12677</v>
      </c>
      <c r="AI188" s="37">
        <f>AH188/$C$10</f>
        <v>0.35410614525139666</v>
      </c>
      <c r="AJ188" s="37">
        <f>1-AH188/(AF188*$C$8)</f>
        <v>0.38189800268752727</v>
      </c>
      <c r="AK188" s="38">
        <v>9453</v>
      </c>
      <c r="AL188" s="37">
        <f>AK188/AH188</f>
        <v>0.74568115484736142</v>
      </c>
      <c r="AM188" s="7">
        <f t="shared" ref="AM188:AM196" si="480">AK188/(PI()*$C$18^2)</f>
        <v>481.43733665525968</v>
      </c>
      <c r="AN188" s="41">
        <v>8521</v>
      </c>
      <c r="AO188" s="37">
        <f>AN188/AK188</f>
        <v>0.90140696075320004</v>
      </c>
      <c r="AP188" s="50">
        <f t="shared" ref="AP188:AP196" si="481">AN188/(PI()*$C$19^2)</f>
        <v>2653.6178595020365</v>
      </c>
      <c r="AQ188" s="91">
        <f>AN188/$C$10</f>
        <v>0.2380167597765363</v>
      </c>
      <c r="AR188" s="7">
        <f>INDEX(Daggett!$B$7:$M$21, MATCH(AE188,Daggett!$A$7:$A$21,0), MATCH(AC$189,Daggett!$B$6:$M$6,0))</f>
        <v>347.80645161290323</v>
      </c>
      <c r="AS188" s="4">
        <f t="shared" ref="AS188:AS196" si="482">IF(1-$H$7*(($H$5+273)^4-298^4)*(PI()*$C$19^2)*1000/(AN188*AR188*1000)&lt;0,#N/A,1-$H$7*(($H$5+273)^4-298^4)*(PI()*$C$19^2)*1000/(AN188*AR188*1000))</f>
        <v>0.57418050739107818</v>
      </c>
      <c r="AT188" s="91">
        <f>IF(OR(AS188&gt;0,NOT(ISTEXT(AS188)))*AQ188,0)</f>
        <v>0</v>
      </c>
      <c r="AU188" s="104">
        <f>IF(1-$H$7*(($H$5+273)^4-298^4)/(AP188*1000)&lt;0,#N/A,1-$H$7*(($H$5+273)^4-298^4)/(AP188*1000))</f>
        <v>0.85189723324808408</v>
      </c>
      <c r="AV188" s="91">
        <f>AU188*AQ188</f>
        <v>0.20276581912030514</v>
      </c>
      <c r="AW188" s="38"/>
      <c r="AX188" s="37"/>
      <c r="AY188" s="38"/>
      <c r="AZ188" s="37"/>
      <c r="BA188" s="37"/>
      <c r="BB188" s="38"/>
      <c r="BC188" s="37"/>
      <c r="BD188" s="2" t="s">
        <v>88</v>
      </c>
      <c r="BE188" s="7">
        <v>356</v>
      </c>
      <c r="BF188" s="38">
        <v>8</v>
      </c>
      <c r="BG188" s="86">
        <f>AF196</f>
        <v>33598</v>
      </c>
      <c r="BH188" s="37">
        <f>BG188/$C$10</f>
        <v>0.93849162011173182</v>
      </c>
      <c r="BI188" s="38">
        <f t="shared" ref="BI188:BQ188" si="483">AH196</f>
        <v>13151</v>
      </c>
      <c r="BJ188" s="37">
        <f t="shared" si="483"/>
        <v>0.3673463687150838</v>
      </c>
      <c r="BK188" s="37">
        <f t="shared" si="483"/>
        <v>0.57454118645778607</v>
      </c>
      <c r="BL188" s="38">
        <f t="shared" si="483"/>
        <v>12446</v>
      </c>
      <c r="BM188" s="37">
        <f t="shared" si="483"/>
        <v>0.94639190936050488</v>
      </c>
      <c r="BN188" s="7">
        <f t="shared" si="483"/>
        <v>633.86957495095339</v>
      </c>
      <c r="BO188" s="38">
        <f t="shared" si="483"/>
        <v>11017</v>
      </c>
      <c r="BP188" s="37">
        <f t="shared" si="483"/>
        <v>0.88518399485778565</v>
      </c>
      <c r="BQ188" s="50">
        <f t="shared" si="483"/>
        <v>3430.9245344600322</v>
      </c>
      <c r="BR188" s="91">
        <f>BO188/$C$10</f>
        <v>0.30773743016759775</v>
      </c>
      <c r="BS188" s="103">
        <f>INDEX(Daggett!$B$7:$M$21, MATCH(BF188,Daggett!$A$7:$A$21,0), MATCH(BD$189,Daggett!$B$6:$M$6,0))</f>
        <v>347.80645161290323</v>
      </c>
      <c r="BT188" s="4">
        <f t="shared" ref="BT188:BT196" si="484">IF(1-$H$7*(($H$5+273)^4-298^4)*(PI()*$C$19^2)*1000/(BO188*BS188*1000)&lt;0,#N/A,1-$H$7*(($H$5+273)^4-298^4)*(PI()*$C$19^2)*1000/(BO188*BS188*1000))</f>
        <v>0.67065372637554477</v>
      </c>
      <c r="BU188" s="91">
        <f>BT188*BR188</f>
        <v>0.20638525428713342</v>
      </c>
      <c r="BV188" s="104">
        <f>IF(1-$H$7*(($H$5+273)^4-298^4)/(BQ188*1000)&lt;0,#N/A,1-$H$7*(($H$5+273)^4-298^4)/(BQ188*1000))</f>
        <v>0.88545124121874597</v>
      </c>
      <c r="BW188" s="91">
        <f>BV188*BR188</f>
        <v>0.27248648951136656</v>
      </c>
      <c r="BX188" s="38"/>
      <c r="BY188" s="37"/>
      <c r="BZ188" s="37"/>
      <c r="CA188" s="38"/>
      <c r="CB188" s="37"/>
      <c r="CC188" s="7"/>
      <c r="CD188" s="41"/>
      <c r="CE188" s="37"/>
    </row>
    <row r="189" spans="2:83">
      <c r="B189" s="2">
        <v>12</v>
      </c>
      <c r="D189" s="38">
        <v>9</v>
      </c>
      <c r="E189" s="86">
        <v>33043</v>
      </c>
      <c r="F189" s="37">
        <f t="shared" ref="F189:F196" si="485">E189/$C$10</f>
        <v>0.92298882681564243</v>
      </c>
      <c r="G189" s="38">
        <v>20176</v>
      </c>
      <c r="H189" s="37">
        <f>G189/$C$10</f>
        <v>0.56357541899441344</v>
      </c>
      <c r="I189" s="37">
        <f>1-G189/(E189*$C$8)</f>
        <v>0.33630618337897</v>
      </c>
      <c r="J189" s="38">
        <v>18871</v>
      </c>
      <c r="K189" s="37">
        <f>J189/G189</f>
        <v>0.9353191911181602</v>
      </c>
      <c r="L189" s="7">
        <f>J189/(PI()*$C$18^2)</f>
        <v>961.09213794789025</v>
      </c>
      <c r="M189" s="41">
        <v>17011</v>
      </c>
      <c r="N189" s="37">
        <f>M189/J189</f>
        <v>0.9014360659212548</v>
      </c>
      <c r="O189" s="50">
        <f>M189/(PI()*$C$19^2)</f>
        <v>5297.5816697557966</v>
      </c>
      <c r="P189" s="91">
        <f>M189/$C$10</f>
        <v>0.4751675977653631</v>
      </c>
      <c r="Q189" s="7">
        <f>INDEX(Daggett!$B$7:$M$21, MATCH(D189,Daggett!$A$7:$A$21,0), MATCH(B$189,Daggett!$B$6:$M$6,0))</f>
        <v>550.80645161290317</v>
      </c>
      <c r="R189" s="4">
        <f t="shared" si="479"/>
        <v>0.865313249844329</v>
      </c>
      <c r="S189" s="91">
        <f t="shared" ref="S189:S196" si="486">R189*P189</f>
        <v>0.41116881824306928</v>
      </c>
      <c r="T189" s="104">
        <f t="shared" ref="T189:T196" si="487">IF(1-$H$7*(($H$5+273)^4-298^4)/(O189*1000)&lt;0,#N/A,1-$H$7*(($H$5+273)^4-298^4)/(O189*1000))</f>
        <v>0.9258136690674813</v>
      </c>
      <c r="U189" s="91">
        <f t="shared" ref="U189:U196" si="488">T189*P189</f>
        <v>0.43991665710913197</v>
      </c>
      <c r="AC189" s="2">
        <v>12</v>
      </c>
      <c r="AE189" s="38">
        <v>9</v>
      </c>
      <c r="AF189" s="86">
        <v>25396</v>
      </c>
      <c r="AG189" s="37">
        <f t="shared" ref="AG189:AG196" si="489">AF189/$C$10</f>
        <v>0.70938547486033521</v>
      </c>
      <c r="AH189" s="38">
        <v>16158</v>
      </c>
      <c r="AI189" s="37">
        <f t="shared" ref="AI189:AI196" si="490">AH189/$C$10</f>
        <v>0.45134078212290502</v>
      </c>
      <c r="AJ189" s="37">
        <f t="shared" ref="AJ189:AJ196" si="491">1-AH189/(AF189*$C$8)</f>
        <v>0.30843268710580918</v>
      </c>
      <c r="AK189" s="38">
        <v>13327</v>
      </c>
      <c r="AL189" s="37">
        <f t="shared" ref="AL189:AL196" si="492">AK189/AH189</f>
        <v>0.82479267236044063</v>
      </c>
      <c r="AM189" s="7">
        <f t="shared" si="480"/>
        <v>678.73853650742058</v>
      </c>
      <c r="AN189" s="41">
        <v>12008</v>
      </c>
      <c r="AO189" s="37">
        <f t="shared" ref="AO189:AO196" si="493">AN189/AK189</f>
        <v>0.90102798829443986</v>
      </c>
      <c r="AP189" s="50">
        <f t="shared" si="481"/>
        <v>3739.5426894613838</v>
      </c>
      <c r="AQ189" s="91">
        <f t="shared" ref="AQ189:AQ196" si="494">AN189/$C$10</f>
        <v>0.33541899441340783</v>
      </c>
      <c r="AR189" s="7">
        <f>INDEX(Daggett!$B$7:$M$21, MATCH(AE189,Daggett!$A$7:$A$21,0), MATCH(AC$189,Daggett!$B$6:$M$6,0))</f>
        <v>550.80645161290317</v>
      </c>
      <c r="AS189" s="4">
        <f t="shared" si="482"/>
        <v>0.80919750941887758</v>
      </c>
      <c r="AT189" s="91">
        <f t="shared" ref="AT189:AT196" si="495">AS189*AQ189</f>
        <v>0.27142021489111401</v>
      </c>
      <c r="AU189" s="104">
        <f t="shared" ref="AU189:AU196" si="496">IF(1-$H$7*(($H$5+273)^4-298^4)/(AP189*1000)&lt;0,#N/A,1-$H$7*(($H$5+273)^4-298^4)/(AP189*1000))</f>
        <v>0.89490475720410756</v>
      </c>
      <c r="AV189" s="91">
        <f t="shared" ref="AV189:AV196" si="497">AU189*AQ189</f>
        <v>0.30016805375717664</v>
      </c>
      <c r="AW189" s="38"/>
      <c r="AX189" s="37"/>
      <c r="AY189" s="38"/>
      <c r="AZ189" s="37"/>
      <c r="BA189" s="37"/>
      <c r="BB189" s="38"/>
      <c r="BC189" s="37"/>
      <c r="BD189" s="2">
        <v>12</v>
      </c>
      <c r="BF189" s="38">
        <v>9</v>
      </c>
      <c r="BG189" s="86">
        <f>AF195</f>
        <v>34361</v>
      </c>
      <c r="BH189" s="37">
        <f t="shared" ref="BH189:BH196" si="498">BG189/$C$10</f>
        <v>0.95980446927374297</v>
      </c>
      <c r="BI189" s="38">
        <f t="shared" ref="BI189:BQ189" si="499">AH195</f>
        <v>20879</v>
      </c>
      <c r="BJ189" s="37">
        <f t="shared" si="499"/>
        <v>0.58321229050279333</v>
      </c>
      <c r="BK189" s="37">
        <f t="shared" si="499"/>
        <v>0.3395254731413142</v>
      </c>
      <c r="BL189" s="38">
        <f t="shared" si="499"/>
        <v>19784</v>
      </c>
      <c r="BM189" s="37">
        <f t="shared" si="499"/>
        <v>0.94755495952871305</v>
      </c>
      <c r="BN189" s="7">
        <f t="shared" si="499"/>
        <v>1007.5908461216184</v>
      </c>
      <c r="BO189" s="38">
        <f t="shared" si="499"/>
        <v>17833</v>
      </c>
      <c r="BP189" s="37">
        <f t="shared" si="499"/>
        <v>0.90138495754144765</v>
      </c>
      <c r="BQ189" s="50">
        <f t="shared" si="499"/>
        <v>5553.5696853068666</v>
      </c>
      <c r="BR189" s="91">
        <f t="shared" ref="BR189:BR196" si="500">BO189/$C$10</f>
        <v>0.49812849162011175</v>
      </c>
      <c r="BS189" s="103">
        <f>INDEX(Daggett!$B$7:$M$21, MATCH(BF189,Daggett!$A$7:$A$21,0), MATCH(BD$189,Daggett!$B$6:$M$6,0))</f>
        <v>550.80645161290317</v>
      </c>
      <c r="BT189" s="4">
        <f t="shared" si="484"/>
        <v>0.87152154394111381</v>
      </c>
      <c r="BU189" s="91">
        <f t="shared" ref="BU189:BU196" si="501">BT189*BR189</f>
        <v>0.43412971209781798</v>
      </c>
      <c r="BV189" s="104">
        <f t="shared" ref="BV189:BV196" si="502">IF(1-$H$7*(($H$5+273)^4-298^4)/(BQ189*1000)&lt;0,#N/A,1-$H$7*(($H$5+273)^4-298^4)/(BQ189*1000))</f>
        <v>0.9292332375095006</v>
      </c>
      <c r="BW189" s="91">
        <f t="shared" ref="BW189:BW196" si="503">BV189*BR189</f>
        <v>0.46287755096388056</v>
      </c>
      <c r="BX189" s="38"/>
      <c r="BY189" s="37"/>
      <c r="BZ189" s="37"/>
      <c r="CA189" s="38"/>
      <c r="CB189" s="37"/>
      <c r="CC189" s="7"/>
      <c r="CD189" s="41"/>
      <c r="CE189" s="37"/>
    </row>
    <row r="190" spans="2:83">
      <c r="D190" s="38">
        <v>10</v>
      </c>
      <c r="E190" s="86">
        <v>34332</v>
      </c>
      <c r="F190" s="37">
        <f t="shared" si="485"/>
        <v>0.95899441340782121</v>
      </c>
      <c r="G190" s="38">
        <v>23141</v>
      </c>
      <c r="H190" s="37">
        <f>G190/$C$10</f>
        <v>0.64639664804469277</v>
      </c>
      <c r="I190" s="37">
        <f>1-G190/(E190*$C$8)</f>
        <v>0.26735229903398539</v>
      </c>
      <c r="J190" s="38">
        <v>21830</v>
      </c>
      <c r="K190" s="37">
        <f>J190/G190</f>
        <v>0.94334730564798408</v>
      </c>
      <c r="L190" s="7">
        <f>J190/(PI()*$C$18^2)</f>
        <v>1111.7927704627441</v>
      </c>
      <c r="M190" s="41">
        <v>19715</v>
      </c>
      <c r="N190" s="37">
        <f>M190/J190</f>
        <v>0.90311497938616581</v>
      </c>
      <c r="O190" s="50">
        <f>M190/(PI()*$C$19^2)</f>
        <v>6139.6639009602914</v>
      </c>
      <c r="P190" s="91">
        <f>M190/$C$10</f>
        <v>0.55069832402234642</v>
      </c>
      <c r="Q190" s="7">
        <f>INDEX(Daggett!$B$7:$M$21, MATCH(D190,Daggett!$A$7:$A$21,0), MATCH(B$189,Daggett!$B$6:$M$6,0))</f>
        <v>650</v>
      </c>
      <c r="R190" s="4">
        <f t="shared" si="479"/>
        <v>0.90152100700418847</v>
      </c>
      <c r="S190" s="91">
        <f t="shared" si="486"/>
        <v>0.49646610762814464</v>
      </c>
      <c r="T190" s="104">
        <f t="shared" si="487"/>
        <v>0.93598865455272251</v>
      </c>
      <c r="U190" s="91">
        <f t="shared" si="488"/>
        <v>0.51544738336611529</v>
      </c>
      <c r="AE190" s="38">
        <v>10</v>
      </c>
      <c r="AF190" s="86">
        <v>28121</v>
      </c>
      <c r="AG190" s="37">
        <f t="shared" si="489"/>
        <v>0.78550279329608941</v>
      </c>
      <c r="AH190" s="38">
        <v>21229</v>
      </c>
      <c r="AI190" s="37">
        <f t="shared" si="490"/>
        <v>0.59298882681564247</v>
      </c>
      <c r="AJ190" s="37">
        <f t="shared" si="491"/>
        <v>0.17943885352583477</v>
      </c>
      <c r="AK190" s="38">
        <v>18656</v>
      </c>
      <c r="AL190" s="37">
        <f t="shared" si="492"/>
        <v>0.87879787083706251</v>
      </c>
      <c r="AM190" s="7">
        <f t="shared" si="480"/>
        <v>950.14227786316781</v>
      </c>
      <c r="AN190" s="41">
        <v>16926</v>
      </c>
      <c r="AO190" s="37">
        <f t="shared" si="493"/>
        <v>0.90726843910806176</v>
      </c>
      <c r="AP190" s="50">
        <f t="shared" si="481"/>
        <v>5271.1108895589095</v>
      </c>
      <c r="AQ190" s="91">
        <f t="shared" si="494"/>
        <v>0.47279329608938547</v>
      </c>
      <c r="AR190" s="7">
        <f>INDEX(Daggett!$B$7:$M$21, MATCH(AE190,Daggett!$A$7:$A$21,0), MATCH(AC$189,Daggett!$B$6:$M$6,0))</f>
        <v>650</v>
      </c>
      <c r="AS190" s="4">
        <f t="shared" si="482"/>
        <v>0.88529402416918201</v>
      </c>
      <c r="AT190" s="91">
        <f t="shared" si="495"/>
        <v>0.41856107969518364</v>
      </c>
      <c r="AU190" s="104">
        <f t="shared" si="496"/>
        <v>0.92544111570996834</v>
      </c>
      <c r="AV190" s="91">
        <f t="shared" si="497"/>
        <v>0.43754235543315428</v>
      </c>
      <c r="AW190" s="38"/>
      <c r="AX190" s="37"/>
      <c r="AY190" s="38"/>
      <c r="AZ190" s="37"/>
      <c r="BA190" s="37"/>
      <c r="BB190" s="38"/>
      <c r="BC190" s="37"/>
      <c r="BF190" s="38">
        <v>10</v>
      </c>
      <c r="BG190" s="86">
        <f>AF194</f>
        <v>34200</v>
      </c>
      <c r="BH190" s="37">
        <f t="shared" si="498"/>
        <v>0.95530726256983245</v>
      </c>
      <c r="BI190" s="38">
        <f t="shared" ref="BI190:BQ190" si="504">AH194</f>
        <v>23194</v>
      </c>
      <c r="BJ190" s="37">
        <f t="shared" si="504"/>
        <v>0.64787709497206702</v>
      </c>
      <c r="BK190" s="37">
        <f t="shared" si="504"/>
        <v>0.26284007119247399</v>
      </c>
      <c r="BL190" s="38">
        <f t="shared" si="504"/>
        <v>21858</v>
      </c>
      <c r="BM190" s="37">
        <f t="shared" si="504"/>
        <v>0.94239889626627571</v>
      </c>
      <c r="BN190" s="7">
        <f t="shared" si="504"/>
        <v>1113.2187987528475</v>
      </c>
      <c r="BO190" s="38">
        <f t="shared" si="504"/>
        <v>19753</v>
      </c>
      <c r="BP190" s="37">
        <f t="shared" si="504"/>
        <v>0.90369658706194533</v>
      </c>
      <c r="BQ190" s="50">
        <f t="shared" si="504"/>
        <v>6151.4978968130172</v>
      </c>
      <c r="BR190" s="91">
        <f t="shared" si="500"/>
        <v>0.55175977653631281</v>
      </c>
      <c r="BS190" s="103">
        <f>INDEX(Daggett!$B$7:$M$21, MATCH(BF190,Daggett!$A$7:$A$21,0), MATCH(BD$189,Daggett!$B$6:$M$6,0))</f>
        <v>650</v>
      </c>
      <c r="BT190" s="4">
        <f t="shared" si="484"/>
        <v>0.90171045679580697</v>
      </c>
      <c r="BU190" s="91">
        <f t="shared" si="501"/>
        <v>0.49752756014211102</v>
      </c>
      <c r="BV190" s="104">
        <f t="shared" si="502"/>
        <v>0.93611179691727453</v>
      </c>
      <c r="BW190" s="91">
        <f t="shared" si="503"/>
        <v>0.51650883588008167</v>
      </c>
      <c r="BX190" s="38"/>
      <c r="BY190" s="37"/>
      <c r="BZ190" s="37"/>
      <c r="CA190" s="38"/>
      <c r="CB190" s="37"/>
      <c r="CC190" s="7"/>
      <c r="CD190" s="41"/>
      <c r="CE190" s="37"/>
    </row>
    <row r="191" spans="2:83">
      <c r="D191" s="38">
        <v>11</v>
      </c>
      <c r="E191" s="86">
        <v>35118</v>
      </c>
      <c r="F191" s="37">
        <f t="shared" si="485"/>
        <v>0.9809497206703911</v>
      </c>
      <c r="G191" s="38">
        <v>26782</v>
      </c>
      <c r="H191" s="37">
        <f>G191/$C$10</f>
        <v>0.74810055865921787</v>
      </c>
      <c r="I191" s="37">
        <f>1-G191/(E191*$C$8)</f>
        <v>0.17105559641160117</v>
      </c>
      <c r="J191" s="38">
        <v>25347</v>
      </c>
      <c r="K191" s="37">
        <f>J191/G191</f>
        <v>0.94641923680083639</v>
      </c>
      <c r="L191" s="7">
        <f>J191/(PI()*$C$18^2)</f>
        <v>1290.9121096160868</v>
      </c>
      <c r="M191" s="41">
        <v>22936</v>
      </c>
      <c r="N191" s="37">
        <f>M191/J191</f>
        <v>0.90488026196394056</v>
      </c>
      <c r="O191" s="50">
        <f>M191/(PI()*$C$19^2)</f>
        <v>7142.7507599505579</v>
      </c>
      <c r="P191" s="91">
        <f>M191/$C$10</f>
        <v>0.64067039106145252</v>
      </c>
      <c r="Q191" s="7">
        <f>INDEX(Daggett!$B$7:$M$21, MATCH(D191,Daggett!$A$7:$A$21,0), MATCH(B$189,Daggett!$B$6:$M$6,0))</f>
        <v>690</v>
      </c>
      <c r="R191" s="4">
        <f t="shared" si="479"/>
        <v>0.92025802892654818</v>
      </c>
      <c r="S191" s="91">
        <f t="shared" si="486"/>
        <v>0.5895820712698131</v>
      </c>
      <c r="T191" s="104">
        <f t="shared" si="487"/>
        <v>0.94497803995931828</v>
      </c>
      <c r="U191" s="91">
        <f t="shared" si="488"/>
        <v>0.60541945040522138</v>
      </c>
      <c r="AE191" s="38">
        <v>11</v>
      </c>
      <c r="AF191" s="86">
        <v>30406</v>
      </c>
      <c r="AG191" s="37">
        <f t="shared" si="489"/>
        <v>0.84932960893854748</v>
      </c>
      <c r="AH191" s="38">
        <v>24898</v>
      </c>
      <c r="AI191" s="37">
        <f t="shared" si="490"/>
        <v>0.69547486033519557</v>
      </c>
      <c r="AJ191" s="37">
        <f t="shared" si="491"/>
        <v>0.10994397558834212</v>
      </c>
      <c r="AK191" s="38">
        <v>22775</v>
      </c>
      <c r="AL191" s="37">
        <f t="shared" si="492"/>
        <v>0.91473210699654595</v>
      </c>
      <c r="AM191" s="7">
        <f t="shared" si="480"/>
        <v>1159.9212252537332</v>
      </c>
      <c r="AN191" s="41">
        <v>20649</v>
      </c>
      <c r="AO191" s="37">
        <f t="shared" si="493"/>
        <v>0.90665203073545553</v>
      </c>
      <c r="AP191" s="50">
        <f t="shared" si="481"/>
        <v>6430.5310621825547</v>
      </c>
      <c r="AQ191" s="91">
        <f t="shared" si="494"/>
        <v>0.5767877094972067</v>
      </c>
      <c r="AR191" s="7">
        <f>INDEX(Daggett!$B$7:$M$21, MATCH(AE191,Daggett!$A$7:$A$21,0), MATCH(AC$189,Daggett!$B$6:$M$6,0))</f>
        <v>690</v>
      </c>
      <c r="AS191" s="4">
        <f t="shared" si="482"/>
        <v>0.91142612966532566</v>
      </c>
      <c r="AT191" s="91">
        <f t="shared" si="495"/>
        <v>0.52569938970556729</v>
      </c>
      <c r="AU191" s="104">
        <f t="shared" si="496"/>
        <v>0.93888402946907468</v>
      </c>
      <c r="AV191" s="91">
        <f t="shared" si="497"/>
        <v>0.54153676884097546</v>
      </c>
      <c r="AW191" s="38"/>
      <c r="AX191" s="37"/>
      <c r="AY191" s="38"/>
      <c r="AZ191" s="37"/>
      <c r="BA191" s="37"/>
      <c r="BB191" s="38"/>
      <c r="BC191" s="37"/>
      <c r="BF191" s="38">
        <v>11</v>
      </c>
      <c r="BG191" s="86">
        <f>AF193</f>
        <v>33475</v>
      </c>
      <c r="BH191" s="37">
        <f t="shared" si="498"/>
        <v>0.93505586592178769</v>
      </c>
      <c r="BI191" s="38">
        <f t="shared" ref="BI191:BQ191" si="505">AH193</f>
        <v>26046</v>
      </c>
      <c r="BJ191" s="37">
        <f t="shared" si="505"/>
        <v>0.72754189944134073</v>
      </c>
      <c r="BK191" s="37">
        <f t="shared" si="505"/>
        <v>0.15426827288372247</v>
      </c>
      <c r="BL191" s="38">
        <f t="shared" si="505"/>
        <v>24510</v>
      </c>
      <c r="BM191" s="37">
        <f t="shared" si="505"/>
        <v>0.94102741303847037</v>
      </c>
      <c r="BN191" s="7">
        <f t="shared" si="505"/>
        <v>1248.2840496583535</v>
      </c>
      <c r="BO191" s="38">
        <f t="shared" si="505"/>
        <v>22129</v>
      </c>
      <c r="BP191" s="37">
        <f t="shared" si="505"/>
        <v>0.9028559771521828</v>
      </c>
      <c r="BQ191" s="50">
        <f t="shared" si="505"/>
        <v>6891.4340585518794</v>
      </c>
      <c r="BR191" s="91">
        <f t="shared" si="500"/>
        <v>0.61812849162011174</v>
      </c>
      <c r="BS191" s="103">
        <f>INDEX(Daggett!$B$7:$M$21, MATCH(BF191,Daggett!$A$7:$A$21,0), MATCH(BD$189,Daggett!$B$6:$M$6,0))</f>
        <v>690</v>
      </c>
      <c r="BT191" s="4">
        <f t="shared" si="484"/>
        <v>0.91735000006594558</v>
      </c>
      <c r="BU191" s="91">
        <f t="shared" si="501"/>
        <v>0.56704017182847233</v>
      </c>
      <c r="BV191" s="104">
        <f t="shared" si="502"/>
        <v>0.94297150004550245</v>
      </c>
      <c r="BW191" s="91">
        <f t="shared" si="503"/>
        <v>0.58287755096388061</v>
      </c>
      <c r="BX191" s="38"/>
      <c r="BY191" s="37"/>
      <c r="BZ191" s="37"/>
      <c r="CA191" s="38"/>
      <c r="CB191" s="37"/>
      <c r="CC191" s="7"/>
      <c r="CD191" s="41"/>
      <c r="CE191" s="37"/>
    </row>
    <row r="192" spans="2:83">
      <c r="D192" s="38">
        <v>12</v>
      </c>
      <c r="E192" s="86">
        <v>35383</v>
      </c>
      <c r="F192" s="37">
        <f t="shared" si="485"/>
        <v>0.98835195530726261</v>
      </c>
      <c r="G192" s="38">
        <v>27329</v>
      </c>
      <c r="H192" s="37">
        <f>G192/$C$10</f>
        <v>0.76337988826815639</v>
      </c>
      <c r="I192" s="37">
        <f>1-G192/(E192*$C$8)</f>
        <v>0.16046025541619713</v>
      </c>
      <c r="J192" s="38">
        <v>25879</v>
      </c>
      <c r="K192" s="37">
        <f>J192/G192</f>
        <v>0.94694280800614727</v>
      </c>
      <c r="L192" s="7">
        <f>J192/(PI()*$C$18^2)</f>
        <v>1318.0066471280511</v>
      </c>
      <c r="M192" s="41">
        <v>23390</v>
      </c>
      <c r="N192" s="37">
        <f>M192/J192</f>
        <v>0.90382163143861816</v>
      </c>
      <c r="O192" s="50">
        <f>M192/(PI()*$C$19^2)</f>
        <v>7284.1358682962828</v>
      </c>
      <c r="P192" s="91">
        <f>M192/$C$10</f>
        <v>0.65335195530726253</v>
      </c>
      <c r="Q192" s="7">
        <f>INDEX(Daggett!$B$7:$M$21, MATCH(D192,Daggett!$A$7:$A$21,0), MATCH(B$189,Daggett!$B$6:$M$6,0))</f>
        <v>682.51612903225805</v>
      </c>
      <c r="R192" s="4">
        <f t="shared" si="479"/>
        <v>0.9209484124022731</v>
      </c>
      <c r="S192" s="91">
        <f t="shared" si="486"/>
        <v>0.60170344598014436</v>
      </c>
      <c r="T192" s="104">
        <f t="shared" si="487"/>
        <v>0.94604601643894504</v>
      </c>
      <c r="U192" s="91">
        <f t="shared" si="488"/>
        <v>0.6181010146510314</v>
      </c>
      <c r="AE192" s="38">
        <v>12</v>
      </c>
      <c r="AF192" s="86">
        <v>32203</v>
      </c>
      <c r="AG192" s="37">
        <f t="shared" si="489"/>
        <v>0.89952513966480452</v>
      </c>
      <c r="AH192" s="38">
        <v>27361</v>
      </c>
      <c r="AI192" s="37">
        <f t="shared" si="490"/>
        <v>0.76427374301675977</v>
      </c>
      <c r="AJ192" s="37">
        <f t="shared" si="491"/>
        <v>7.6476806778736584E-2</v>
      </c>
      <c r="AK192" s="38">
        <v>25510</v>
      </c>
      <c r="AL192" s="37">
        <f t="shared" si="492"/>
        <v>0.93234896385366028</v>
      </c>
      <c r="AM192" s="7">
        <f t="shared" si="480"/>
        <v>1299.21363144776</v>
      </c>
      <c r="AN192" s="41">
        <v>23123</v>
      </c>
      <c r="AO192" s="37">
        <f t="shared" si="493"/>
        <v>0.90642885143081142</v>
      </c>
      <c r="AP192" s="50">
        <f t="shared" si="481"/>
        <v>7200.9864763837095</v>
      </c>
      <c r="AQ192" s="91">
        <f t="shared" si="494"/>
        <v>0.64589385474860339</v>
      </c>
      <c r="AR192" s="7">
        <f>INDEX(Daggett!$B$7:$M$21, MATCH(AE192,Daggett!$A$7:$A$21,0), MATCH(AC$189,Daggett!$B$6:$M$6,0))</f>
        <v>682.51612903225805</v>
      </c>
      <c r="AS192" s="4">
        <f t="shared" si="482"/>
        <v>0.92003560809969165</v>
      </c>
      <c r="AT192" s="91">
        <f t="shared" si="495"/>
        <v>0.59424534542148522</v>
      </c>
      <c r="AU192" s="104">
        <f t="shared" si="496"/>
        <v>0.94542301277978302</v>
      </c>
      <c r="AV192" s="91">
        <f t="shared" si="497"/>
        <v>0.61064291409237215</v>
      </c>
      <c r="AW192" s="38"/>
      <c r="AX192" s="37"/>
      <c r="AY192" s="38"/>
      <c r="AZ192" s="37"/>
      <c r="BA192" s="37"/>
      <c r="BB192" s="38"/>
      <c r="BC192" s="37"/>
      <c r="BF192" s="38">
        <v>12</v>
      </c>
      <c r="BG192" s="86">
        <f>AF192</f>
        <v>32203</v>
      </c>
      <c r="BH192" s="37">
        <f t="shared" si="498"/>
        <v>0.89952513966480452</v>
      </c>
      <c r="BI192" s="38">
        <f t="shared" ref="BI192:BQ192" si="506">AH192</f>
        <v>27361</v>
      </c>
      <c r="BJ192" s="37">
        <f t="shared" si="506"/>
        <v>0.76427374301675977</v>
      </c>
      <c r="BK192" s="37">
        <f t="shared" si="506"/>
        <v>7.6476806778736584E-2</v>
      </c>
      <c r="BL192" s="38">
        <f t="shared" si="506"/>
        <v>25510</v>
      </c>
      <c r="BM192" s="37">
        <f t="shared" si="506"/>
        <v>0.93234896385366028</v>
      </c>
      <c r="BN192" s="7">
        <f t="shared" si="506"/>
        <v>1299.21363144776</v>
      </c>
      <c r="BO192" s="38">
        <f t="shared" si="506"/>
        <v>23123</v>
      </c>
      <c r="BP192" s="37">
        <f t="shared" si="506"/>
        <v>0.90642885143081142</v>
      </c>
      <c r="BQ192" s="50">
        <f t="shared" si="506"/>
        <v>7200.9864763837095</v>
      </c>
      <c r="BR192" s="91">
        <f t="shared" si="500"/>
        <v>0.64589385474860339</v>
      </c>
      <c r="BS192" s="103">
        <f>INDEX(Daggett!$B$7:$M$21, MATCH(BF192,Daggett!$A$7:$A$21,0), MATCH(BD$189,Daggett!$B$6:$M$6,0))</f>
        <v>682.51612903225805</v>
      </c>
      <c r="BT192" s="4">
        <f t="shared" si="484"/>
        <v>0.92003560809969165</v>
      </c>
      <c r="BU192" s="91">
        <f t="shared" si="501"/>
        <v>0.59424534542148522</v>
      </c>
      <c r="BV192" s="104">
        <f t="shared" si="502"/>
        <v>0.94542301277978302</v>
      </c>
      <c r="BW192" s="91">
        <f t="shared" si="503"/>
        <v>0.61064291409237215</v>
      </c>
      <c r="BX192" s="38"/>
      <c r="BY192" s="37"/>
      <c r="BZ192" s="37"/>
      <c r="CA192" s="38"/>
      <c r="CB192" s="37"/>
      <c r="CC192" s="7"/>
      <c r="CD192" s="41"/>
      <c r="CE192" s="37"/>
    </row>
    <row r="193" spans="3:84">
      <c r="D193" s="38">
        <v>13</v>
      </c>
      <c r="E193" s="86">
        <f>E191</f>
        <v>35118</v>
      </c>
      <c r="F193" s="37">
        <f t="shared" si="485"/>
        <v>0.9809497206703911</v>
      </c>
      <c r="G193" s="38">
        <f>G191</f>
        <v>26782</v>
      </c>
      <c r="H193" s="37">
        <f t="shared" ref="H193:P193" si="507">H191</f>
        <v>0.74810055865921787</v>
      </c>
      <c r="I193" s="37">
        <f t="shared" si="507"/>
        <v>0.17105559641160117</v>
      </c>
      <c r="J193" s="38">
        <f t="shared" si="507"/>
        <v>25347</v>
      </c>
      <c r="K193" s="37">
        <f t="shared" si="507"/>
        <v>0.94641923680083639</v>
      </c>
      <c r="L193" s="7">
        <f t="shared" si="507"/>
        <v>1290.9121096160868</v>
      </c>
      <c r="M193" s="41">
        <f t="shared" si="507"/>
        <v>22936</v>
      </c>
      <c r="N193" s="37">
        <f t="shared" si="507"/>
        <v>0.90488026196394056</v>
      </c>
      <c r="O193" s="50">
        <f t="shared" si="507"/>
        <v>7142.7507599505579</v>
      </c>
      <c r="P193" s="91">
        <f t="shared" si="507"/>
        <v>0.64067039106145252</v>
      </c>
      <c r="Q193" s="7">
        <f>INDEX(Daggett!$B$7:$M$21, MATCH(D193,Daggett!$A$7:$A$21,0), MATCH(B$189,Daggett!$B$6:$M$6,0))</f>
        <v>681.48387096774195</v>
      </c>
      <c r="R193" s="4">
        <f t="shared" si="479"/>
        <v>0.91926153738231875</v>
      </c>
      <c r="S193" s="91">
        <f t="shared" si="486"/>
        <v>0.58894364864248216</v>
      </c>
      <c r="T193" s="104">
        <f t="shared" si="487"/>
        <v>0.94497803995931828</v>
      </c>
      <c r="U193" s="91">
        <f t="shared" si="488"/>
        <v>0.60541945040522138</v>
      </c>
      <c r="AE193" s="38">
        <v>13</v>
      </c>
      <c r="AF193" s="86">
        <v>33475</v>
      </c>
      <c r="AG193" s="37">
        <f t="shared" si="489"/>
        <v>0.93505586592178769</v>
      </c>
      <c r="AH193" s="38">
        <v>26046</v>
      </c>
      <c r="AI193" s="37">
        <f t="shared" si="490"/>
        <v>0.72754189944134073</v>
      </c>
      <c r="AJ193" s="37">
        <f t="shared" si="491"/>
        <v>0.15426827288372247</v>
      </c>
      <c r="AK193" s="38">
        <v>24510</v>
      </c>
      <c r="AL193" s="37">
        <f t="shared" si="492"/>
        <v>0.94102741303847037</v>
      </c>
      <c r="AM193" s="7">
        <f t="shared" si="480"/>
        <v>1248.2840496583535</v>
      </c>
      <c r="AN193" s="41">
        <v>22129</v>
      </c>
      <c r="AO193" s="37">
        <f t="shared" si="493"/>
        <v>0.9028559771521828</v>
      </c>
      <c r="AP193" s="50">
        <f t="shared" si="481"/>
        <v>6891.4340585518794</v>
      </c>
      <c r="AQ193" s="91">
        <f t="shared" si="494"/>
        <v>0.61812849162011174</v>
      </c>
      <c r="AR193" s="7">
        <f>INDEX(Daggett!$B$7:$M$21, MATCH(AE193,Daggett!$A$7:$A$21,0), MATCH(AC$189,Daggett!$B$6:$M$6,0))</f>
        <v>681.48387096774195</v>
      </c>
      <c r="AS193" s="4">
        <f t="shared" si="482"/>
        <v>0.91631716848483269</v>
      </c>
      <c r="AT193" s="91">
        <f t="shared" si="495"/>
        <v>0.56640174920114139</v>
      </c>
      <c r="AU193" s="104">
        <f t="shared" si="496"/>
        <v>0.94297150004550245</v>
      </c>
      <c r="AV193" s="91">
        <f t="shared" si="497"/>
        <v>0.58287755096388061</v>
      </c>
      <c r="AW193" s="38"/>
      <c r="AX193" s="37"/>
      <c r="AY193" s="38"/>
      <c r="AZ193" s="37"/>
      <c r="BA193" s="37"/>
      <c r="BB193" s="38"/>
      <c r="BC193" s="37"/>
      <c r="BF193" s="38">
        <v>13</v>
      </c>
      <c r="BG193" s="86">
        <f>AF191</f>
        <v>30406</v>
      </c>
      <c r="BH193" s="37">
        <f t="shared" si="498"/>
        <v>0.84932960893854748</v>
      </c>
      <c r="BI193" s="38">
        <f t="shared" ref="BI193:BQ193" si="508">AH191</f>
        <v>24898</v>
      </c>
      <c r="BJ193" s="37">
        <f t="shared" si="508"/>
        <v>0.69547486033519557</v>
      </c>
      <c r="BK193" s="37">
        <f t="shared" si="508"/>
        <v>0.10994397558834212</v>
      </c>
      <c r="BL193" s="38">
        <f t="shared" si="508"/>
        <v>22775</v>
      </c>
      <c r="BM193" s="37">
        <f t="shared" si="508"/>
        <v>0.91473210699654595</v>
      </c>
      <c r="BN193" s="7">
        <f t="shared" si="508"/>
        <v>1159.9212252537332</v>
      </c>
      <c r="BO193" s="38">
        <f t="shared" si="508"/>
        <v>20649</v>
      </c>
      <c r="BP193" s="37">
        <f t="shared" si="508"/>
        <v>0.90665203073545553</v>
      </c>
      <c r="BQ193" s="50">
        <f t="shared" si="508"/>
        <v>6430.5310621825547</v>
      </c>
      <c r="BR193" s="91">
        <f t="shared" si="500"/>
        <v>0.5767877094972067</v>
      </c>
      <c r="BS193" s="103">
        <f>INDEX(Daggett!$B$7:$M$21, MATCH(BF193,Daggett!$A$7:$A$21,0), MATCH(BD$189,Daggett!$B$6:$M$6,0))</f>
        <v>681.48387096774195</v>
      </c>
      <c r="BT193" s="4">
        <f t="shared" si="484"/>
        <v>0.91031927073470209</v>
      </c>
      <c r="BU193" s="91">
        <f t="shared" si="501"/>
        <v>0.52506096707823646</v>
      </c>
      <c r="BV193" s="104">
        <f t="shared" si="502"/>
        <v>0.93888402946907468</v>
      </c>
      <c r="BW193" s="91">
        <f t="shared" si="503"/>
        <v>0.54153676884097546</v>
      </c>
      <c r="BX193" s="38"/>
      <c r="BY193" s="37"/>
      <c r="BZ193" s="37"/>
      <c r="CA193" s="38"/>
      <c r="CB193" s="37"/>
      <c r="CC193" s="7"/>
      <c r="CD193" s="41"/>
      <c r="CE193" s="37"/>
    </row>
    <row r="194" spans="3:84">
      <c r="D194" s="38">
        <v>14</v>
      </c>
      <c r="E194" s="86">
        <f>E190</f>
        <v>34332</v>
      </c>
      <c r="F194" s="37">
        <f t="shared" si="485"/>
        <v>0.95899441340782121</v>
      </c>
      <c r="G194" s="38">
        <f>G190</f>
        <v>23141</v>
      </c>
      <c r="H194" s="37">
        <f t="shared" ref="H194:P194" si="509">H190</f>
        <v>0.64639664804469277</v>
      </c>
      <c r="I194" s="37">
        <f t="shared" si="509"/>
        <v>0.26735229903398539</v>
      </c>
      <c r="J194" s="38">
        <f t="shared" si="509"/>
        <v>21830</v>
      </c>
      <c r="K194" s="37">
        <f t="shared" si="509"/>
        <v>0.94334730564798408</v>
      </c>
      <c r="L194" s="7">
        <f t="shared" si="509"/>
        <v>1111.7927704627441</v>
      </c>
      <c r="M194" s="41">
        <f t="shared" si="509"/>
        <v>19715</v>
      </c>
      <c r="N194" s="37">
        <f t="shared" si="509"/>
        <v>0.90311497938616581</v>
      </c>
      <c r="O194" s="50">
        <f t="shared" si="509"/>
        <v>6139.6639009602914</v>
      </c>
      <c r="P194" s="91">
        <f t="shared" si="509"/>
        <v>0.55069832402234642</v>
      </c>
      <c r="Q194" s="7">
        <f>INDEX(Daggett!$B$7:$M$21, MATCH(D194,Daggett!$A$7:$A$21,0), MATCH(B$189,Daggett!$B$6:$M$6,0))</f>
        <v>661.06451612903231</v>
      </c>
      <c r="R194" s="4">
        <f t="shared" si="479"/>
        <v>0.90316929152073377</v>
      </c>
      <c r="S194" s="91">
        <f t="shared" si="486"/>
        <v>0.4973738151489181</v>
      </c>
      <c r="T194" s="104">
        <f t="shared" si="487"/>
        <v>0.93598865455272251</v>
      </c>
      <c r="U194" s="91">
        <f t="shared" si="488"/>
        <v>0.51544738336611529</v>
      </c>
      <c r="AE194" s="38">
        <v>14</v>
      </c>
      <c r="AF194" s="86">
        <v>34200</v>
      </c>
      <c r="AG194" s="37">
        <f t="shared" si="489"/>
        <v>0.95530726256983245</v>
      </c>
      <c r="AH194" s="38">
        <v>23194</v>
      </c>
      <c r="AI194" s="37">
        <f t="shared" si="490"/>
        <v>0.64787709497206702</v>
      </c>
      <c r="AJ194" s="37">
        <f t="shared" si="491"/>
        <v>0.26284007119247399</v>
      </c>
      <c r="AK194" s="38">
        <v>21858</v>
      </c>
      <c r="AL194" s="37">
        <f t="shared" si="492"/>
        <v>0.94239889626627571</v>
      </c>
      <c r="AM194" s="7">
        <f t="shared" si="480"/>
        <v>1113.2187987528475</v>
      </c>
      <c r="AN194" s="41">
        <v>19753</v>
      </c>
      <c r="AO194" s="37">
        <f t="shared" si="493"/>
        <v>0.90369658706194533</v>
      </c>
      <c r="AP194" s="50">
        <f t="shared" si="481"/>
        <v>6151.4978968130172</v>
      </c>
      <c r="AQ194" s="91">
        <f t="shared" si="494"/>
        <v>0.55175977653631281</v>
      </c>
      <c r="AR194" s="7">
        <f>INDEX(Daggett!$B$7:$M$21, MATCH(AE194,Daggett!$A$7:$A$21,0), MATCH(AC$189,Daggett!$B$6:$M$6,0))</f>
        <v>661.06451612903231</v>
      </c>
      <c r="AS194" s="4">
        <f t="shared" si="482"/>
        <v>0.9033555704111409</v>
      </c>
      <c r="AT194" s="91">
        <f t="shared" si="495"/>
        <v>0.49843526766288448</v>
      </c>
      <c r="AU194" s="104">
        <f t="shared" si="496"/>
        <v>0.93611179691727453</v>
      </c>
      <c r="AV194" s="91">
        <f t="shared" si="497"/>
        <v>0.51650883588008167</v>
      </c>
      <c r="AW194" s="38"/>
      <c r="AX194" s="37"/>
      <c r="AY194" s="38"/>
      <c r="AZ194" s="37"/>
      <c r="BA194" s="37"/>
      <c r="BB194" s="38"/>
      <c r="BC194" s="37"/>
      <c r="BF194" s="38">
        <v>14</v>
      </c>
      <c r="BG194" s="86">
        <f>AF190</f>
        <v>28121</v>
      </c>
      <c r="BH194" s="37">
        <f t="shared" si="498"/>
        <v>0.78550279329608941</v>
      </c>
      <c r="BI194" s="38">
        <f t="shared" ref="BI194:BQ194" si="510">AH190</f>
        <v>21229</v>
      </c>
      <c r="BJ194" s="37">
        <f t="shared" si="510"/>
        <v>0.59298882681564247</v>
      </c>
      <c r="BK194" s="37">
        <f t="shared" si="510"/>
        <v>0.17943885352583477</v>
      </c>
      <c r="BL194" s="38">
        <f t="shared" si="510"/>
        <v>18656</v>
      </c>
      <c r="BM194" s="37">
        <f t="shared" si="510"/>
        <v>0.87879787083706251</v>
      </c>
      <c r="BN194" s="7">
        <f t="shared" si="510"/>
        <v>950.14227786316781</v>
      </c>
      <c r="BO194" s="38">
        <f t="shared" si="510"/>
        <v>16926</v>
      </c>
      <c r="BP194" s="37">
        <f t="shared" si="510"/>
        <v>0.90726843910806176</v>
      </c>
      <c r="BQ194" s="50">
        <f t="shared" si="510"/>
        <v>5271.1108895589095</v>
      </c>
      <c r="BR194" s="91">
        <f t="shared" si="500"/>
        <v>0.47279329608938547</v>
      </c>
      <c r="BS194" s="103">
        <f>INDEX(Daggett!$B$7:$M$21, MATCH(BF194,Daggett!$A$7:$A$21,0), MATCH(BD$189,Daggett!$B$6:$M$6,0))</f>
        <v>661.06451612903231</v>
      </c>
      <c r="BT194" s="4">
        <f t="shared" si="484"/>
        <v>0.88721390655389731</v>
      </c>
      <c r="BU194" s="91">
        <f t="shared" si="501"/>
        <v>0.41946878721595715</v>
      </c>
      <c r="BV194" s="104">
        <f t="shared" si="502"/>
        <v>0.92544111570996834</v>
      </c>
      <c r="BW194" s="91">
        <f t="shared" si="503"/>
        <v>0.43754235543315428</v>
      </c>
      <c r="BX194" s="38"/>
      <c r="BY194" s="37"/>
      <c r="BZ194" s="37"/>
      <c r="CA194" s="38"/>
      <c r="CB194" s="37"/>
      <c r="CC194" s="7"/>
      <c r="CD194" s="41"/>
      <c r="CE194" s="37"/>
    </row>
    <row r="195" spans="3:84">
      <c r="C195" s="7" t="s">
        <v>162</v>
      </c>
      <c r="D195" s="38">
        <v>15</v>
      </c>
      <c r="E195" s="86">
        <f>E189</f>
        <v>33043</v>
      </c>
      <c r="F195" s="37">
        <f t="shared" si="485"/>
        <v>0.92298882681564243</v>
      </c>
      <c r="G195" s="38">
        <f>G189</f>
        <v>20176</v>
      </c>
      <c r="H195" s="37">
        <f t="shared" ref="H195:P195" si="511">H189</f>
        <v>0.56357541899441344</v>
      </c>
      <c r="I195" s="37">
        <f t="shared" si="511"/>
        <v>0.33630618337897</v>
      </c>
      <c r="J195" s="38">
        <f t="shared" si="511"/>
        <v>18871</v>
      </c>
      <c r="K195" s="37">
        <f t="shared" si="511"/>
        <v>0.9353191911181602</v>
      </c>
      <c r="L195" s="7">
        <f t="shared" si="511"/>
        <v>961.09213794789025</v>
      </c>
      <c r="M195" s="41">
        <f t="shared" si="511"/>
        <v>17011</v>
      </c>
      <c r="N195" s="37">
        <f t="shared" si="511"/>
        <v>0.9014360659212548</v>
      </c>
      <c r="O195" s="50">
        <f t="shared" si="511"/>
        <v>5297.5816697557966</v>
      </c>
      <c r="P195" s="91">
        <f t="shared" si="511"/>
        <v>0.4751675977653631</v>
      </c>
      <c r="Q195" s="7">
        <f>INDEX(Daggett!$B$7:$M$21, MATCH(D195,Daggett!$A$7:$A$21,0), MATCH(B$189,Daggett!$B$6:$M$6,0))</f>
        <v>568.09677419354841</v>
      </c>
      <c r="R195" s="4">
        <f t="shared" si="479"/>
        <v>0.86941251156049737</v>
      </c>
      <c r="S195" s="91">
        <f t="shared" si="486"/>
        <v>0.41311665458535252</v>
      </c>
      <c r="T195" s="104">
        <f t="shared" si="487"/>
        <v>0.9258136690674813</v>
      </c>
      <c r="U195" s="91">
        <f t="shared" si="488"/>
        <v>0.43991665710913197</v>
      </c>
      <c r="AD195" s="7" t="s">
        <v>162</v>
      </c>
      <c r="AE195" s="38">
        <v>15</v>
      </c>
      <c r="AF195" s="86">
        <v>34361</v>
      </c>
      <c r="AG195" s="37">
        <f t="shared" si="489"/>
        <v>0.95980446927374297</v>
      </c>
      <c r="AH195" s="38">
        <v>20879</v>
      </c>
      <c r="AI195" s="37">
        <f t="shared" si="490"/>
        <v>0.58321229050279333</v>
      </c>
      <c r="AJ195" s="37">
        <f t="shared" si="491"/>
        <v>0.3395254731413142</v>
      </c>
      <c r="AK195" s="38">
        <v>19784</v>
      </c>
      <c r="AL195" s="37">
        <f t="shared" si="492"/>
        <v>0.94755495952871305</v>
      </c>
      <c r="AM195" s="7">
        <f t="shared" si="480"/>
        <v>1007.5908461216184</v>
      </c>
      <c r="AN195" s="41">
        <v>17833</v>
      </c>
      <c r="AO195" s="37">
        <f t="shared" si="493"/>
        <v>0.90138495754144765</v>
      </c>
      <c r="AP195" s="50">
        <f t="shared" si="481"/>
        <v>5553.5696853068666</v>
      </c>
      <c r="AQ195" s="91">
        <f t="shared" si="494"/>
        <v>0.49812849162011175</v>
      </c>
      <c r="AR195" s="7">
        <f>INDEX(Daggett!$B$7:$M$21, MATCH(AE195,Daggett!$A$7:$A$21,0), MATCH(AC$189,Daggett!$B$6:$M$6,0))</f>
        <v>568.09677419354841</v>
      </c>
      <c r="AS195" s="4">
        <f t="shared" si="482"/>
        <v>0.87543185297794102</v>
      </c>
      <c r="AT195" s="91">
        <f t="shared" si="495"/>
        <v>0.43607754844010121</v>
      </c>
      <c r="AU195" s="104">
        <f t="shared" si="496"/>
        <v>0.9292332375095006</v>
      </c>
      <c r="AV195" s="91">
        <f t="shared" si="497"/>
        <v>0.46287755096388056</v>
      </c>
      <c r="AW195" s="38"/>
      <c r="AX195" s="37"/>
      <c r="AY195" s="38"/>
      <c r="AZ195" s="37"/>
      <c r="BA195" s="37"/>
      <c r="BB195" s="38"/>
      <c r="BC195" s="37"/>
      <c r="BE195" s="7" t="s">
        <v>162</v>
      </c>
      <c r="BF195" s="38">
        <v>15</v>
      </c>
      <c r="BG195" s="86">
        <f>AF189</f>
        <v>25396</v>
      </c>
      <c r="BH195" s="37">
        <f t="shared" si="498"/>
        <v>0.70938547486033521</v>
      </c>
      <c r="BI195" s="38">
        <f t="shared" ref="BI195:BQ195" si="512">AH189</f>
        <v>16158</v>
      </c>
      <c r="BJ195" s="37">
        <f t="shared" si="512"/>
        <v>0.45134078212290502</v>
      </c>
      <c r="BK195" s="37">
        <f t="shared" si="512"/>
        <v>0.30843268710580918</v>
      </c>
      <c r="BL195" s="38">
        <f t="shared" si="512"/>
        <v>13327</v>
      </c>
      <c r="BM195" s="37">
        <f t="shared" si="512"/>
        <v>0.82479267236044063</v>
      </c>
      <c r="BN195" s="7">
        <f t="shared" si="512"/>
        <v>678.73853650742058</v>
      </c>
      <c r="BO195" s="38">
        <f t="shared" si="512"/>
        <v>12008</v>
      </c>
      <c r="BP195" s="37">
        <f t="shared" si="512"/>
        <v>0.90102798829443986</v>
      </c>
      <c r="BQ195" s="50">
        <f t="shared" si="512"/>
        <v>3739.5426894613838</v>
      </c>
      <c r="BR195" s="91">
        <f t="shared" si="500"/>
        <v>0.33541899441340783</v>
      </c>
      <c r="BS195" s="103">
        <f>INDEX(Daggett!$B$7:$M$21, MATCH(BF195,Daggett!$A$7:$A$21,0), MATCH(BD$189,Daggett!$B$6:$M$6,0))</f>
        <v>568.09677419354841</v>
      </c>
      <c r="BT195" s="4">
        <f t="shared" si="484"/>
        <v>0.81500468305759666</v>
      </c>
      <c r="BU195" s="91">
        <f t="shared" si="501"/>
        <v>0.27336805123339725</v>
      </c>
      <c r="BV195" s="104">
        <f t="shared" si="502"/>
        <v>0.89490475720410756</v>
      </c>
      <c r="BW195" s="91">
        <f t="shared" si="503"/>
        <v>0.30016805375717664</v>
      </c>
      <c r="BX195" s="38"/>
      <c r="BY195" s="37"/>
      <c r="BZ195" s="37"/>
      <c r="CA195" s="38"/>
      <c r="CB195" s="37"/>
      <c r="CC195" s="7"/>
      <c r="CD195" s="41"/>
      <c r="CE195" s="37"/>
    </row>
    <row r="196" spans="3:84">
      <c r="C196" s="7">
        <f>ROW(D196)-ROW(D188)+1</f>
        <v>9</v>
      </c>
      <c r="D196" s="38">
        <v>16</v>
      </c>
      <c r="E196" s="92">
        <f>E188</f>
        <v>31284</v>
      </c>
      <c r="F196" s="93">
        <f t="shared" si="485"/>
        <v>0.87385474860335199</v>
      </c>
      <c r="G196" s="94">
        <f>G188</f>
        <v>13256</v>
      </c>
      <c r="H196" s="93">
        <f t="shared" ref="H196:P196" si="513">H188</f>
        <v>0.37027932960893856</v>
      </c>
      <c r="I196" s="93">
        <f t="shared" si="513"/>
        <v>0.53942284707281951</v>
      </c>
      <c r="J196" s="94">
        <f t="shared" si="513"/>
        <v>12192</v>
      </c>
      <c r="K196" s="93">
        <f t="shared" si="513"/>
        <v>0.9197344598672299</v>
      </c>
      <c r="L196" s="95">
        <f t="shared" si="513"/>
        <v>620.9334611764441</v>
      </c>
      <c r="M196" s="109">
        <f t="shared" si="513"/>
        <v>10883</v>
      </c>
      <c r="N196" s="93">
        <f t="shared" si="513"/>
        <v>0.89263451443569553</v>
      </c>
      <c r="O196" s="96">
        <f t="shared" si="513"/>
        <v>3389.1941280319988</v>
      </c>
      <c r="P196" s="102">
        <f t="shared" si="513"/>
        <v>0.30399441340782124</v>
      </c>
      <c r="Q196" s="95">
        <f>INDEX(Daggett!$B$7:$M$21, MATCH(D196,Daggett!$A$7:$A$21,0), MATCH(B$189,Daggett!$B$6:$M$6,0))</f>
        <v>409.22580645161293</v>
      </c>
      <c r="R196" s="106">
        <f t="shared" si="479"/>
        <v>0.71663768320600629</v>
      </c>
      <c r="S196" s="102">
        <f t="shared" si="486"/>
        <v>0.21785385213214992</v>
      </c>
      <c r="T196" s="108">
        <f t="shared" si="487"/>
        <v>0.88404082739198053</v>
      </c>
      <c r="U196" s="102">
        <f t="shared" si="488"/>
        <v>0.26874347275159005</v>
      </c>
      <c r="AD196" s="7">
        <f>ROW(AE196)-ROW(AE188)+1</f>
        <v>9</v>
      </c>
      <c r="AE196" s="38">
        <v>16</v>
      </c>
      <c r="AF196" s="92">
        <v>33598</v>
      </c>
      <c r="AG196" s="93">
        <f t="shared" si="489"/>
        <v>0.93849162011173182</v>
      </c>
      <c r="AH196" s="94">
        <v>13151</v>
      </c>
      <c r="AI196" s="93">
        <f t="shared" si="490"/>
        <v>0.3673463687150838</v>
      </c>
      <c r="AJ196" s="93">
        <f t="shared" si="491"/>
        <v>0.57454118645778607</v>
      </c>
      <c r="AK196" s="94">
        <v>12446</v>
      </c>
      <c r="AL196" s="93">
        <f t="shared" si="492"/>
        <v>0.94639190936050488</v>
      </c>
      <c r="AM196" s="95">
        <f t="shared" si="480"/>
        <v>633.86957495095339</v>
      </c>
      <c r="AN196" s="109">
        <v>11017</v>
      </c>
      <c r="AO196" s="93">
        <f t="shared" si="493"/>
        <v>0.88518399485778565</v>
      </c>
      <c r="AP196" s="96">
        <f t="shared" si="481"/>
        <v>3430.9245344600322</v>
      </c>
      <c r="AQ196" s="102">
        <f t="shared" si="494"/>
        <v>0.30773743016759775</v>
      </c>
      <c r="AR196" s="95">
        <f>INDEX(Daggett!$B$7:$M$21, MATCH(AE196,Daggett!$A$7:$A$21,0), MATCH(AC$189,Daggett!$B$6:$M$6,0))</f>
        <v>409.22580645161293</v>
      </c>
      <c r="AS196" s="106">
        <f t="shared" si="482"/>
        <v>0.72008422495515712</v>
      </c>
      <c r="AT196" s="102">
        <f t="shared" si="495"/>
        <v>0.2215968688919264</v>
      </c>
      <c r="AU196" s="108">
        <f t="shared" si="496"/>
        <v>0.88545124121874597</v>
      </c>
      <c r="AV196" s="102">
        <f t="shared" si="497"/>
        <v>0.27248648951136656</v>
      </c>
      <c r="AW196" s="38"/>
      <c r="AX196" s="37"/>
      <c r="AY196" s="38"/>
      <c r="AZ196" s="37"/>
      <c r="BA196" s="37"/>
      <c r="BB196" s="38"/>
      <c r="BC196" s="37"/>
      <c r="BE196" s="7">
        <f>ROW(BF196)-ROW(BF188)+1</f>
        <v>9</v>
      </c>
      <c r="BF196" s="38">
        <v>16</v>
      </c>
      <c r="BG196" s="92">
        <f>AF188</f>
        <v>22293</v>
      </c>
      <c r="BH196" s="93">
        <f t="shared" si="498"/>
        <v>0.62270949720670388</v>
      </c>
      <c r="BI196" s="94">
        <f t="shared" ref="BI196:BQ196" si="514">AH188</f>
        <v>12677</v>
      </c>
      <c r="BJ196" s="93">
        <f t="shared" si="514"/>
        <v>0.35410614525139666</v>
      </c>
      <c r="BK196" s="93">
        <f t="shared" si="514"/>
        <v>0.38189800268752727</v>
      </c>
      <c r="BL196" s="94">
        <f t="shared" si="514"/>
        <v>9453</v>
      </c>
      <c r="BM196" s="93">
        <f t="shared" si="514"/>
        <v>0.74568115484736142</v>
      </c>
      <c r="BN196" s="95">
        <f t="shared" si="514"/>
        <v>481.43733665525968</v>
      </c>
      <c r="BO196" s="94">
        <f t="shared" si="514"/>
        <v>8521</v>
      </c>
      <c r="BP196" s="93">
        <f t="shared" si="514"/>
        <v>0.90140696075320004</v>
      </c>
      <c r="BQ196" s="96">
        <f t="shared" si="514"/>
        <v>2653.6178595020365</v>
      </c>
      <c r="BR196" s="102">
        <f t="shared" si="500"/>
        <v>0.2380167597765363</v>
      </c>
      <c r="BS196" s="105">
        <f>INDEX(Daggett!$B$7:$M$21, MATCH(BF196,Daggett!$A$7:$A$21,0), MATCH(BD$189,Daggett!$B$6:$M$6,0))</f>
        <v>409.22580645161293</v>
      </c>
      <c r="BT196" s="106">
        <f t="shared" si="484"/>
        <v>0.63809035398790837</v>
      </c>
      <c r="BU196" s="102">
        <f t="shared" si="501"/>
        <v>0.15187619850086501</v>
      </c>
      <c r="BV196" s="108">
        <f t="shared" si="502"/>
        <v>0.85189723324808408</v>
      </c>
      <c r="BW196" s="102">
        <f t="shared" si="503"/>
        <v>0.20276581912030514</v>
      </c>
      <c r="BX196" s="38"/>
      <c r="BY196" s="37"/>
      <c r="BZ196" s="37"/>
      <c r="CA196" s="38"/>
      <c r="CB196" s="37"/>
      <c r="CC196" s="7"/>
      <c r="CD196" s="41"/>
      <c r="CE196" s="37"/>
    </row>
    <row r="197" spans="3:84">
      <c r="F197" s="37"/>
      <c r="AV197" s="38"/>
      <c r="AW197" s="38"/>
      <c r="AX197" s="37"/>
      <c r="AY197" s="38"/>
      <c r="AZ197" s="37"/>
      <c r="BA197" s="37"/>
      <c r="BB197" s="38"/>
      <c r="BC197" s="37"/>
      <c r="BG197" s="50"/>
      <c r="BH197" s="4"/>
      <c r="BI197" s="4"/>
      <c r="BJ197" s="4"/>
      <c r="BU197" s="38"/>
      <c r="BV197" s="38"/>
      <c r="BW197" s="37"/>
      <c r="BX197" s="38"/>
      <c r="BY197" s="37"/>
      <c r="BZ197" s="37"/>
      <c r="CA197" s="38"/>
      <c r="CB197" s="37"/>
      <c r="CC197" s="7"/>
      <c r="CD197" s="41"/>
      <c r="CE197" s="37"/>
    </row>
    <row r="198" spans="3:84">
      <c r="AV198" s="38"/>
      <c r="AW198" s="38"/>
      <c r="AX198" s="37"/>
      <c r="AY198" s="38"/>
      <c r="AZ198" s="37"/>
      <c r="BA198" s="37"/>
      <c r="BB198" s="38"/>
      <c r="BC198" s="37"/>
      <c r="BG198" s="50"/>
      <c r="BH198" s="4"/>
      <c r="BI198" s="4"/>
      <c r="BJ198" s="4"/>
      <c r="BU198" s="38"/>
      <c r="BV198" s="38"/>
      <c r="BW198" s="37"/>
      <c r="BX198" s="38"/>
      <c r="BY198" s="37"/>
      <c r="BZ198" s="37"/>
      <c r="CA198" s="38"/>
      <c r="CB198" s="37"/>
      <c r="CC198" s="7"/>
      <c r="CD198" s="41"/>
      <c r="CE198" s="37"/>
    </row>
    <row r="199" spans="3:84">
      <c r="AV199" s="38"/>
      <c r="AW199" s="38"/>
      <c r="AX199" s="37"/>
      <c r="AY199" s="38"/>
      <c r="AZ199" s="37"/>
      <c r="BA199" s="37"/>
      <c r="BB199" s="38"/>
      <c r="BC199" s="37"/>
      <c r="BG199" s="50"/>
      <c r="BH199" s="4"/>
      <c r="BI199" s="4"/>
      <c r="BJ199" s="4"/>
      <c r="BU199" s="38"/>
      <c r="BV199" s="38"/>
      <c r="BW199" s="37"/>
      <c r="BX199" s="38"/>
      <c r="BY199" s="37"/>
      <c r="BZ199" s="37"/>
      <c r="CA199" s="38"/>
      <c r="CB199" s="37"/>
      <c r="CC199" s="7"/>
      <c r="CD199" s="41"/>
      <c r="CE199" s="37"/>
    </row>
    <row r="200" spans="3:84">
      <c r="D200" s="3" t="s">
        <v>170</v>
      </c>
      <c r="E200" s="38">
        <f>MIN(E35:E196)</f>
        <v>23740</v>
      </c>
      <c r="F200" s="37">
        <f t="shared" ref="F200:Q200" si="515">MIN(F35:F196)</f>
        <v>0.66312849162011178</v>
      </c>
      <c r="G200" s="38">
        <f t="shared" si="515"/>
        <v>11379</v>
      </c>
      <c r="H200" s="37">
        <f t="shared" si="515"/>
        <v>0.31784916201117319</v>
      </c>
      <c r="I200" s="37">
        <f t="shared" si="515"/>
        <v>4.2675641707420664E-2</v>
      </c>
      <c r="J200" s="38">
        <f t="shared" si="515"/>
        <v>8698</v>
      </c>
      <c r="K200" s="37">
        <f t="shared" si="515"/>
        <v>0.76439054398453288</v>
      </c>
      <c r="L200" s="7">
        <f t="shared" si="515"/>
        <v>442.98550240425777</v>
      </c>
      <c r="M200" s="38">
        <f t="shared" si="515"/>
        <v>7832</v>
      </c>
      <c r="N200" s="37">
        <f t="shared" si="515"/>
        <v>0.89263451443569553</v>
      </c>
      <c r="O200" s="50">
        <f t="shared" si="515"/>
        <v>2439.0488294355064</v>
      </c>
      <c r="P200" s="4">
        <f t="shared" si="515"/>
        <v>0.2187709497206704</v>
      </c>
      <c r="Q200" s="7">
        <f t="shared" si="515"/>
        <v>264</v>
      </c>
      <c r="R200" s="4">
        <f t="array" ref="R200">MIN(IF(ISNUMBER(R35:R196),R35:R196,FALSE))</f>
        <v>0.45699711969228907</v>
      </c>
      <c r="S200" s="4">
        <f t="array" ref="S200">MIN(IF(ISNUMBER(S35:S196),S35:S196,FALSE))</f>
        <v>9.9977693894692965E-2</v>
      </c>
      <c r="T200" s="4">
        <f t="array" ref="T200">MIN(IF(ISNUMBER(T35:T196),T35:T196,FALSE))</f>
        <v>0.8388682743241731</v>
      </c>
      <c r="U200" s="4">
        <f t="array" ref="U200">MIN(IF(ISNUMBER(U35:U196),U35:U196,FALSE))</f>
        <v>0.18352000906443922</v>
      </c>
      <c r="AE200" s="3" t="s">
        <v>170</v>
      </c>
      <c r="AF200" s="38">
        <f>MIN(AF35:AF196)</f>
        <v>16273</v>
      </c>
      <c r="AG200" s="37">
        <f t="shared" ref="AG200:AR200" si="516">MIN(AG35:AG196)</f>
        <v>0.45455307262569833</v>
      </c>
      <c r="AH200" s="38">
        <f t="shared" si="516"/>
        <v>9731</v>
      </c>
      <c r="AI200" s="37">
        <f t="shared" si="516"/>
        <v>0.27181564245810058</v>
      </c>
      <c r="AJ200" s="37">
        <f t="shared" si="516"/>
        <v>-6.1633307521518077E-3</v>
      </c>
      <c r="AK200" s="38">
        <f t="shared" si="516"/>
        <v>5620</v>
      </c>
      <c r="AL200" s="37">
        <f t="shared" si="516"/>
        <v>0.57753571061555853</v>
      </c>
      <c r="AM200" s="7">
        <f t="shared" si="516"/>
        <v>286.22424965646456</v>
      </c>
      <c r="AN200" s="38">
        <f t="shared" si="516"/>
        <v>5065</v>
      </c>
      <c r="AO200" s="37">
        <f t="shared" si="516"/>
        <v>0.88267161410018558</v>
      </c>
      <c r="AP200" s="50">
        <f t="shared" si="516"/>
        <v>1577.347078790965</v>
      </c>
      <c r="AQ200" s="4">
        <f t="shared" si="516"/>
        <v>0.1414804469273743</v>
      </c>
      <c r="AR200" s="7">
        <f t="shared" si="516"/>
        <v>264</v>
      </c>
      <c r="AS200" s="4">
        <f t="array" ref="AS200">MIN(IF(ISNUMBER(AS35:AS196),AS35:AS196,FALSE))</f>
        <v>0.16035566464560869</v>
      </c>
      <c r="AT200" s="4">
        <f t="array" ref="AT200">MIN(IF(ISNUMBER(AT35:AT196),AT35:AT196,FALSE))</f>
        <v>0</v>
      </c>
      <c r="AU200" s="4">
        <f t="array" ref="AU200">MIN(IF(ISNUMBER(AU35:AU196),AU35:AU196,FALSE))</f>
        <v>0.75084231480886943</v>
      </c>
      <c r="AV200" s="4">
        <f t="array" ref="AV200">MIN(IF(ISNUMBER(AV35:AV196),AV35:AV196,FALSE))</f>
        <v>0.10622950627114311</v>
      </c>
      <c r="AW200" s="38"/>
      <c r="AX200" s="37"/>
      <c r="AY200" s="38"/>
      <c r="AZ200" s="37"/>
      <c r="BA200" s="37"/>
      <c r="BB200" s="38"/>
      <c r="BC200" s="37"/>
      <c r="BF200" s="3" t="s">
        <v>170</v>
      </c>
      <c r="BG200" s="38">
        <f>MIN(BG35:BG196)</f>
        <v>16273</v>
      </c>
      <c r="BH200" s="37">
        <f t="shared" ref="BH200:BS200" si="517">MIN(BH35:BH196)</f>
        <v>0.45455307262569833</v>
      </c>
      <c r="BI200" s="38">
        <f t="shared" si="517"/>
        <v>9731</v>
      </c>
      <c r="BJ200" s="37">
        <f t="shared" si="517"/>
        <v>0.27181564245810058</v>
      </c>
      <c r="BK200" s="37">
        <f t="shared" si="517"/>
        <v>-6.1633307521518077E-3</v>
      </c>
      <c r="BL200" s="38">
        <f t="shared" si="517"/>
        <v>5620</v>
      </c>
      <c r="BM200" s="37">
        <f t="shared" si="517"/>
        <v>0.57753571061555853</v>
      </c>
      <c r="BN200" s="7">
        <f t="shared" si="517"/>
        <v>286.22424965646456</v>
      </c>
      <c r="BO200" s="38">
        <f t="shared" si="517"/>
        <v>5065</v>
      </c>
      <c r="BP200" s="37">
        <f t="shared" si="517"/>
        <v>0.88267161410018558</v>
      </c>
      <c r="BQ200" s="50">
        <f t="shared" si="517"/>
        <v>1577.347078790965</v>
      </c>
      <c r="BR200" s="4">
        <f t="shared" si="517"/>
        <v>0.1414804469273743</v>
      </c>
      <c r="BS200" s="7">
        <f t="shared" si="517"/>
        <v>264</v>
      </c>
      <c r="BT200" s="4">
        <f t="array" ref="BT200">MIN(IF(ISNUMBER(BT35:BT196),BT35:BT196,FALSE))</f>
        <v>0.4548741448990723</v>
      </c>
      <c r="BU200" s="4">
        <f t="array" ref="BU200">MIN(IF(ISNUMBER(BU35:BU196),BU35:BU196,FALSE))</f>
        <v>6.435579731602796E-2</v>
      </c>
      <c r="BV200" s="4">
        <f t="array" ref="BV200">MIN(IF(ISNUMBER(BV35:BV196),BV35:BV196,FALSE))</f>
        <v>0.75084231480886943</v>
      </c>
      <c r="BW200" s="4">
        <f t="array" ref="BW200">MIN(IF(ISNUMBER(BW35:BW196),BW35:BW196,FALSE))</f>
        <v>0.10622950627114311</v>
      </c>
      <c r="BX200" s="38"/>
      <c r="BY200" s="37"/>
      <c r="BZ200" s="37"/>
      <c r="CA200" s="38"/>
      <c r="CB200" s="37"/>
      <c r="CC200" s="7"/>
      <c r="CD200" s="41"/>
      <c r="CE200" s="37"/>
    </row>
    <row r="201" spans="3:84">
      <c r="D201" s="3" t="s">
        <v>171</v>
      </c>
      <c r="E201" s="38">
        <f>AVERAGE(E35:E196)</f>
        <v>31857.109375</v>
      </c>
      <c r="F201" s="37">
        <f t="shared" ref="F201:Q201" si="518">AVERAGE(F35:F196)</f>
        <v>0.88986339036312845</v>
      </c>
      <c r="G201" s="38">
        <f t="shared" si="518"/>
        <v>24240.5078125</v>
      </c>
      <c r="H201" s="37">
        <f t="shared" si="518"/>
        <v>0.67710915677374306</v>
      </c>
      <c r="I201" s="37">
        <f t="shared" si="518"/>
        <v>0.18132038898690134</v>
      </c>
      <c r="J201" s="38">
        <f t="shared" si="518"/>
        <v>22431.734375</v>
      </c>
      <c r="K201" s="37">
        <f t="shared" si="518"/>
        <v>0.91731326162681526</v>
      </c>
      <c r="L201" s="7">
        <f t="shared" si="518"/>
        <v>1142.4388505298043</v>
      </c>
      <c r="M201" s="38">
        <f t="shared" si="518"/>
        <v>20351.8359375</v>
      </c>
      <c r="N201" s="37">
        <f t="shared" si="518"/>
        <v>0.90629006839845661</v>
      </c>
      <c r="O201" s="50">
        <f t="shared" si="518"/>
        <v>6337.9879494666538</v>
      </c>
      <c r="P201" s="4">
        <f t="shared" si="518"/>
        <v>0.56848703736033501</v>
      </c>
      <c r="Q201" s="7">
        <f t="shared" si="518"/>
        <v>682.00609218990019</v>
      </c>
      <c r="R201" s="4">
        <f t="array" ref="R201">AVERAGE(IF(ISNUMBER(R35:R196),R35:R196,FALSE))</f>
        <v>0.88319266684477238</v>
      </c>
      <c r="S201" s="4">
        <f t="array" ref="S201">AVERAGE(IF(ISNUMBER(S35:S196),S35:S196,FALSE))</f>
        <v>0.51364030831955521</v>
      </c>
      <c r="T201" s="4">
        <f t="array" ref="T201">AVERAGE(IF(ISNUMBER(T35:T196),T35:T196,FALSE))</f>
        <v>0.93132555933229977</v>
      </c>
      <c r="U201" s="4">
        <f t="array" ref="U201">AVERAGE(IF(ISNUMBER(U35:U196),U35:U196,FALSE))</f>
        <v>0.53323609670410388</v>
      </c>
      <c r="AE201" s="3" t="s">
        <v>171</v>
      </c>
      <c r="AF201" s="38">
        <f>AVERAGE(AF35:AF196)</f>
        <v>30265.3671875</v>
      </c>
      <c r="AG201" s="37">
        <f t="shared" ref="AG201:AR201" si="519">AVERAGE(AG35:AG196)</f>
        <v>0.84540131808659258</v>
      </c>
      <c r="AH201" s="38">
        <f t="shared" si="519"/>
        <v>23488.953125</v>
      </c>
      <c r="AI201" s="37">
        <f t="shared" si="519"/>
        <v>0.65611600907821244</v>
      </c>
      <c r="AJ201" s="37">
        <f t="shared" si="519"/>
        <v>0.15458528794693444</v>
      </c>
      <c r="AK201" s="38">
        <f t="shared" si="519"/>
        <v>21137</v>
      </c>
      <c r="AL201" s="37">
        <f t="shared" si="519"/>
        <v>0.88498554714904054</v>
      </c>
      <c r="AM201" s="7">
        <f t="shared" si="519"/>
        <v>1076.4985702826853</v>
      </c>
      <c r="AN201" s="38">
        <f t="shared" si="519"/>
        <v>19157.828125</v>
      </c>
      <c r="AO201" s="37">
        <f t="shared" si="519"/>
        <v>0.90537699839317831</v>
      </c>
      <c r="AP201" s="50">
        <f t="shared" si="519"/>
        <v>5966.1489099601486</v>
      </c>
      <c r="AQ201" s="4">
        <f t="shared" si="519"/>
        <v>0.53513486382681574</v>
      </c>
      <c r="AR201" s="7">
        <f t="shared" si="519"/>
        <v>689.57587545602917</v>
      </c>
      <c r="AS201" s="4">
        <f t="array" ref="AS201">AVERAGE(IF(ISNUMBER(AS35:AS196),AS35:AS196,FALSE))</f>
        <v>0.86849880713933103</v>
      </c>
      <c r="AT201" s="4">
        <f t="array" ref="AT201">AVERAGE(IF(ISNUMBER(AT35:AT196),AT35:AT196,FALSE))</f>
        <v>0.47984188673704786</v>
      </c>
      <c r="AU201" s="4">
        <f t="array" ref="AU201">AVERAGE(IF(ISNUMBER(AU35:AU196),AU35:AU196,FALSE))</f>
        <v>0.92413053880512563</v>
      </c>
      <c r="AV201" s="4">
        <f t="array" ref="AV201">AVERAGE(IF(ISNUMBER(AV35:AV196),AV35:AV196,FALSE))</f>
        <v>0.49988392317058455</v>
      </c>
      <c r="AW201" s="38"/>
      <c r="AX201" s="37"/>
      <c r="AY201" s="38"/>
      <c r="AZ201" s="37"/>
      <c r="BA201" s="37"/>
      <c r="BB201" s="38"/>
      <c r="BC201" s="37"/>
      <c r="BF201" s="3" t="s">
        <v>171</v>
      </c>
      <c r="BG201" s="38">
        <f>AVERAGE(BG35:BG196)</f>
        <v>30265.3671875</v>
      </c>
      <c r="BH201" s="37">
        <f t="shared" ref="BH201:BS201" si="520">AVERAGE(BH35:BH196)</f>
        <v>0.84540131808659225</v>
      </c>
      <c r="BI201" s="38">
        <f t="shared" si="520"/>
        <v>23488.953125</v>
      </c>
      <c r="BJ201" s="37">
        <f t="shared" si="520"/>
        <v>0.65611600907821233</v>
      </c>
      <c r="BK201" s="37">
        <f t="shared" si="520"/>
        <v>0.15458528794693438</v>
      </c>
      <c r="BL201" s="38">
        <f t="shared" si="520"/>
        <v>21137</v>
      </c>
      <c r="BM201" s="37">
        <f t="shared" si="520"/>
        <v>0.88498554714904054</v>
      </c>
      <c r="BN201" s="7">
        <f t="shared" si="520"/>
        <v>1076.4985702826848</v>
      </c>
      <c r="BO201" s="38">
        <f t="shared" si="520"/>
        <v>19157.828125</v>
      </c>
      <c r="BP201" s="37">
        <f t="shared" si="520"/>
        <v>0.9053769983931782</v>
      </c>
      <c r="BQ201" s="50">
        <f t="shared" si="520"/>
        <v>5966.1489099601495</v>
      </c>
      <c r="BR201" s="4">
        <f t="shared" si="520"/>
        <v>0.53513486382681585</v>
      </c>
      <c r="BS201" s="7">
        <f t="shared" si="520"/>
        <v>689.57587545602917</v>
      </c>
      <c r="BT201" s="4">
        <f t="array" ref="BT201">AVERAGE(IF(ISNUMBER(BT35:BT196),BT35:BT196,FALSE))</f>
        <v>0.87376538588129715</v>
      </c>
      <c r="BU201" s="4">
        <f t="array" ref="BU201">AVERAGE(IF(ISNUMBER(BU35:BU196),BU35:BU196,FALSE))</f>
        <v>0.48090957879873597</v>
      </c>
      <c r="BV201" s="4">
        <f t="array" ref="BV201">AVERAGE(IF(ISNUMBER(BV35:BV196),BV35:BV196,FALSE))</f>
        <v>0.92413053880512575</v>
      </c>
      <c r="BW201" s="4">
        <f t="array" ref="BW201">AVERAGE(IF(ISNUMBER(BW35:BW196),BW35:BW196,FALSE))</f>
        <v>0.49988392317058444</v>
      </c>
      <c r="BX201" s="38"/>
      <c r="BY201" s="37"/>
      <c r="BZ201" s="37"/>
      <c r="CA201" s="38"/>
      <c r="CB201" s="37"/>
      <c r="CC201" s="7"/>
      <c r="CD201" s="41"/>
      <c r="CE201" s="37"/>
    </row>
    <row r="202" spans="3:84">
      <c r="D202" s="3" t="s">
        <v>172</v>
      </c>
      <c r="E202" s="38">
        <f>MAX(E35:E196)</f>
        <v>35430</v>
      </c>
      <c r="F202" s="37">
        <f t="shared" ref="F202:Q202" si="521">MAX(F35:F196)</f>
        <v>0.98966480446927374</v>
      </c>
      <c r="G202" s="38">
        <f t="shared" si="521"/>
        <v>29696</v>
      </c>
      <c r="H202" s="37">
        <f t="shared" si="521"/>
        <v>0.82949720670391058</v>
      </c>
      <c r="I202" s="37">
        <f t="shared" si="521"/>
        <v>0.53942284707281951</v>
      </c>
      <c r="J202" s="38">
        <f t="shared" si="521"/>
        <v>28146</v>
      </c>
      <c r="K202" s="37">
        <f t="shared" si="521"/>
        <v>0.95017216933360338</v>
      </c>
      <c r="L202" s="7">
        <f t="shared" si="521"/>
        <v>1433.4640090446355</v>
      </c>
      <c r="M202" s="38">
        <f t="shared" si="521"/>
        <v>25580</v>
      </c>
      <c r="N202" s="37">
        <f t="shared" si="521"/>
        <v>0.91338858410178592</v>
      </c>
      <c r="O202" s="50">
        <f t="shared" si="521"/>
        <v>7966.1477345454859</v>
      </c>
      <c r="P202" s="4">
        <f t="shared" si="521"/>
        <v>0.71452513966480447</v>
      </c>
      <c r="Q202" s="7">
        <f t="shared" si="521"/>
        <v>890.3</v>
      </c>
      <c r="R202" s="4">
        <f t="array" ref="R202">MAX(IF(ISNUMBER(R35:R196),R35:R196,FALSE))</f>
        <v>0.94404825991814056</v>
      </c>
      <c r="S202" s="4">
        <f t="array" ref="S202">MAX(IF(ISNUMBER(S35:S196),S35:S196,FALSE))</f>
        <v>0.67282874313156393</v>
      </c>
      <c r="T202" s="4">
        <f t="array" ref="T202">MAX(IF(ISNUMBER(T35:T196),T35:T196,FALSE))</f>
        <v>0.95066521987908226</v>
      </c>
      <c r="U202" s="4">
        <f t="array" ref="U202">MAX(IF(ISNUMBER(U35:U196),U35:U196,FALSE))</f>
        <v>0.67927419900857333</v>
      </c>
      <c r="AE202" s="3" t="s">
        <v>172</v>
      </c>
      <c r="AF202" s="38">
        <f>MAX(AF35:AF196)</f>
        <v>35400</v>
      </c>
      <c r="AG202" s="37">
        <f t="shared" ref="AG202:AR202" si="522">MAX(AG35:AG196)</f>
        <v>0.98882681564245811</v>
      </c>
      <c r="AH202" s="38">
        <f t="shared" si="522"/>
        <v>30032</v>
      </c>
      <c r="AI202" s="37">
        <f t="shared" si="522"/>
        <v>0.83888268156424584</v>
      </c>
      <c r="AJ202" s="37">
        <f t="shared" si="522"/>
        <v>0.60380572935058918</v>
      </c>
      <c r="AK202" s="38">
        <f t="shared" si="522"/>
        <v>28522</v>
      </c>
      <c r="AL202" s="37">
        <f t="shared" si="522"/>
        <v>0.94981517866062803</v>
      </c>
      <c r="AM202" s="7">
        <f t="shared" si="522"/>
        <v>1452.6135317974524</v>
      </c>
      <c r="AN202" s="38">
        <f t="shared" si="522"/>
        <v>25900</v>
      </c>
      <c r="AO202" s="37">
        <f t="shared" si="522"/>
        <v>0.91373134328358208</v>
      </c>
      <c r="AP202" s="50">
        <f t="shared" si="522"/>
        <v>8065.8024364631783</v>
      </c>
      <c r="AQ202" s="4">
        <f t="shared" si="522"/>
        <v>0.72346368715083798</v>
      </c>
      <c r="AR202" s="7">
        <f t="shared" si="522"/>
        <v>890.3</v>
      </c>
      <c r="AS202" s="4">
        <f t="array" ref="AS202">MAX(IF(ISNUMBER(AS35:AS196),AS35:AS196,FALSE))</f>
        <v>0.94249568425014907</v>
      </c>
      <c r="AT202" s="4">
        <f t="array" ref="AT202">MAX(IF(ISNUMBER(AT35:AT196),AT35:AT196,FALSE))</f>
        <v>0.68118454351804958</v>
      </c>
      <c r="AU202" s="4">
        <f t="array" ref="AU202">MAX(IF(ISNUMBER(AU35:AU196),AU35:AU196,FALSE))</f>
        <v>0.95127476156397395</v>
      </c>
      <c r="AV202" s="4">
        <f t="array" ref="AV202">MAX(IF(ISNUMBER(AV35:AV196),AV35:AV196,FALSE))</f>
        <v>0.68821274649460684</v>
      </c>
      <c r="AW202" s="38"/>
      <c r="AX202" s="37"/>
      <c r="AY202" s="38"/>
      <c r="AZ202" s="37"/>
      <c r="BA202" s="37"/>
      <c r="BB202" s="38"/>
      <c r="BC202" s="37"/>
      <c r="BF202" s="3" t="s">
        <v>172</v>
      </c>
      <c r="BG202" s="38">
        <f>MAX(BG35:BG196)</f>
        <v>35400</v>
      </c>
      <c r="BH202" s="37">
        <f t="shared" ref="BH202:BS202" si="523">MAX(BH35:BH196)</f>
        <v>0.98882681564245811</v>
      </c>
      <c r="BI202" s="38">
        <f t="shared" si="523"/>
        <v>30032</v>
      </c>
      <c r="BJ202" s="37">
        <f t="shared" si="523"/>
        <v>0.83888268156424584</v>
      </c>
      <c r="BK202" s="37">
        <f t="shared" si="523"/>
        <v>0.60380572935058918</v>
      </c>
      <c r="BL202" s="38">
        <f t="shared" si="523"/>
        <v>28522</v>
      </c>
      <c r="BM202" s="37">
        <f t="shared" si="523"/>
        <v>0.94981517866062803</v>
      </c>
      <c r="BN202" s="7">
        <f t="shared" si="523"/>
        <v>1452.6135317974524</v>
      </c>
      <c r="BO202" s="38">
        <f t="shared" si="523"/>
        <v>25900</v>
      </c>
      <c r="BP202" s="37">
        <f t="shared" si="523"/>
        <v>0.91373134328358208</v>
      </c>
      <c r="BQ202" s="50">
        <f t="shared" si="523"/>
        <v>8065.8024364631783</v>
      </c>
      <c r="BR202" s="4">
        <f t="shared" si="523"/>
        <v>0.72346368715083798</v>
      </c>
      <c r="BS202" s="7">
        <f t="shared" si="523"/>
        <v>890.3</v>
      </c>
      <c r="BT202" s="4">
        <f t="array" ref="BT202">MAX(IF(ISNUMBER(BT35:BT196),BT35:BT196,FALSE))</f>
        <v>0.94278552218208034</v>
      </c>
      <c r="BU202" s="4">
        <f t="array" ref="BU202">MAX(IF(ISNUMBER(BU35:BU196),BU35:BU196,FALSE))</f>
        <v>0.68183035697931182</v>
      </c>
      <c r="BV202" s="4">
        <f t="array" ref="BV202">MAX(IF(ISNUMBER(BV35:BV196),BV35:BV196,FALSE))</f>
        <v>0.95127476156397395</v>
      </c>
      <c r="BW202" s="4">
        <f t="array" ref="BW202">MAX(IF(ISNUMBER(BW35:BW196),BW35:BW196,FALSE))</f>
        <v>0.68821274649460684</v>
      </c>
      <c r="BX202" s="38"/>
      <c r="BY202" s="37"/>
      <c r="BZ202" s="37"/>
      <c r="CA202" s="38"/>
      <c r="CB202" s="37"/>
      <c r="CC202" s="7"/>
      <c r="CD202" s="41"/>
      <c r="CE202" s="37"/>
    </row>
    <row r="203" spans="3:84">
      <c r="C203" s="7"/>
      <c r="AW203" s="38"/>
      <c r="AX203" s="37"/>
      <c r="AY203" s="38"/>
      <c r="AZ203" s="37"/>
      <c r="BA203" s="37"/>
      <c r="BB203" s="38"/>
      <c r="BC203" s="37"/>
      <c r="BG203" s="50"/>
      <c r="BH203" s="4"/>
      <c r="BI203" s="4"/>
      <c r="BJ203" s="4"/>
      <c r="BU203" s="38"/>
      <c r="BV203" s="38"/>
      <c r="BW203" s="37"/>
      <c r="BX203" s="38"/>
      <c r="BY203" s="37"/>
      <c r="BZ203" s="37"/>
      <c r="CA203" s="38"/>
      <c r="CB203" s="37"/>
      <c r="CC203" s="7"/>
      <c r="CD203" s="41"/>
      <c r="CE203" s="37"/>
    </row>
    <row r="204" spans="3:84">
      <c r="C204" s="7"/>
      <c r="D204" t="s">
        <v>173</v>
      </c>
      <c r="AE204" t="s">
        <v>173</v>
      </c>
      <c r="AW204" s="38"/>
      <c r="AX204" s="37"/>
      <c r="AY204" s="38"/>
      <c r="AZ204" s="37"/>
      <c r="BA204" s="37"/>
      <c r="BB204" s="38"/>
      <c r="BC204" s="37"/>
      <c r="BF204" t="s">
        <v>173</v>
      </c>
      <c r="BG204" s="50"/>
      <c r="BH204" s="4"/>
      <c r="BI204" s="4"/>
      <c r="BJ204" s="4"/>
      <c r="BU204" s="38"/>
      <c r="BV204" s="38"/>
      <c r="BW204" s="37"/>
      <c r="BX204" s="38"/>
      <c r="BY204" s="37"/>
      <c r="BZ204" s="37"/>
      <c r="CA204" s="38"/>
      <c r="CB204" s="37"/>
      <c r="CC204" s="7"/>
      <c r="CD204" s="41"/>
      <c r="CE204" s="37"/>
    </row>
    <row r="205" spans="3:84">
      <c r="D205" s="7">
        <f>SUM(C71,C116,C196,C43,C55,C86,C101,C158,C183,C170,C144,C131)</f>
        <v>128</v>
      </c>
      <c r="AE205" s="7">
        <f>SUM(AD71,AD116,AD196,AD43,AD55,AD86,AD101,AD158,AD183,AD170,AD144,AD131)</f>
        <v>128</v>
      </c>
      <c r="AW205" s="38"/>
      <c r="AX205" s="38"/>
      <c r="AY205" s="38"/>
      <c r="AZ205" s="37"/>
      <c r="BA205" s="37"/>
      <c r="BB205" s="38"/>
      <c r="BC205" s="37"/>
      <c r="BF205" s="7">
        <f>SUM(BE71,BE116,BE196,BE43,BE55,BE86,BE101,BE158,BE183,BE170,BE144,BE131)</f>
        <v>128</v>
      </c>
      <c r="BG205" s="50"/>
      <c r="BH205" s="4"/>
      <c r="BI205" s="4"/>
      <c r="BJ205" s="4"/>
    </row>
    <row r="206" spans="3:84">
      <c r="V206" s="4"/>
      <c r="AW206" s="7"/>
      <c r="AX206" s="4"/>
      <c r="AY206" s="7"/>
      <c r="AZ206" s="4"/>
      <c r="BA206" s="4"/>
      <c r="BB206" s="7"/>
      <c r="BC206" s="4"/>
      <c r="BG206" s="50"/>
      <c r="BH206" s="4"/>
      <c r="BI206" s="4"/>
      <c r="BJ206" s="4"/>
      <c r="BU206" s="3"/>
      <c r="BV206" s="7"/>
      <c r="BW206" s="4"/>
      <c r="BX206" s="7"/>
      <c r="BY206" s="4"/>
      <c r="BZ206" s="4"/>
      <c r="CA206" s="7"/>
      <c r="CB206" s="4"/>
      <c r="CC206" s="7"/>
      <c r="CD206" s="7"/>
      <c r="CE206" s="4"/>
      <c r="CF206" s="4"/>
    </row>
    <row r="207" spans="3:84">
      <c r="D207" t="s">
        <v>174</v>
      </c>
      <c r="V207" s="4"/>
      <c r="AE207" t="s">
        <v>174</v>
      </c>
      <c r="AW207" s="7"/>
      <c r="AX207" s="4"/>
      <c r="AY207" s="7"/>
      <c r="AZ207" s="4"/>
      <c r="BA207" s="4"/>
      <c r="BB207" s="7"/>
      <c r="BC207" s="4"/>
      <c r="BF207" t="s">
        <v>174</v>
      </c>
      <c r="BG207" s="7"/>
      <c r="BH207" s="4"/>
      <c r="BI207" s="4"/>
      <c r="BJ207" s="4"/>
      <c r="BU207" s="3"/>
      <c r="BV207" s="7"/>
      <c r="BW207" s="4"/>
      <c r="BX207" s="7"/>
      <c r="BY207" s="4"/>
      <c r="BZ207" s="4"/>
      <c r="CA207" s="7"/>
      <c r="CB207" s="4"/>
      <c r="CC207" s="7"/>
      <c r="CD207" s="7"/>
      <c r="CE207" s="4"/>
      <c r="CF207" s="4"/>
    </row>
    <row r="208" spans="3:84">
      <c r="D208" s="7">
        <f>D205*365/24</f>
        <v>1946.6666666666667</v>
      </c>
      <c r="V208" s="4"/>
      <c r="AE208" s="7">
        <f>SUM(AD71*2,AD116,AD196,AD43*2,AD55*2,AD86*2,AD101*2)*365/24</f>
        <v>1946.6666666666667</v>
      </c>
      <c r="AW208" s="7"/>
      <c r="AX208" s="4"/>
      <c r="AY208" s="7"/>
      <c r="AZ208" s="4"/>
      <c r="BA208" s="4"/>
      <c r="BB208" s="7"/>
      <c r="BC208" s="4"/>
      <c r="BF208" s="7">
        <f>SUM(BE71*2,BE116,BE196,BE43*2,BE55*2,BE86*2,BE101*2)*365/24</f>
        <v>1946.6666666666667</v>
      </c>
      <c r="BG208" s="7"/>
      <c r="BH208" s="4"/>
      <c r="BI208" s="4"/>
      <c r="BJ208" s="4"/>
      <c r="BU208" s="3"/>
      <c r="BV208" s="7"/>
      <c r="BW208" s="4"/>
      <c r="BX208" s="7"/>
      <c r="BY208" s="4"/>
      <c r="BZ208" s="4"/>
      <c r="CA208" s="7"/>
      <c r="CB208" s="4"/>
      <c r="CC208" s="7"/>
      <c r="CD208" s="7"/>
      <c r="CE208" s="4"/>
      <c r="CF208" s="4"/>
    </row>
    <row r="209" spans="4:62">
      <c r="BG209" s="7"/>
      <c r="BH209" s="4"/>
      <c r="BI209" s="4"/>
      <c r="BJ209" s="4"/>
    </row>
    <row r="210" spans="4:62">
      <c r="D210" t="s">
        <v>175</v>
      </c>
      <c r="AE210" t="s">
        <v>175</v>
      </c>
      <c r="BF210" t="s">
        <v>175</v>
      </c>
    </row>
    <row r="211" spans="4:62">
      <c r="D211" s="4">
        <f>D208/8760</f>
        <v>0.22222222222222224</v>
      </c>
      <c r="AE211" s="4">
        <f>AE208/8760</f>
        <v>0.22222222222222224</v>
      </c>
      <c r="BF211" s="4">
        <f>BF208/8760</f>
        <v>0.22222222222222224</v>
      </c>
    </row>
  </sheetData>
  <mergeCells count="12">
    <mergeCell ref="AF32:AQ32"/>
    <mergeCell ref="BG32:BR32"/>
    <mergeCell ref="BV32:BW32"/>
    <mergeCell ref="G5:G6"/>
    <mergeCell ref="H5:H6"/>
    <mergeCell ref="T32:U32"/>
    <mergeCell ref="Q32:S32"/>
    <mergeCell ref="AR32:AT32"/>
    <mergeCell ref="AU32:AV32"/>
    <mergeCell ref="K12:K17"/>
    <mergeCell ref="BS32:BU32"/>
    <mergeCell ref="E32:P32"/>
  </mergeCells>
  <phoneticPr fontId="5" type="noConversion"/>
  <pageMargins left="0.75" right="0.75" top="1" bottom="1" header="0.5" footer="0.5"/>
  <pageSetup orientation="portrait" horizontalDpi="360" verticalDpi="36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Y81"/>
  <sheetViews>
    <sheetView topLeftCell="A37" zoomScale="75" workbookViewId="0">
      <selection activeCell="AP18" sqref="AP18"/>
    </sheetView>
  </sheetViews>
  <sheetFormatPr defaultRowHeight="15.6"/>
  <cols>
    <col min="1" max="1" width="11.77734375" customWidth="1"/>
    <col min="4" max="4" width="7.88671875" customWidth="1"/>
    <col min="5" max="5" width="10.109375" customWidth="1"/>
    <col min="6" max="6" width="13.5546875" customWidth="1"/>
    <col min="7" max="7" width="13.77734375" customWidth="1"/>
    <col min="10" max="10" width="11" customWidth="1"/>
    <col min="11" max="11" width="15" style="9" customWidth="1"/>
    <col min="12" max="12" width="11.77734375" customWidth="1"/>
    <col min="13" max="13" width="14.6640625" customWidth="1"/>
    <col min="14" max="14" width="12.109375" customWidth="1"/>
    <col min="16" max="16" width="10.33203125" customWidth="1"/>
    <col min="17" max="17" width="10.77734375" customWidth="1"/>
    <col min="18" max="19" width="10.5546875" customWidth="1"/>
    <col min="20" max="20" width="8.77734375" customWidth="1"/>
  </cols>
  <sheetData>
    <row r="1" spans="1:19">
      <c r="A1" s="58" t="s">
        <v>176</v>
      </c>
    </row>
    <row r="3" spans="1:19">
      <c r="B3" t="s">
        <v>177</v>
      </c>
    </row>
    <row r="5" spans="1:19">
      <c r="B5" s="3" t="s">
        <v>178</v>
      </c>
      <c r="C5" s="2">
        <v>50</v>
      </c>
    </row>
    <row r="6" spans="1:19" ht="16.5">
      <c r="B6" s="3" t="s">
        <v>117</v>
      </c>
      <c r="C6" s="2">
        <v>3.81</v>
      </c>
      <c r="D6" s="1" t="s">
        <v>118</v>
      </c>
      <c r="E6" s="2">
        <v>0.92</v>
      </c>
      <c r="F6" s="1" t="s">
        <v>179</v>
      </c>
      <c r="G6" s="5">
        <v>1</v>
      </c>
    </row>
    <row r="7" spans="1:19" ht="16.5">
      <c r="B7" s="3" t="s">
        <v>116</v>
      </c>
      <c r="C7" s="5">
        <f>C5/C6</f>
        <v>13.123359580052494</v>
      </c>
      <c r="F7" s="1" t="s">
        <v>180</v>
      </c>
      <c r="G7" s="2">
        <v>0.5</v>
      </c>
    </row>
    <row r="8" spans="1:19" ht="16.5">
      <c r="B8" s="1" t="s">
        <v>135</v>
      </c>
      <c r="C8" s="2">
        <v>23.54</v>
      </c>
      <c r="D8" s="3" t="s">
        <v>82</v>
      </c>
      <c r="E8" s="8">
        <f>1/SIN(RADIANS(C8))^2</f>
        <v>6.2691312962320485</v>
      </c>
      <c r="F8" s="2"/>
    </row>
    <row r="9" spans="1:19">
      <c r="B9" s="3" t="s">
        <v>181</v>
      </c>
      <c r="C9" s="2" t="s">
        <v>182</v>
      </c>
    </row>
    <row r="11" spans="1:19" ht="50.1">
      <c r="B11" s="6" t="s">
        <v>136</v>
      </c>
      <c r="C11" s="2" t="s">
        <v>183</v>
      </c>
      <c r="D11" s="2" t="s">
        <v>184</v>
      </c>
      <c r="E11" s="2" t="s">
        <v>120</v>
      </c>
      <c r="F11" s="2" t="s">
        <v>152</v>
      </c>
      <c r="G11" s="2" t="s">
        <v>153</v>
      </c>
      <c r="H11" s="6" t="s">
        <v>154</v>
      </c>
      <c r="I11" s="2" t="s">
        <v>155</v>
      </c>
      <c r="J11" s="11" t="s">
        <v>156</v>
      </c>
      <c r="K11" s="11" t="s">
        <v>185</v>
      </c>
      <c r="L11" s="11" t="s">
        <v>186</v>
      </c>
      <c r="M11" s="11" t="s">
        <v>187</v>
      </c>
      <c r="N11" s="11" t="s">
        <v>143</v>
      </c>
      <c r="O11" s="11" t="s">
        <v>82</v>
      </c>
      <c r="P11" s="11" t="s">
        <v>188</v>
      </c>
      <c r="Q11" s="11" t="s">
        <v>189</v>
      </c>
      <c r="R11" s="11" t="s">
        <v>122</v>
      </c>
      <c r="S11" s="11" t="s">
        <v>124</v>
      </c>
    </row>
    <row r="12" spans="1:19">
      <c r="B12" s="5">
        <v>0</v>
      </c>
      <c r="C12" s="4">
        <f>(COS(RADIANS($C$8+B12))/COS(RADIANS(B12)))^2</f>
        <v>0.84048826659587872</v>
      </c>
      <c r="D12" s="7">
        <v>55</v>
      </c>
      <c r="E12" s="7">
        <v>798</v>
      </c>
      <c r="F12" s="7">
        <v>739</v>
      </c>
      <c r="G12" s="7">
        <v>681</v>
      </c>
      <c r="H12" s="4">
        <f>G12/E12</f>
        <v>0.85338345864661658</v>
      </c>
      <c r="I12" s="4">
        <f>1-G12/(F12*$E$6)</f>
        <v>-1.6473495322704146E-3</v>
      </c>
      <c r="J12" s="7">
        <f>0.95*G12</f>
        <v>646.94999999999993</v>
      </c>
      <c r="K12" s="10">
        <v>0.45700000000000002</v>
      </c>
      <c r="L12" s="4">
        <v>0.18490000000000001</v>
      </c>
      <c r="M12" s="4">
        <v>1.19</v>
      </c>
      <c r="N12" s="8">
        <f>PI()*SQRT(M12^2-(K12-L12)^2)*(K12+L12)</f>
        <v>2.3361647780500512</v>
      </c>
      <c r="O12" s="8">
        <f>(K12/L12)^2</f>
        <v>6.1088375720025834</v>
      </c>
      <c r="P12" s="13">
        <f>G12*0.95/(PI()*K12^2)*O12</f>
        <v>6023.4737519558284</v>
      </c>
      <c r="Q12" s="4">
        <f>P12*SIN(0.00465)^2</f>
        <v>0.13024162248111135</v>
      </c>
      <c r="R12" s="2">
        <v>1490</v>
      </c>
      <c r="S12" s="8">
        <f>E12/R12</f>
        <v>0.53557046979865774</v>
      </c>
    </row>
    <row r="13" spans="1:19">
      <c r="B13" s="5">
        <f>1*C8</f>
        <v>23.54</v>
      </c>
      <c r="C13" s="4">
        <f>(COS(RADIANS($C$8+B13))/COS(RADIANS(B13)))^2</f>
        <v>0.55173767105166927</v>
      </c>
      <c r="D13" s="7">
        <v>72</v>
      </c>
      <c r="E13" s="7">
        <v>1044</v>
      </c>
      <c r="F13" s="7">
        <v>998</v>
      </c>
      <c r="G13" s="7">
        <v>915</v>
      </c>
      <c r="H13" s="4">
        <f>G13/E13</f>
        <v>0.87643678160919536</v>
      </c>
      <c r="I13" s="4">
        <f>1-G13/(F13*$E$6)</f>
        <v>3.4416659405769323E-3</v>
      </c>
      <c r="J13" s="7">
        <f>0.95*G13</f>
        <v>869.25</v>
      </c>
      <c r="K13" s="10">
        <v>0.47499999999999998</v>
      </c>
      <c r="L13" s="4">
        <v>0.192</v>
      </c>
      <c r="M13" s="4">
        <v>1.2370000000000001</v>
      </c>
      <c r="N13" s="8">
        <f>PI()*SQRT(M13^2-(K13-L13)^2)*(K13+L13)</f>
        <v>2.5233162697627001</v>
      </c>
      <c r="O13" s="8">
        <f>(K13/L13)^2</f>
        <v>6.1204698350694429</v>
      </c>
      <c r="P13" s="13">
        <f>G13*0.95/(PI()*K13^2)*O13</f>
        <v>7505.720175923936</v>
      </c>
      <c r="Q13" s="4">
        <f>P13*SIN(0.00465)^2</f>
        <v>0.16229126478456588</v>
      </c>
      <c r="R13" s="2">
        <v>2089</v>
      </c>
      <c r="S13" s="8">
        <f>E13/R13</f>
        <v>0.49976065102920059</v>
      </c>
    </row>
    <row r="14" spans="1:19">
      <c r="B14" s="5">
        <v>37</v>
      </c>
      <c r="C14" s="4">
        <f>(COS(RADIANS($C$8+B14))/COS(RADIANS(B14)))^2</f>
        <v>0.37923442268944713</v>
      </c>
      <c r="D14" s="7">
        <v>125</v>
      </c>
      <c r="E14" s="7">
        <v>1813</v>
      </c>
      <c r="F14" s="7">
        <v>1723</v>
      </c>
      <c r="G14" s="7">
        <v>1550</v>
      </c>
      <c r="H14" s="4">
        <f>G14/E14</f>
        <v>0.85493656922228356</v>
      </c>
      <c r="I14" s="4">
        <f>1-G14/(F14*$E$6)</f>
        <v>2.2180726235837445E-2</v>
      </c>
      <c r="J14" s="7">
        <f>0.95*G14</f>
        <v>1472.5</v>
      </c>
      <c r="K14" s="10">
        <v>0.63</v>
      </c>
      <c r="L14" s="4">
        <v>0.255</v>
      </c>
      <c r="M14" s="4">
        <v>1.64</v>
      </c>
      <c r="N14" s="8">
        <f>PI()*SQRT(M14^2-(K14-L14)^2)*(K14+L14)</f>
        <v>4.4389058267810171</v>
      </c>
      <c r="O14" s="8">
        <f>(K14/L14)^2</f>
        <v>6.1038062283737027</v>
      </c>
      <c r="P14" s="13">
        <f>G14*0.95/(PI()*K14^2)*O14</f>
        <v>7208.170817464541</v>
      </c>
      <c r="Q14" s="4">
        <f>P14*SIN(0.00465)^2</f>
        <v>0.15585755015247635</v>
      </c>
      <c r="R14" s="2">
        <v>3713</v>
      </c>
      <c r="S14" s="8">
        <f>E14/R14</f>
        <v>0.4882844061405871</v>
      </c>
    </row>
    <row r="15" spans="1:19">
      <c r="B15" s="5">
        <f>2*C8</f>
        <v>47.08</v>
      </c>
      <c r="C15" s="4">
        <f>(COS(RADIANS($C$8+B15))/COS(RADIANS(B15)))^2</f>
        <v>0.23744984099909322</v>
      </c>
      <c r="D15" s="7">
        <v>246</v>
      </c>
      <c r="E15" s="7">
        <v>3567</v>
      </c>
      <c r="F15" s="7">
        <v>3334</v>
      </c>
      <c r="G15" s="7">
        <v>2717</v>
      </c>
      <c r="H15" s="4">
        <f>G15/E15</f>
        <v>0.76170451359686009</v>
      </c>
      <c r="I15" s="4">
        <f>1-G15/(F15*$E$6)</f>
        <v>0.11419889935056471</v>
      </c>
      <c r="J15" s="7">
        <f>0.95*G15</f>
        <v>2581.15</v>
      </c>
      <c r="K15" s="10">
        <v>0.84</v>
      </c>
      <c r="L15" s="4">
        <v>0.34</v>
      </c>
      <c r="M15" s="4">
        <v>2.1869999999999998</v>
      </c>
      <c r="N15" s="8">
        <f>PI()*SQRT(M15^2-(K15-L15)^2)*(K15+L15)</f>
        <v>7.8926574528063753</v>
      </c>
      <c r="O15" s="8">
        <f>(K15/L15)^2</f>
        <v>6.1038062283737009</v>
      </c>
      <c r="P15" s="13">
        <f>G15*0.95/(PI()*K15^2)*O15</f>
        <v>7107.3145564298547</v>
      </c>
      <c r="Q15" s="4">
        <f>P15*SIN(0.00465)^2</f>
        <v>0.1536768013660687</v>
      </c>
      <c r="R15" s="2">
        <v>7908</v>
      </c>
      <c r="S15" s="8">
        <f>E15/R15</f>
        <v>0.45106221547799696</v>
      </c>
    </row>
    <row r="16" spans="1:19">
      <c r="B16" s="5">
        <f>2.5*C8</f>
        <v>58.849999999999994</v>
      </c>
      <c r="C16" s="4">
        <f>(COS(RADIANS($C$8+B16))/COS(RADIANS(B16)))^2</f>
        <v>6.5541557079342491E-2</v>
      </c>
      <c r="D16" s="7">
        <v>1148</v>
      </c>
      <c r="E16" s="7">
        <v>16646</v>
      </c>
      <c r="F16" s="7">
        <v>14936</v>
      </c>
      <c r="G16" s="7">
        <v>7708</v>
      </c>
      <c r="H16" s="4">
        <f>G16/E16</f>
        <v>0.46305418719211822</v>
      </c>
      <c r="I16" s="4">
        <f>1-G16/(F16*$E$6)</f>
        <v>0.43905591392841348</v>
      </c>
      <c r="J16" s="7">
        <f>0.95*G16</f>
        <v>7322.5999999999995</v>
      </c>
      <c r="K16" s="10">
        <v>1.75</v>
      </c>
      <c r="L16" s="4">
        <v>0.70799999999999996</v>
      </c>
      <c r="M16" s="4">
        <v>4.556</v>
      </c>
      <c r="N16" s="5">
        <f>PI()*SQRT(M16^2-(K16-L16)^2)*(K16+L16)</f>
        <v>34.249093164962986</v>
      </c>
      <c r="O16" s="8">
        <f>(K16/L16)^2</f>
        <v>6.1095550448466271</v>
      </c>
      <c r="P16" s="13">
        <f>G16*0.95/(PI()*K16^2)*O16</f>
        <v>4649.9568542114048</v>
      </c>
      <c r="Q16" s="4">
        <f>P16*SIN(0.00465)^2</f>
        <v>0.10054296741361463</v>
      </c>
      <c r="R16" s="2">
        <v>48884</v>
      </c>
      <c r="S16" s="8">
        <f>E16/R16</f>
        <v>0.34052041567793145</v>
      </c>
    </row>
    <row r="17" spans="2:19">
      <c r="K17" s="10"/>
    </row>
    <row r="18" spans="2:19">
      <c r="K18" s="10"/>
    </row>
    <row r="19" spans="2:19">
      <c r="B19" s="3" t="s">
        <v>178</v>
      </c>
      <c r="C19" s="2">
        <v>50</v>
      </c>
    </row>
    <row r="20" spans="2:19">
      <c r="B20" s="3" t="s">
        <v>117</v>
      </c>
      <c r="C20" s="2">
        <v>3.81</v>
      </c>
      <c r="D20" s="1" t="s">
        <v>118</v>
      </c>
      <c r="E20" s="2">
        <v>0.92</v>
      </c>
      <c r="K20" s="13"/>
      <c r="L20" s="4"/>
    </row>
    <row r="21" spans="2:19">
      <c r="B21" s="3" t="s">
        <v>116</v>
      </c>
      <c r="C21" s="5">
        <f>C19/C20</f>
        <v>13.123359580052494</v>
      </c>
      <c r="K21" s="13"/>
      <c r="L21" s="4"/>
      <c r="P21" t="s">
        <v>190</v>
      </c>
    </row>
    <row r="22" spans="2:19" ht="16.5">
      <c r="B22" s="1" t="s">
        <v>135</v>
      </c>
      <c r="C22" s="2">
        <v>15</v>
      </c>
      <c r="D22" s="3" t="s">
        <v>82</v>
      </c>
      <c r="E22" s="8">
        <f>1/SIN(RADIANS(C22))^2</f>
        <v>14.928203230275512</v>
      </c>
      <c r="F22" s="7"/>
      <c r="K22" s="13"/>
      <c r="L22" s="4"/>
    </row>
    <row r="23" spans="2:19">
      <c r="B23" s="3" t="s">
        <v>181</v>
      </c>
      <c r="C23" s="2" t="s">
        <v>182</v>
      </c>
      <c r="K23" s="13"/>
      <c r="L23" s="4"/>
    </row>
    <row r="24" spans="2:19">
      <c r="K24" s="10"/>
    </row>
    <row r="25" spans="2:19" ht="50.1">
      <c r="B25" s="6" t="s">
        <v>136</v>
      </c>
      <c r="C25" s="2" t="s">
        <v>183</v>
      </c>
      <c r="D25" s="2" t="s">
        <v>184</v>
      </c>
      <c r="E25" s="2" t="s">
        <v>120</v>
      </c>
      <c r="F25" s="2" t="s">
        <v>152</v>
      </c>
      <c r="G25" s="2" t="s">
        <v>153</v>
      </c>
      <c r="H25" s="6" t="s">
        <v>154</v>
      </c>
      <c r="I25" s="2" t="s">
        <v>155</v>
      </c>
      <c r="J25" s="11" t="s">
        <v>156</v>
      </c>
      <c r="K25" s="11" t="s">
        <v>185</v>
      </c>
      <c r="L25" s="11" t="s">
        <v>186</v>
      </c>
      <c r="M25" s="11" t="s">
        <v>187</v>
      </c>
      <c r="N25" s="11" t="s">
        <v>143</v>
      </c>
      <c r="O25" s="11" t="s">
        <v>82</v>
      </c>
      <c r="P25" s="11" t="s">
        <v>188</v>
      </c>
      <c r="Q25" s="11" t="s">
        <v>189</v>
      </c>
      <c r="R25" s="11" t="s">
        <v>122</v>
      </c>
      <c r="S25" s="11" t="s">
        <v>124</v>
      </c>
    </row>
    <row r="26" spans="2:19">
      <c r="B26" s="5">
        <v>0</v>
      </c>
      <c r="C26" s="4">
        <f t="shared" ref="C26:C31" si="0">(COS(RADIANS($C$22+B26))/COS(RADIANS(B26)))^2</f>
        <v>0.93301270189221941</v>
      </c>
      <c r="D26" s="7">
        <v>19</v>
      </c>
      <c r="E26" s="7">
        <v>276</v>
      </c>
      <c r="F26" s="7">
        <v>257</v>
      </c>
      <c r="G26" s="7">
        <v>235</v>
      </c>
      <c r="H26" s="4">
        <f t="shared" ref="H26:H31" si="1">G26/E26</f>
        <v>0.85144927536231885</v>
      </c>
      <c r="I26" s="4">
        <f>1-G26/(F26*$E$20)</f>
        <v>6.0903400439857869E-3</v>
      </c>
      <c r="J26" s="7">
        <f t="shared" ref="J26:J31" si="2">0.95*G26</f>
        <v>223.25</v>
      </c>
      <c r="K26" s="12">
        <v>0.47</v>
      </c>
      <c r="L26" s="4">
        <v>0.123</v>
      </c>
      <c r="M26" s="4">
        <v>1.79</v>
      </c>
      <c r="N26" s="8">
        <f t="shared" ref="N26:N31" si="3">PI()*SQRT(M26^2-(K26-L26)^2)*(K26+L26)</f>
        <v>3.2714477827022073</v>
      </c>
      <c r="O26" s="8">
        <f t="shared" ref="O26:O31" si="4">(K26/L26)^2</f>
        <v>14.601097230484498</v>
      </c>
      <c r="P26" s="13">
        <f t="shared" ref="P26:P31" si="5">G26*0.95/(PI()*K26^2)*O26</f>
        <v>4697.1169337386</v>
      </c>
      <c r="Q26" s="4">
        <f t="shared" ref="Q26:Q31" si="6">P26*SIN(0.00465)^2</f>
        <v>0.10156267888358919</v>
      </c>
      <c r="R26" s="2">
        <v>564</v>
      </c>
      <c r="S26" s="8">
        <f t="shared" ref="S26:S31" si="7">E26/R26</f>
        <v>0.48936170212765956</v>
      </c>
    </row>
    <row r="27" spans="2:19">
      <c r="B27" s="5">
        <f>1*C22</f>
        <v>15</v>
      </c>
      <c r="C27" s="4">
        <f t="shared" si="0"/>
        <v>0.8038475772933682</v>
      </c>
      <c r="D27" s="7">
        <v>23</v>
      </c>
      <c r="E27" s="7">
        <v>334</v>
      </c>
      <c r="F27" s="7">
        <v>318</v>
      </c>
      <c r="G27" s="7">
        <v>293</v>
      </c>
      <c r="H27" s="4">
        <f t="shared" si="1"/>
        <v>0.8772455089820359</v>
      </c>
      <c r="I27" s="4">
        <f>1-G27/(F27*$E$6)</f>
        <v>-1.5039649986328119E-3</v>
      </c>
      <c r="J27" s="7">
        <f t="shared" si="2"/>
        <v>278.34999999999997</v>
      </c>
      <c r="K27" s="12">
        <v>0.47</v>
      </c>
      <c r="L27" s="4">
        <v>0.123</v>
      </c>
      <c r="M27" s="4">
        <v>1.79</v>
      </c>
      <c r="N27" s="8">
        <f t="shared" si="3"/>
        <v>3.2714477827022073</v>
      </c>
      <c r="O27" s="8">
        <f t="shared" si="4"/>
        <v>14.601097230484498</v>
      </c>
      <c r="P27" s="13">
        <f t="shared" si="5"/>
        <v>5856.4053684485507</v>
      </c>
      <c r="Q27" s="4">
        <f t="shared" si="6"/>
        <v>0.12662921239528352</v>
      </c>
      <c r="R27" s="2">
        <v>632</v>
      </c>
      <c r="S27" s="8">
        <f t="shared" si="7"/>
        <v>0.52848101265822789</v>
      </c>
    </row>
    <row r="28" spans="2:19">
      <c r="B28" s="5">
        <f>2*C22</f>
        <v>30</v>
      </c>
      <c r="C28" s="4">
        <f t="shared" si="0"/>
        <v>0.66666666666666663</v>
      </c>
      <c r="D28" s="7">
        <v>34</v>
      </c>
      <c r="E28" s="7">
        <v>493</v>
      </c>
      <c r="F28" s="7">
        <v>474</v>
      </c>
      <c r="G28" s="7">
        <v>436</v>
      </c>
      <c r="H28" s="4">
        <f t="shared" si="1"/>
        <v>0.88438133874239355</v>
      </c>
      <c r="I28" s="4">
        <f>1-G28/(F28*$E$6)</f>
        <v>1.8345257750884691E-4</v>
      </c>
      <c r="J28" s="7">
        <f t="shared" si="2"/>
        <v>414.2</v>
      </c>
      <c r="K28" s="12">
        <v>0.52</v>
      </c>
      <c r="L28" s="4">
        <v>0.13600000000000001</v>
      </c>
      <c r="M28" s="4">
        <v>1.98</v>
      </c>
      <c r="N28" s="8">
        <f t="shared" si="3"/>
        <v>4.0030765184231853</v>
      </c>
      <c r="O28" s="8">
        <f t="shared" si="4"/>
        <v>14.619377162629755</v>
      </c>
      <c r="P28" s="13">
        <f t="shared" si="5"/>
        <v>7128.2415039644275</v>
      </c>
      <c r="Q28" s="4">
        <f t="shared" si="6"/>
        <v>0.15412929102780165</v>
      </c>
      <c r="R28" s="2">
        <v>912</v>
      </c>
      <c r="S28" s="8">
        <f t="shared" si="7"/>
        <v>0.54057017543859653</v>
      </c>
    </row>
    <row r="29" spans="2:19">
      <c r="B29" s="5">
        <f>3*C22</f>
        <v>45</v>
      </c>
      <c r="C29" s="4">
        <f t="shared" si="0"/>
        <v>0.50000000000000022</v>
      </c>
      <c r="D29" s="7">
        <v>62</v>
      </c>
      <c r="E29" s="7">
        <v>899</v>
      </c>
      <c r="F29" s="7">
        <v>855</v>
      </c>
      <c r="G29" s="7">
        <v>762</v>
      </c>
      <c r="H29" s="4">
        <f t="shared" si="1"/>
        <v>0.84760845383759731</v>
      </c>
      <c r="I29" s="4">
        <f>1-G29/(F29*$E$6)</f>
        <v>3.1273836765827623E-2</v>
      </c>
      <c r="J29" s="7">
        <f t="shared" si="2"/>
        <v>723.9</v>
      </c>
      <c r="K29" s="12">
        <v>0.69</v>
      </c>
      <c r="L29" s="4">
        <v>0.18099999999999999</v>
      </c>
      <c r="M29" s="4">
        <v>2.6269999999999998</v>
      </c>
      <c r="N29" s="8">
        <f t="shared" si="3"/>
        <v>7.052109264660209</v>
      </c>
      <c r="O29" s="8">
        <f t="shared" si="4"/>
        <v>14.53252342724581</v>
      </c>
      <c r="P29" s="13">
        <f t="shared" si="5"/>
        <v>7033.5010106054797</v>
      </c>
      <c r="Q29" s="4">
        <f t="shared" si="6"/>
        <v>0.15208077947485868</v>
      </c>
      <c r="R29" s="2">
        <v>1856</v>
      </c>
      <c r="S29" s="8">
        <f t="shared" si="7"/>
        <v>0.484375</v>
      </c>
    </row>
    <row r="30" spans="2:19">
      <c r="B30" s="5">
        <f>4*C22</f>
        <v>60</v>
      </c>
      <c r="C30" s="4">
        <f t="shared" si="0"/>
        <v>0.26794919243112253</v>
      </c>
      <c r="D30" s="7">
        <v>231</v>
      </c>
      <c r="E30" s="7">
        <v>3350</v>
      </c>
      <c r="F30" s="7">
        <v>3081</v>
      </c>
      <c r="G30" s="7">
        <v>2216</v>
      </c>
      <c r="H30" s="4">
        <f t="shared" si="1"/>
        <v>0.66149253731343283</v>
      </c>
      <c r="I30" s="4">
        <f>1-G30/(F30*$E$6)</f>
        <v>0.21820978507824962</v>
      </c>
      <c r="J30" s="7">
        <f t="shared" si="2"/>
        <v>2105.1999999999998</v>
      </c>
      <c r="K30" s="12">
        <v>1.19</v>
      </c>
      <c r="L30" s="4">
        <v>0.312</v>
      </c>
      <c r="M30" s="4">
        <v>4.5309999999999997</v>
      </c>
      <c r="N30" s="8">
        <f t="shared" si="3"/>
        <v>20.975056154120544</v>
      </c>
      <c r="O30" s="8">
        <f t="shared" si="4"/>
        <v>14.547378369493753</v>
      </c>
      <c r="P30" s="13">
        <f t="shared" si="5"/>
        <v>6883.8960017475756</v>
      </c>
      <c r="Q30" s="4">
        <f t="shared" si="6"/>
        <v>0.14884596848582968</v>
      </c>
      <c r="R30" s="2">
        <v>7384</v>
      </c>
      <c r="S30" s="8">
        <f t="shared" si="7"/>
        <v>0.45368364030335862</v>
      </c>
    </row>
    <row r="31" spans="2:19">
      <c r="B31" s="5">
        <v>70</v>
      </c>
      <c r="C31" s="4">
        <f t="shared" si="0"/>
        <v>6.4936465670349233E-2</v>
      </c>
      <c r="D31" s="7">
        <v>1614</v>
      </c>
      <c r="E31" s="7">
        <v>23403</v>
      </c>
      <c r="F31" s="7">
        <v>20641</v>
      </c>
      <c r="G31" s="7">
        <v>7658</v>
      </c>
      <c r="H31" s="4">
        <f t="shared" si="1"/>
        <v>0.32722300559757295</v>
      </c>
      <c r="I31" s="4">
        <f>1-G31/(F31*$E$6)</f>
        <v>0.5967291776813981</v>
      </c>
      <c r="J31" s="7">
        <f t="shared" si="2"/>
        <v>7275.0999999999995</v>
      </c>
      <c r="K31" s="12">
        <v>2.96</v>
      </c>
      <c r="L31" s="4">
        <v>0.77600000000000002</v>
      </c>
      <c r="M31" s="4">
        <v>11.27</v>
      </c>
      <c r="N31" s="8">
        <f t="shared" si="3"/>
        <v>129.76836061779176</v>
      </c>
      <c r="O31" s="8">
        <f t="shared" si="4"/>
        <v>14.549899032840896</v>
      </c>
      <c r="P31" s="13">
        <f t="shared" si="5"/>
        <v>3845.6136627426126</v>
      </c>
      <c r="Q31" s="4">
        <f t="shared" si="6"/>
        <v>8.3151182107915333E-2</v>
      </c>
      <c r="R31" s="2">
        <v>68476</v>
      </c>
      <c r="S31" s="8">
        <f t="shared" si="7"/>
        <v>0.34176937905251475</v>
      </c>
    </row>
    <row r="32" spans="2:19">
      <c r="K32" s="10"/>
    </row>
    <row r="33" spans="2:24">
      <c r="H33" s="4"/>
      <c r="I33" s="4"/>
      <c r="J33" s="4"/>
      <c r="K33" s="13"/>
      <c r="L33" s="4"/>
    </row>
    <row r="34" spans="2:24">
      <c r="B34" s="3" t="s">
        <v>178</v>
      </c>
      <c r="C34" s="2">
        <v>100</v>
      </c>
      <c r="K34" s="13"/>
      <c r="L34" s="4"/>
    </row>
    <row r="35" spans="2:24">
      <c r="B35" s="3" t="s">
        <v>117</v>
      </c>
      <c r="C35" s="2">
        <v>5</v>
      </c>
      <c r="D35" s="1" t="s">
        <v>118</v>
      </c>
      <c r="E35" s="2">
        <v>0.92</v>
      </c>
      <c r="K35" s="13"/>
      <c r="L35" s="4"/>
    </row>
    <row r="36" spans="2:24">
      <c r="B36" s="3" t="s">
        <v>116</v>
      </c>
      <c r="C36" s="5">
        <f>C34/C35</f>
        <v>20</v>
      </c>
      <c r="K36" s="13"/>
      <c r="L36" s="4"/>
    </row>
    <row r="37" spans="2:24" ht="16.5">
      <c r="B37" s="1" t="s">
        <v>135</v>
      </c>
      <c r="C37" s="2">
        <v>23.54</v>
      </c>
      <c r="D37" s="3" t="s">
        <v>82</v>
      </c>
      <c r="E37" s="8">
        <f>1/SIN(RADIANS(C37))^2</f>
        <v>6.2691312962320485</v>
      </c>
      <c r="F37" s="2"/>
      <c r="K37" s="13"/>
      <c r="L37" s="4"/>
    </row>
    <row r="38" spans="2:24">
      <c r="B38" s="3" t="s">
        <v>181</v>
      </c>
      <c r="C38" s="2" t="s">
        <v>182</v>
      </c>
      <c r="K38" s="13"/>
      <c r="L38" s="4"/>
    </row>
    <row r="39" spans="2:24">
      <c r="K39" s="10"/>
    </row>
    <row r="40" spans="2:24" ht="50.1">
      <c r="B40" s="6" t="s">
        <v>136</v>
      </c>
      <c r="C40" s="2" t="s">
        <v>183</v>
      </c>
      <c r="D40" s="2" t="s">
        <v>184</v>
      </c>
      <c r="E40" s="2" t="s">
        <v>120</v>
      </c>
      <c r="F40" s="2" t="s">
        <v>152</v>
      </c>
      <c r="G40" s="2" t="s">
        <v>153</v>
      </c>
      <c r="H40" s="6" t="s">
        <v>154</v>
      </c>
      <c r="I40" s="2" t="s">
        <v>155</v>
      </c>
      <c r="J40" s="11" t="s">
        <v>156</v>
      </c>
      <c r="K40" s="11" t="s">
        <v>185</v>
      </c>
      <c r="L40" s="11" t="s">
        <v>186</v>
      </c>
      <c r="M40" s="11" t="s">
        <v>187</v>
      </c>
      <c r="N40" s="11" t="s">
        <v>143</v>
      </c>
      <c r="O40" s="11" t="s">
        <v>82</v>
      </c>
      <c r="P40" s="11" t="s">
        <v>191</v>
      </c>
      <c r="Q40" s="35" t="s">
        <v>72</v>
      </c>
      <c r="R40" s="35" t="s">
        <v>168</v>
      </c>
      <c r="S40" s="11" t="s">
        <v>188</v>
      </c>
      <c r="T40" s="11" t="s">
        <v>189</v>
      </c>
      <c r="U40" s="11" t="s">
        <v>122</v>
      </c>
      <c r="V40" s="11" t="s">
        <v>124</v>
      </c>
    </row>
    <row r="41" spans="2:24">
      <c r="B41" s="5">
        <v>0</v>
      </c>
      <c r="C41" s="4">
        <f t="shared" ref="C41:C46" si="8">(COS(RADIANS($C$37+B41))/COS(RADIANS(B41)))^2</f>
        <v>0.84048826659587872</v>
      </c>
      <c r="D41" s="7">
        <v>121</v>
      </c>
      <c r="E41" s="7">
        <v>3025</v>
      </c>
      <c r="F41" s="7">
        <v>2802</v>
      </c>
      <c r="G41" s="7">
        <v>2582</v>
      </c>
      <c r="H41" s="4">
        <f t="shared" ref="H41:H46" si="9">G41/E41</f>
        <v>0.85355371900826449</v>
      </c>
      <c r="I41" s="4">
        <f t="shared" ref="I41:I46" si="10">1-G41/(F41*$E$35)</f>
        <v>-1.6137541507619257E-3</v>
      </c>
      <c r="J41" s="7">
        <f t="shared" ref="J41:J46" si="11">0.95*G41</f>
        <v>2452.9</v>
      </c>
      <c r="K41" s="10">
        <v>0.82</v>
      </c>
      <c r="L41" s="4">
        <v>0.33200000000000002</v>
      </c>
      <c r="M41" s="4">
        <v>2.1349999999999998</v>
      </c>
      <c r="N41" s="8">
        <f t="shared" ref="N41:N46" si="12">PI()*SQRT(M41^2-(K41-L41)^2)*(K41+L41)</f>
        <v>7.5222592435408666</v>
      </c>
      <c r="O41" s="8">
        <f t="shared" ref="O41:O46" si="13">(K41/L41)^2</f>
        <v>6.1003048337930013</v>
      </c>
      <c r="P41" s="7">
        <f t="shared" ref="P41:P46" si="14">J41*0.91</f>
        <v>2232.1390000000001</v>
      </c>
      <c r="Q41" s="4">
        <f t="shared" ref="Q41:Q46" si="15">P41/J41</f>
        <v>0.91</v>
      </c>
      <c r="R41" s="4">
        <f t="shared" ref="R41:R46" si="16">P41/E41</f>
        <v>0.73789719008264465</v>
      </c>
      <c r="S41" s="13">
        <f t="shared" ref="S41:S46" si="17">P41*1/(PI()*L41^2)</f>
        <v>6446.0726433118043</v>
      </c>
      <c r="T41" s="4">
        <f t="shared" ref="T41:T46" si="18">S41*SIN(0.00465)^2</f>
        <v>0.13937920115007285</v>
      </c>
      <c r="U41" s="2">
        <v>5962</v>
      </c>
      <c r="V41" s="8">
        <f t="shared" ref="V41:V46" si="19">E41/U41</f>
        <v>0.50738007380073802</v>
      </c>
      <c r="X41" s="42">
        <f t="shared" ref="X41:X46" si="20">P41*($C$52/$C$34)^2</f>
        <v>5022.3127500000001</v>
      </c>
    </row>
    <row r="42" spans="2:24">
      <c r="B42" s="5">
        <f>1*C37</f>
        <v>23.54</v>
      </c>
      <c r="C42" s="4">
        <f t="shared" si="8"/>
        <v>0.55173767105166927</v>
      </c>
      <c r="D42" s="7">
        <v>167</v>
      </c>
      <c r="E42" s="7">
        <v>4175</v>
      </c>
      <c r="F42" s="7">
        <v>3990</v>
      </c>
      <c r="G42" s="7">
        <v>3654</v>
      </c>
      <c r="H42" s="4">
        <f t="shared" si="9"/>
        <v>0.87520958083832334</v>
      </c>
      <c r="I42" s="4">
        <f t="shared" si="10"/>
        <v>4.5766590389016981E-3</v>
      </c>
      <c r="J42" s="7">
        <f t="shared" si="11"/>
        <v>3471.2999999999997</v>
      </c>
      <c r="K42" s="10">
        <v>0.92500000000000004</v>
      </c>
      <c r="L42" s="4">
        <v>0.374</v>
      </c>
      <c r="M42" s="4">
        <v>2.4079999999999999</v>
      </c>
      <c r="N42" s="8">
        <f t="shared" si="12"/>
        <v>9.5661559861329941</v>
      </c>
      <c r="O42" s="8">
        <f t="shared" si="13"/>
        <v>6.1170250793560026</v>
      </c>
      <c r="P42" s="7">
        <f t="shared" si="14"/>
        <v>3158.8829999999998</v>
      </c>
      <c r="Q42" s="4">
        <f t="shared" si="15"/>
        <v>0.91</v>
      </c>
      <c r="R42" s="4">
        <f t="shared" si="16"/>
        <v>0.75661868263473053</v>
      </c>
      <c r="S42" s="13">
        <f t="shared" si="17"/>
        <v>7188.5361906110493</v>
      </c>
      <c r="T42" s="4">
        <f t="shared" si="18"/>
        <v>0.15543300349326999</v>
      </c>
      <c r="U42" s="2">
        <v>8355</v>
      </c>
      <c r="V42" s="8">
        <f t="shared" si="19"/>
        <v>0.49970077797725915</v>
      </c>
      <c r="X42" s="42">
        <f t="shared" si="20"/>
        <v>7107.48675</v>
      </c>
    </row>
    <row r="43" spans="2:24">
      <c r="B43" s="5">
        <v>37</v>
      </c>
      <c r="C43" s="4">
        <f t="shared" si="8"/>
        <v>0.37923442268944713</v>
      </c>
      <c r="D43" s="7">
        <v>288</v>
      </c>
      <c r="E43" s="7">
        <v>7200</v>
      </c>
      <c r="F43" s="7">
        <v>6843</v>
      </c>
      <c r="G43" s="7">
        <v>6093</v>
      </c>
      <c r="H43" s="4">
        <f t="shared" si="9"/>
        <v>0.84624999999999995</v>
      </c>
      <c r="I43" s="4">
        <f t="shared" si="10"/>
        <v>3.2175056706631455E-2</v>
      </c>
      <c r="J43" s="7">
        <f t="shared" si="11"/>
        <v>5788.3499999999995</v>
      </c>
      <c r="K43" s="10">
        <v>1.18</v>
      </c>
      <c r="L43" s="4">
        <v>0.47699999999999998</v>
      </c>
      <c r="M43" s="4">
        <v>3.0720000000000001</v>
      </c>
      <c r="N43" s="8">
        <f t="shared" si="12"/>
        <v>15.567303391004847</v>
      </c>
      <c r="O43" s="8">
        <f t="shared" si="13"/>
        <v>6.1196594719793964</v>
      </c>
      <c r="P43" s="7">
        <f t="shared" si="14"/>
        <v>5267.3984999999993</v>
      </c>
      <c r="Q43" s="4">
        <f t="shared" si="15"/>
        <v>0.90999999999999992</v>
      </c>
      <c r="R43" s="4">
        <f t="shared" si="16"/>
        <v>0.73158312499999989</v>
      </c>
      <c r="S43" s="13">
        <f t="shared" si="17"/>
        <v>7369.0167715749194</v>
      </c>
      <c r="T43" s="4">
        <f t="shared" si="18"/>
        <v>0.15933541672839627</v>
      </c>
      <c r="U43" s="2">
        <v>14853</v>
      </c>
      <c r="V43" s="8">
        <f t="shared" si="19"/>
        <v>0.48475055544334478</v>
      </c>
      <c r="X43" s="42">
        <f t="shared" si="20"/>
        <v>11851.646624999998</v>
      </c>
    </row>
    <row r="44" spans="2:24">
      <c r="B44" s="5">
        <v>40</v>
      </c>
      <c r="C44" s="4">
        <f t="shared" si="8"/>
        <v>0.3383215395096536</v>
      </c>
      <c r="D44" s="7">
        <v>341</v>
      </c>
      <c r="E44" s="7">
        <v>8525</v>
      </c>
      <c r="F44" s="7">
        <v>8073</v>
      </c>
      <c r="G44" s="7">
        <v>7042</v>
      </c>
      <c r="H44" s="4">
        <f t="shared" si="9"/>
        <v>0.82604105571847508</v>
      </c>
      <c r="I44" s="4">
        <f t="shared" si="10"/>
        <v>5.1858314618239088E-2</v>
      </c>
      <c r="J44" s="7">
        <f t="shared" si="11"/>
        <v>6689.9</v>
      </c>
      <c r="K44" s="10">
        <v>1.26</v>
      </c>
      <c r="L44" s="4">
        <v>0.50990000000000002</v>
      </c>
      <c r="M44" s="4">
        <v>3.2810000000000001</v>
      </c>
      <c r="N44" s="8">
        <f t="shared" si="12"/>
        <v>17.76020117287386</v>
      </c>
      <c r="O44" s="8">
        <f t="shared" si="13"/>
        <v>6.1062005820736864</v>
      </c>
      <c r="P44" s="7">
        <f t="shared" si="14"/>
        <v>6087.8090000000002</v>
      </c>
      <c r="Q44" s="4">
        <f t="shared" si="15"/>
        <v>0.91</v>
      </c>
      <c r="R44" s="4">
        <f t="shared" si="16"/>
        <v>0.71411249266862176</v>
      </c>
      <c r="S44" s="13">
        <f t="shared" si="17"/>
        <v>7453.1716219622476</v>
      </c>
      <c r="T44" s="4">
        <f t="shared" si="18"/>
        <v>0.16115504186589139</v>
      </c>
      <c r="U44" s="2">
        <v>17893</v>
      </c>
      <c r="V44" s="8">
        <f t="shared" si="19"/>
        <v>0.47644330184988543</v>
      </c>
      <c r="X44" s="42">
        <f t="shared" si="20"/>
        <v>13697.570250000001</v>
      </c>
    </row>
    <row r="45" spans="2:24">
      <c r="B45" s="5">
        <f>2*C37</f>
        <v>47.08</v>
      </c>
      <c r="C45" s="4">
        <f t="shared" si="8"/>
        <v>0.23744984099909322</v>
      </c>
      <c r="D45" s="7">
        <v>558</v>
      </c>
      <c r="E45" s="7">
        <v>13950</v>
      </c>
      <c r="F45" s="7">
        <v>13041</v>
      </c>
      <c r="G45" s="7">
        <v>10634</v>
      </c>
      <c r="H45" s="4">
        <f t="shared" si="9"/>
        <v>0.76229390681003584</v>
      </c>
      <c r="I45" s="4">
        <f t="shared" si="10"/>
        <v>0.11366492966997066</v>
      </c>
      <c r="J45" s="7">
        <f t="shared" si="11"/>
        <v>10102.299999999999</v>
      </c>
      <c r="K45" s="10">
        <v>1.63</v>
      </c>
      <c r="L45" s="4">
        <v>0.66</v>
      </c>
      <c r="M45" s="4">
        <v>4.24</v>
      </c>
      <c r="N45" s="8">
        <f t="shared" si="12"/>
        <v>29.694641948310057</v>
      </c>
      <c r="O45" s="8">
        <f t="shared" si="13"/>
        <v>6.0994031221303926</v>
      </c>
      <c r="P45" s="7">
        <f t="shared" si="14"/>
        <v>9193.0929999999989</v>
      </c>
      <c r="Q45" s="4">
        <f t="shared" si="15"/>
        <v>0.90999999999999992</v>
      </c>
      <c r="R45" s="4">
        <f t="shared" si="16"/>
        <v>0.6590030824372759</v>
      </c>
      <c r="S45" s="13">
        <f t="shared" si="17"/>
        <v>6717.7511168663959</v>
      </c>
      <c r="T45" s="4">
        <f t="shared" si="18"/>
        <v>0.1452535266051232</v>
      </c>
      <c r="U45" s="2">
        <v>31360</v>
      </c>
      <c r="V45" s="8">
        <f t="shared" si="19"/>
        <v>0.44483418367346939</v>
      </c>
      <c r="X45" s="42">
        <f t="shared" si="20"/>
        <v>20684.459249999996</v>
      </c>
    </row>
    <row r="46" spans="2:24">
      <c r="B46" s="5">
        <f>2.5*C37</f>
        <v>58.849999999999994</v>
      </c>
      <c r="C46" s="4">
        <f t="shared" si="8"/>
        <v>6.5541557079342491E-2</v>
      </c>
      <c r="D46" s="7">
        <v>2664</v>
      </c>
      <c r="E46" s="7">
        <v>66600</v>
      </c>
      <c r="F46" s="7">
        <v>59752</v>
      </c>
      <c r="G46" s="7">
        <v>30730</v>
      </c>
      <c r="H46" s="4">
        <f t="shared" si="9"/>
        <v>0.4614114114114114</v>
      </c>
      <c r="I46" s="4">
        <f t="shared" si="10"/>
        <v>0.44098651236705921</v>
      </c>
      <c r="J46" s="7">
        <f t="shared" si="11"/>
        <v>29193.5</v>
      </c>
      <c r="K46" s="10">
        <v>3.45</v>
      </c>
      <c r="L46" s="4">
        <v>1.3959999999999999</v>
      </c>
      <c r="M46" s="4">
        <v>8.9819999999999993</v>
      </c>
      <c r="N46" s="8">
        <f t="shared" si="12"/>
        <v>133.11992611554808</v>
      </c>
      <c r="O46" s="8">
        <f t="shared" si="13"/>
        <v>6.1075545356770498</v>
      </c>
      <c r="P46" s="7">
        <f t="shared" si="14"/>
        <v>26566.084999999999</v>
      </c>
      <c r="Q46" s="4">
        <f t="shared" si="15"/>
        <v>0.90999999999999992</v>
      </c>
      <c r="R46" s="4">
        <f t="shared" si="16"/>
        <v>0.39889016516516518</v>
      </c>
      <c r="S46" s="13">
        <f t="shared" si="17"/>
        <v>4339.1718318706899</v>
      </c>
      <c r="T46" s="4">
        <f t="shared" si="18"/>
        <v>9.3823066701946345E-2</v>
      </c>
      <c r="U46" s="2">
        <v>195537</v>
      </c>
      <c r="V46" s="8">
        <f t="shared" si="19"/>
        <v>0.34060050016109483</v>
      </c>
      <c r="X46" s="42">
        <f t="shared" si="20"/>
        <v>59773.691249999996</v>
      </c>
    </row>
    <row r="47" spans="2:24">
      <c r="C47" s="4"/>
      <c r="E47" s="7"/>
      <c r="F47" s="7"/>
      <c r="G47" s="7"/>
      <c r="H47" s="4"/>
      <c r="I47" s="4"/>
      <c r="J47" s="4"/>
    </row>
    <row r="48" spans="2:24">
      <c r="B48" s="3"/>
      <c r="C48" s="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2:23">
      <c r="B49" s="3"/>
      <c r="C49" s="2"/>
      <c r="D49" s="1"/>
      <c r="E49" s="15"/>
      <c r="F49" s="15"/>
      <c r="G49" s="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2:23">
      <c r="B50" s="3"/>
      <c r="C50" s="5"/>
      <c r="E50" s="15"/>
      <c r="F50" s="15"/>
      <c r="G50" s="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2:23">
      <c r="B51" s="1"/>
      <c r="C51" s="2"/>
      <c r="E51" s="15"/>
      <c r="F51" s="15"/>
      <c r="G51" s="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2:23">
      <c r="B52" s="3" t="s">
        <v>178</v>
      </c>
      <c r="C52" s="2">
        <v>150</v>
      </c>
      <c r="G52" s="5"/>
      <c r="K52" s="13"/>
      <c r="L52" s="4"/>
    </row>
    <row r="53" spans="2:23">
      <c r="B53" s="3" t="s">
        <v>117</v>
      </c>
      <c r="C53" s="2">
        <v>7.5</v>
      </c>
      <c r="D53" s="1" t="s">
        <v>118</v>
      </c>
      <c r="E53" s="2">
        <v>0.92</v>
      </c>
      <c r="G53" s="5"/>
      <c r="K53" s="13"/>
      <c r="L53" s="4"/>
    </row>
    <row r="54" spans="2:23">
      <c r="B54" s="3" t="s">
        <v>116</v>
      </c>
      <c r="C54" s="5">
        <f>C52/C53</f>
        <v>20</v>
      </c>
      <c r="K54" s="13"/>
      <c r="L54" s="4"/>
    </row>
    <row r="55" spans="2:23" ht="16.5">
      <c r="B55" s="1" t="s">
        <v>135</v>
      </c>
      <c r="C55" s="2">
        <v>23.54</v>
      </c>
      <c r="D55" s="3" t="s">
        <v>82</v>
      </c>
      <c r="E55" s="8">
        <f>1/SIN(RADIANS(C55))^2</f>
        <v>6.2691312962320485</v>
      </c>
      <c r="F55" s="2"/>
      <c r="K55" s="13"/>
      <c r="L55" s="4"/>
    </row>
    <row r="56" spans="2:23">
      <c r="B56" s="3" t="s">
        <v>181</v>
      </c>
      <c r="C56" s="2" t="s">
        <v>182</v>
      </c>
      <c r="K56" s="13"/>
      <c r="L56" s="4"/>
    </row>
    <row r="57" spans="2:23">
      <c r="K57" s="10"/>
      <c r="L57" s="2" t="s">
        <v>192</v>
      </c>
    </row>
    <row r="58" spans="2:23" s="36" customFormat="1" ht="62.1">
      <c r="B58" s="33" t="s">
        <v>136</v>
      </c>
      <c r="C58" s="34" t="s">
        <v>183</v>
      </c>
      <c r="D58" s="34" t="s">
        <v>184</v>
      </c>
      <c r="E58" s="34" t="s">
        <v>120</v>
      </c>
      <c r="F58" s="34" t="s">
        <v>152</v>
      </c>
      <c r="G58" s="34" t="s">
        <v>153</v>
      </c>
      <c r="H58" s="33" t="s">
        <v>154</v>
      </c>
      <c r="I58" s="34" t="s">
        <v>155</v>
      </c>
      <c r="J58" s="35" t="s">
        <v>156</v>
      </c>
      <c r="K58" s="35" t="s">
        <v>138</v>
      </c>
      <c r="L58" s="35" t="s">
        <v>140</v>
      </c>
      <c r="M58" s="35" t="s">
        <v>142</v>
      </c>
      <c r="N58" s="35" t="s">
        <v>143</v>
      </c>
      <c r="O58" s="35" t="s">
        <v>82</v>
      </c>
      <c r="P58" s="35" t="s">
        <v>159</v>
      </c>
      <c r="Q58" s="35" t="s">
        <v>72</v>
      </c>
      <c r="R58" s="35" t="s">
        <v>168</v>
      </c>
      <c r="S58" s="35" t="s">
        <v>160</v>
      </c>
      <c r="T58" s="35" t="s">
        <v>189</v>
      </c>
      <c r="U58" s="35" t="s">
        <v>122</v>
      </c>
      <c r="V58" s="35" t="s">
        <v>124</v>
      </c>
      <c r="W58" s="35" t="s">
        <v>127</v>
      </c>
    </row>
    <row r="59" spans="2:23">
      <c r="B59" s="5">
        <v>0</v>
      </c>
      <c r="C59" s="37">
        <f t="shared" ref="C59:C64" si="21">(COS(RADIANS($C$37+B59))/COS(RADIANS(B59)))^2</f>
        <v>0.84048826659587872</v>
      </c>
      <c r="D59" s="38">
        <v>121</v>
      </c>
      <c r="E59" s="38">
        <v>6806</v>
      </c>
      <c r="F59" s="38">
        <v>6306</v>
      </c>
      <c r="G59" s="38">
        <v>5795</v>
      </c>
      <c r="H59" s="37">
        <f t="shared" ref="H59:H64" si="22">G59/E59</f>
        <v>0.85145459888333819</v>
      </c>
      <c r="I59" s="37">
        <f t="shared" ref="I59:I64" si="23">1-G59/(F59*$E$35)</f>
        <v>1.1238434065555802E-3</v>
      </c>
      <c r="J59" s="38">
        <v>5504</v>
      </c>
      <c r="K59" s="39">
        <v>1.2450000000000001</v>
      </c>
      <c r="L59" s="37">
        <v>0.50490000000000002</v>
      </c>
      <c r="M59" s="37">
        <v>3.234</v>
      </c>
      <c r="N59" s="40">
        <f t="shared" ref="N59:N64" si="24">PI()*SQRT(M59^2-(K59-L59)^2)*(K59+L59)</f>
        <v>17.307008898425838</v>
      </c>
      <c r="O59" s="40">
        <f t="shared" ref="O59:O64" si="25">(K59/L59)^2</f>
        <v>6.0803413534880466</v>
      </c>
      <c r="P59" s="41">
        <v>5116</v>
      </c>
      <c r="Q59" s="4">
        <f t="shared" ref="Q59:Q64" si="26">P59/J59</f>
        <v>0.92950581395348841</v>
      </c>
      <c r="R59" s="4">
        <f t="shared" ref="R59:R64" si="27">P59/E59</f>
        <v>0.75168968557155447</v>
      </c>
      <c r="S59" s="13">
        <f t="shared" ref="S59:S64" si="28">P59/(PI()*L59^2)</f>
        <v>6388.0737546701585</v>
      </c>
      <c r="T59" s="37">
        <f t="shared" ref="T59:T64" si="29">S59*SIN(0.00465)^2</f>
        <v>0.13812512921918141</v>
      </c>
      <c r="U59" s="41">
        <v>13415</v>
      </c>
      <c r="V59" s="40">
        <f t="shared" ref="V59:V64" si="30">E59/U59</f>
        <v>0.50734252702199034</v>
      </c>
      <c r="W59" s="43">
        <v>1.51</v>
      </c>
    </row>
    <row r="60" spans="2:23">
      <c r="B60" s="5">
        <v>20</v>
      </c>
      <c r="C60" s="37">
        <f t="shared" si="21"/>
        <v>0.59508216789437784</v>
      </c>
      <c r="D60" s="38">
        <v>152</v>
      </c>
      <c r="E60" s="38">
        <v>8550</v>
      </c>
      <c r="F60" s="38">
        <v>8161</v>
      </c>
      <c r="G60" s="38">
        <v>7473</v>
      </c>
      <c r="H60" s="37">
        <f t="shared" si="22"/>
        <v>0.87403508771929828</v>
      </c>
      <c r="I60" s="37">
        <f t="shared" si="23"/>
        <v>4.677602382487267E-3</v>
      </c>
      <c r="J60" s="38">
        <v>7108</v>
      </c>
      <c r="K60" s="39">
        <v>1.32</v>
      </c>
      <c r="L60" s="37">
        <v>0.53410000000000002</v>
      </c>
      <c r="M60" s="37">
        <v>3.4359999999999999</v>
      </c>
      <c r="N60" s="40">
        <f t="shared" si="24"/>
        <v>19.483551725831056</v>
      </c>
      <c r="O60" s="40">
        <f t="shared" si="25"/>
        <v>6.1080517295612431</v>
      </c>
      <c r="P60" s="41">
        <v>6510</v>
      </c>
      <c r="Q60" s="4">
        <f t="shared" si="26"/>
        <v>0.9158694428812606</v>
      </c>
      <c r="R60" s="4">
        <f t="shared" si="27"/>
        <v>0.76140350877192986</v>
      </c>
      <c r="S60" s="13">
        <f t="shared" si="28"/>
        <v>7264.16934284731</v>
      </c>
      <c r="T60" s="37">
        <f t="shared" si="29"/>
        <v>0.15706836954054679</v>
      </c>
      <c r="U60" s="41">
        <v>17052</v>
      </c>
      <c r="V60" s="40">
        <f t="shared" si="30"/>
        <v>0.50140745953553834</v>
      </c>
      <c r="W60" s="43">
        <v>4.12</v>
      </c>
    </row>
    <row r="61" spans="2:23">
      <c r="B61" s="5">
        <v>30</v>
      </c>
      <c r="C61" s="37">
        <f t="shared" si="21"/>
        <v>0.47086221825093166</v>
      </c>
      <c r="D61" s="38">
        <v>214</v>
      </c>
      <c r="E61" s="38">
        <v>12038</v>
      </c>
      <c r="F61" s="38">
        <v>11501</v>
      </c>
      <c r="G61" s="38">
        <v>10523</v>
      </c>
      <c r="H61" s="37">
        <f>G61/E61</f>
        <v>0.87414852965608902</v>
      </c>
      <c r="I61" s="37">
        <f>1-G61/(F61*$E$35)</f>
        <v>5.4740041508678505E-3</v>
      </c>
      <c r="J61" s="38">
        <v>9993</v>
      </c>
      <c r="K61" s="39">
        <v>1.5149999999999999</v>
      </c>
      <c r="L61" s="37">
        <v>0.61299999999999999</v>
      </c>
      <c r="M61" s="37">
        <v>3.944</v>
      </c>
      <c r="N61" s="40">
        <f>PI()*SQRT(M61^2-(K61-L61)^2)*(K61+L61)</f>
        <v>25.668045831698656</v>
      </c>
      <c r="O61" s="40">
        <f>(K61/L61)^2</f>
        <v>6.1080743754806797</v>
      </c>
      <c r="P61" s="41">
        <v>9040</v>
      </c>
      <c r="Q61" s="4">
        <f t="shared" si="26"/>
        <v>0.90463324327028916</v>
      </c>
      <c r="R61" s="4">
        <f t="shared" si="27"/>
        <v>0.75095530819072931</v>
      </c>
      <c r="S61" s="13">
        <f t="shared" si="28"/>
        <v>7657.68695954554</v>
      </c>
      <c r="T61" s="37">
        <f t="shared" si="29"/>
        <v>0.16557714288035522</v>
      </c>
      <c r="U61" s="41">
        <v>23679</v>
      </c>
      <c r="V61" s="40">
        <f>E61/U61</f>
        <v>0.50838295536129063</v>
      </c>
      <c r="W61" s="43">
        <v>7.67</v>
      </c>
    </row>
    <row r="62" spans="2:23">
      <c r="B62" s="5">
        <v>40</v>
      </c>
      <c r="C62" s="4">
        <f>(COS(RADIANS($C$55+B62))/COS(RADIANS(B62)))^2</f>
        <v>0.3383215395096536</v>
      </c>
      <c r="D62" s="7">
        <v>349</v>
      </c>
      <c r="E62" s="7">
        <v>19631</v>
      </c>
      <c r="F62" s="7">
        <v>18591</v>
      </c>
      <c r="G62" s="7">
        <v>16051</v>
      </c>
      <c r="H62" s="4">
        <f t="shared" si="22"/>
        <v>0.81763537262492991</v>
      </c>
      <c r="I62" s="4">
        <f t="shared" si="23"/>
        <v>6.154918345248872E-2</v>
      </c>
      <c r="J62" s="7">
        <v>15251</v>
      </c>
      <c r="K62" s="10">
        <v>1.89</v>
      </c>
      <c r="L62" s="4">
        <v>0.76649999999999996</v>
      </c>
      <c r="M62" s="4">
        <v>4.91</v>
      </c>
      <c r="N62" s="8">
        <f t="shared" si="24"/>
        <v>39.889935314132266</v>
      </c>
      <c r="O62" s="8">
        <f>(K62/L62)^2</f>
        <v>6.0799399512103589</v>
      </c>
      <c r="P62" s="2">
        <v>13883</v>
      </c>
      <c r="Q62" s="4">
        <f t="shared" si="26"/>
        <v>0.91030096387122161</v>
      </c>
      <c r="R62" s="4">
        <f t="shared" si="27"/>
        <v>0.70719779939890992</v>
      </c>
      <c r="S62" s="13">
        <f t="shared" si="28"/>
        <v>7521.5809271726594</v>
      </c>
      <c r="T62" s="4">
        <f>S62*SIN(0.00465)^2</f>
        <v>0.16263421140664294</v>
      </c>
      <c r="U62" s="2">
        <v>40259</v>
      </c>
      <c r="V62" s="8">
        <f t="shared" si="30"/>
        <v>0.48761767555080854</v>
      </c>
      <c r="W62" s="5">
        <v>12.91</v>
      </c>
    </row>
    <row r="63" spans="2:23">
      <c r="B63" s="5">
        <v>50</v>
      </c>
      <c r="C63" s="37">
        <f t="shared" si="21"/>
        <v>0.1943116550675083</v>
      </c>
      <c r="D63" s="38">
        <v>757</v>
      </c>
      <c r="E63" s="38">
        <v>42581</v>
      </c>
      <c r="F63" s="38">
        <v>39503</v>
      </c>
      <c r="G63" s="38">
        <v>29962</v>
      </c>
      <c r="H63" s="37">
        <f t="shared" si="22"/>
        <v>0.70364716657664217</v>
      </c>
      <c r="I63" s="37">
        <f t="shared" si="23"/>
        <v>0.17557169571050746</v>
      </c>
      <c r="J63" s="38">
        <v>28420</v>
      </c>
      <c r="K63" s="39">
        <v>2.75</v>
      </c>
      <c r="L63" s="37">
        <v>1.113</v>
      </c>
      <c r="M63" s="37">
        <v>7.1589999999999998</v>
      </c>
      <c r="N63" s="40">
        <f t="shared" si="24"/>
        <v>84.579554314429132</v>
      </c>
      <c r="O63" s="40">
        <f t="shared" si="25"/>
        <v>6.1048508640432573</v>
      </c>
      <c r="P63" s="41">
        <v>25681</v>
      </c>
      <c r="Q63" s="4">
        <f t="shared" si="26"/>
        <v>0.90362420830401124</v>
      </c>
      <c r="R63" s="4">
        <f t="shared" si="27"/>
        <v>0.60310936802799375</v>
      </c>
      <c r="S63" s="13">
        <f t="shared" si="28"/>
        <v>6598.9027712882125</v>
      </c>
      <c r="T63" s="37">
        <f t="shared" si="29"/>
        <v>0.14268374677462714</v>
      </c>
      <c r="U63" s="41">
        <v>97060</v>
      </c>
      <c r="V63" s="40">
        <f t="shared" si="30"/>
        <v>0.43870801566041623</v>
      </c>
      <c r="W63" s="43">
        <v>28.66</v>
      </c>
    </row>
    <row r="64" spans="2:23">
      <c r="B64" s="5">
        <v>58</v>
      </c>
      <c r="C64" s="28">
        <f t="shared" si="21"/>
        <v>7.7075720368861872E-2</v>
      </c>
      <c r="D64" s="29">
        <v>2291</v>
      </c>
      <c r="E64" s="29">
        <v>128869</v>
      </c>
      <c r="F64" s="29">
        <v>116106</v>
      </c>
      <c r="G64" s="29">
        <v>62436</v>
      </c>
      <c r="H64" s="28">
        <f t="shared" si="22"/>
        <v>0.48449200350743776</v>
      </c>
      <c r="I64" s="28">
        <f t="shared" si="23"/>
        <v>0.4154891444774228</v>
      </c>
      <c r="J64" s="29">
        <v>59065</v>
      </c>
      <c r="K64" s="30">
        <v>4.7300000000000004</v>
      </c>
      <c r="L64" s="28">
        <v>1.9139999999999999</v>
      </c>
      <c r="M64" s="28">
        <v>12.314</v>
      </c>
      <c r="N64" s="31">
        <f t="shared" si="24"/>
        <v>250.21598041683248</v>
      </c>
      <c r="O64" s="31">
        <f t="shared" si="25"/>
        <v>6.1071475756374705</v>
      </c>
      <c r="P64" s="41">
        <v>52930</v>
      </c>
      <c r="Q64" s="4">
        <f t="shared" si="26"/>
        <v>0.89613138068229914</v>
      </c>
      <c r="R64" s="4">
        <f t="shared" si="27"/>
        <v>0.41072717255507529</v>
      </c>
      <c r="S64" s="13">
        <f t="shared" si="28"/>
        <v>4599.0502461945262</v>
      </c>
      <c r="T64" s="28">
        <f t="shared" si="29"/>
        <v>9.9442247215244806E-2</v>
      </c>
      <c r="U64" s="32">
        <v>356686</v>
      </c>
      <c r="V64" s="31">
        <f t="shared" si="30"/>
        <v>0.36129536903607096</v>
      </c>
      <c r="W64" s="43">
        <v>82.03</v>
      </c>
    </row>
    <row r="67" spans="1:25">
      <c r="B67" s="3" t="s">
        <v>178</v>
      </c>
      <c r="C67" s="2">
        <v>200</v>
      </c>
      <c r="G67" s="5"/>
      <c r="K67" s="13"/>
      <c r="L67" s="4"/>
    </row>
    <row r="68" spans="1:25">
      <c r="B68" s="3" t="s">
        <v>117</v>
      </c>
      <c r="C68" s="2">
        <v>10</v>
      </c>
      <c r="D68" s="1" t="s">
        <v>118</v>
      </c>
      <c r="E68" s="2">
        <v>0.92</v>
      </c>
      <c r="G68" s="5"/>
      <c r="K68" s="13"/>
      <c r="L68" s="4"/>
    </row>
    <row r="69" spans="1:25">
      <c r="B69" s="3" t="s">
        <v>116</v>
      </c>
      <c r="C69" s="5">
        <f>C67/C68</f>
        <v>20</v>
      </c>
      <c r="K69" s="13"/>
      <c r="L69" s="4"/>
    </row>
    <row r="70" spans="1:25" ht="16.5">
      <c r="B70" s="1" t="s">
        <v>135</v>
      </c>
      <c r="C70" s="2">
        <v>23.54</v>
      </c>
      <c r="D70" s="3" t="s">
        <v>82</v>
      </c>
      <c r="E70" s="8">
        <f>1/SIN(RADIANS(C70))^2</f>
        <v>6.2691312962320485</v>
      </c>
      <c r="F70" s="2"/>
      <c r="K70" s="13"/>
      <c r="L70" s="4"/>
    </row>
    <row r="71" spans="1:25">
      <c r="B71" s="3" t="s">
        <v>181</v>
      </c>
      <c r="C71" s="2" t="s">
        <v>182</v>
      </c>
      <c r="K71" s="13"/>
      <c r="L71" s="4"/>
    </row>
    <row r="72" spans="1:25">
      <c r="K72"/>
      <c r="M72" s="10"/>
      <c r="N72" s="2" t="s">
        <v>192</v>
      </c>
    </row>
    <row r="73" spans="1:25" ht="62.1">
      <c r="B73" s="33" t="s">
        <v>136</v>
      </c>
      <c r="C73" s="34" t="s">
        <v>183</v>
      </c>
      <c r="D73" s="34" t="s">
        <v>184</v>
      </c>
      <c r="E73" s="34" t="s">
        <v>120</v>
      </c>
      <c r="F73" s="34" t="s">
        <v>152</v>
      </c>
      <c r="G73" s="34" t="s">
        <v>153</v>
      </c>
      <c r="H73" s="33" t="s">
        <v>154</v>
      </c>
      <c r="I73" s="34" t="s">
        <v>155</v>
      </c>
      <c r="J73" s="35" t="s">
        <v>156</v>
      </c>
      <c r="K73" s="35" t="s">
        <v>157</v>
      </c>
      <c r="L73" s="35" t="s">
        <v>158</v>
      </c>
      <c r="M73" s="35" t="s">
        <v>138</v>
      </c>
      <c r="N73" s="35" t="s">
        <v>140</v>
      </c>
      <c r="O73" s="35" t="s">
        <v>142</v>
      </c>
      <c r="P73" s="35" t="s">
        <v>143</v>
      </c>
      <c r="Q73" s="35" t="s">
        <v>82</v>
      </c>
      <c r="R73" s="35" t="s">
        <v>159</v>
      </c>
      <c r="S73" s="35" t="s">
        <v>72</v>
      </c>
      <c r="T73" s="35" t="s">
        <v>168</v>
      </c>
      <c r="U73" s="35" t="s">
        <v>160</v>
      </c>
      <c r="V73" s="35" t="s">
        <v>189</v>
      </c>
      <c r="W73" s="35" t="s">
        <v>122</v>
      </c>
      <c r="X73" s="35" t="s">
        <v>124</v>
      </c>
      <c r="Y73" s="35" t="s">
        <v>127</v>
      </c>
    </row>
    <row r="74" spans="1:25">
      <c r="B74" s="5">
        <v>0</v>
      </c>
      <c r="C74" s="37">
        <f>(COS(RADIANS($C$37+B74))/COS(RADIANS(B74)))^2</f>
        <v>0.84048826659587872</v>
      </c>
      <c r="D74" s="38">
        <v>127</v>
      </c>
      <c r="E74" s="38">
        <v>12700</v>
      </c>
      <c r="F74" s="38">
        <v>11766</v>
      </c>
      <c r="G74" s="38">
        <v>10752</v>
      </c>
      <c r="H74" s="37">
        <f>G74/E74</f>
        <v>0.84661417322834642</v>
      </c>
      <c r="I74" s="37">
        <f>1-G74/(F74*$E$35)</f>
        <v>6.7179566769395294E-3</v>
      </c>
      <c r="J74" s="38">
        <v>10213</v>
      </c>
      <c r="K74" s="4">
        <f>J74/G74</f>
        <v>0.94986979166666663</v>
      </c>
      <c r="L74" s="7">
        <f>J74/(PI()*M74^2)</f>
        <v>1165.6563044910374</v>
      </c>
      <c r="M74" s="39">
        <v>1.67</v>
      </c>
      <c r="N74" s="37">
        <v>0.67600000000000005</v>
      </c>
      <c r="O74" s="37">
        <v>4.3499999999999996</v>
      </c>
      <c r="P74" s="40">
        <f>PI()*SQRT(O74^2-(M74-N74)^2)*(M74+N74)</f>
        <v>31.212034715435873</v>
      </c>
      <c r="Q74" s="40">
        <f>(M74/N74)^2</f>
        <v>6.1029463254087721</v>
      </c>
      <c r="R74" s="41">
        <v>9352</v>
      </c>
      <c r="S74" s="4">
        <f>R74/J74</f>
        <v>0.91569568197395479</v>
      </c>
      <c r="T74" s="4">
        <f>R74/E74</f>
        <v>0.73637795275590556</v>
      </c>
      <c r="U74" s="13">
        <f>R74/(PI()*N74^2)</f>
        <v>6514.2021804007436</v>
      </c>
      <c r="V74" s="37">
        <f>U74*SIN(0.00465)^2</f>
        <v>0.14085232144821799</v>
      </c>
      <c r="W74" s="41">
        <v>23849</v>
      </c>
      <c r="X74" s="40">
        <f>E74/W74</f>
        <v>0.53251708667030062</v>
      </c>
      <c r="Y74" s="43">
        <v>2.73</v>
      </c>
    </row>
    <row r="75" spans="1:25">
      <c r="B75" s="5">
        <v>20</v>
      </c>
      <c r="C75" s="37">
        <f>(COS(RADIANS($C$37+B75))/COS(RADIANS(B75)))^2</f>
        <v>0.59508216789437784</v>
      </c>
      <c r="D75" s="38">
        <v>164</v>
      </c>
      <c r="E75" s="38">
        <v>16400</v>
      </c>
      <c r="F75" s="38">
        <v>15652</v>
      </c>
      <c r="G75" s="38">
        <v>14327</v>
      </c>
      <c r="H75" s="37">
        <f>G75/E75</f>
        <v>0.87359756097560981</v>
      </c>
      <c r="I75" s="37">
        <f>1-G75/(F75*$E$35)</f>
        <v>5.0583895376615784E-3</v>
      </c>
      <c r="J75" s="38">
        <v>13640</v>
      </c>
      <c r="K75" s="37">
        <f>J75/G75</f>
        <v>0.95204857960494171</v>
      </c>
      <c r="L75" s="7">
        <f>J75/(PI()*M75^2)</f>
        <v>1385.855548388683</v>
      </c>
      <c r="M75" s="39">
        <v>1.77</v>
      </c>
      <c r="N75" s="37">
        <v>0.71599999999999997</v>
      </c>
      <c r="O75" s="37">
        <v>4.6079999999999997</v>
      </c>
      <c r="P75" s="40">
        <f>PI()*SQRT(O75^2-(M75-N75)^2)*(M75+N75)</f>
        <v>35.034396538761357</v>
      </c>
      <c r="Q75" s="40">
        <f>(M75/N75)^2</f>
        <v>6.1111154458350248</v>
      </c>
      <c r="R75" s="41">
        <v>12290</v>
      </c>
      <c r="S75" s="37">
        <f>R75/J75</f>
        <v>0.90102639296187681</v>
      </c>
      <c r="T75" s="4">
        <f>R75/E75</f>
        <v>0.74939024390243902</v>
      </c>
      <c r="U75" s="50">
        <f>R75/(PI()*N75^2)</f>
        <v>7630.9035712032774</v>
      </c>
      <c r="V75" s="37">
        <f>U75*SIN(0.00465)^2</f>
        <v>0.1649980232399475</v>
      </c>
      <c r="W75" s="41">
        <v>30315</v>
      </c>
      <c r="X75" s="40">
        <f>E75/W75</f>
        <v>0.54098631040738909</v>
      </c>
      <c r="Y75" s="43">
        <v>7.57</v>
      </c>
    </row>
    <row r="76" spans="1:25">
      <c r="B76" s="5">
        <v>30</v>
      </c>
      <c r="C76" s="37">
        <f>(COS(RADIANS($C$37+B76))/COS(RADIANS(B76)))^2</f>
        <v>0.47086221825093166</v>
      </c>
      <c r="D76" s="38">
        <v>220</v>
      </c>
      <c r="E76" s="38">
        <v>22000</v>
      </c>
      <c r="F76" s="38">
        <v>21021</v>
      </c>
      <c r="G76" s="38">
        <v>19086</v>
      </c>
      <c r="H76" s="37">
        <f>G76/E76</f>
        <v>0.86754545454545451</v>
      </c>
      <c r="I76" s="37">
        <f>1-G76/(F76*$E$35)</f>
        <v>1.3098702539696361E-2</v>
      </c>
      <c r="J76" s="38">
        <v>18124</v>
      </c>
      <c r="K76" s="37">
        <f>J76/G76</f>
        <v>0.94959656292570471</v>
      </c>
      <c r="L76" s="7">
        <f>J76/(PI()*M76^2)</f>
        <v>1427.9469263619771</v>
      </c>
      <c r="M76" s="39">
        <v>2.0099999999999998</v>
      </c>
      <c r="N76" s="37">
        <v>0.81320000000000003</v>
      </c>
      <c r="O76" s="37">
        <v>5.2329999999999997</v>
      </c>
      <c r="P76" s="40">
        <f>PI()*SQRT(O76^2-(M76-N76)^2)*(M76+N76)</f>
        <v>45.183158762162591</v>
      </c>
      <c r="Q76" s="40">
        <f>(M76/N76)^2</f>
        <v>6.1093833208043646</v>
      </c>
      <c r="R76" s="41">
        <v>16509</v>
      </c>
      <c r="S76" s="37">
        <f>R76/J76</f>
        <v>0.91089163540057383</v>
      </c>
      <c r="T76" s="4">
        <f>R76/E76</f>
        <v>0.75040909090909091</v>
      </c>
      <c r="U76" s="50">
        <f>R76/(PI()*N76^2)</f>
        <v>7946.504888668318</v>
      </c>
      <c r="V76" s="37">
        <f>U76*SIN(0.00465)^2</f>
        <v>0.17182206354235216</v>
      </c>
      <c r="W76" s="41">
        <v>42095</v>
      </c>
      <c r="X76" s="40">
        <f>E76/W76</f>
        <v>0.52262739042641648</v>
      </c>
      <c r="Y76" s="43">
        <v>13.1</v>
      </c>
    </row>
    <row r="77" spans="1:25">
      <c r="A77" s="58" t="s">
        <v>50</v>
      </c>
      <c r="B77" s="45">
        <v>40</v>
      </c>
      <c r="C77" s="51">
        <f>(COS(RADIANS($C$37+B77))/COS(RADIANS(B77)))^2</f>
        <v>0.3383215395096536</v>
      </c>
      <c r="D77" s="52">
        <v>358</v>
      </c>
      <c r="E77" s="52">
        <v>35800</v>
      </c>
      <c r="F77" s="52">
        <v>33913</v>
      </c>
      <c r="G77" s="52">
        <v>29277</v>
      </c>
      <c r="H77" s="51">
        <f>G77/E77</f>
        <v>0.81779329608938545</v>
      </c>
      <c r="I77" s="51">
        <f>1-G77/(F77*$E$35)</f>
        <v>6.1633412350528771E-2</v>
      </c>
      <c r="J77" s="52">
        <v>27776</v>
      </c>
      <c r="K77" s="51">
        <f>J77/G77</f>
        <v>0.94873108583529731</v>
      </c>
      <c r="L77" s="47">
        <f>J77/(PI()*M77^2)</f>
        <v>1414.6200637825552</v>
      </c>
      <c r="M77" s="53">
        <v>2.5</v>
      </c>
      <c r="N77" s="51">
        <v>1.0109999999999999</v>
      </c>
      <c r="O77" s="51">
        <v>6.508</v>
      </c>
      <c r="P77" s="54">
        <f>PI()*SQRT(O77^2-(M77-N77)^2)*(M77+N77)</f>
        <v>69.87999222802469</v>
      </c>
      <c r="Q77" s="54">
        <f>(M77/N77)^2</f>
        <v>6.1147359265683825</v>
      </c>
      <c r="R77" s="55">
        <v>25267</v>
      </c>
      <c r="S77" s="51">
        <f>R77/J77</f>
        <v>0.90967021889400923</v>
      </c>
      <c r="T77" s="46">
        <f>R77/E77</f>
        <v>0.70578212290502795</v>
      </c>
      <c r="U77" s="56">
        <f>R77/(PI()*N77^2)</f>
        <v>7868.672979232244</v>
      </c>
      <c r="V77" s="51">
        <f>U77*SIN(0.00465)^2</f>
        <v>0.17013915521018491</v>
      </c>
      <c r="W77" s="55">
        <v>71571</v>
      </c>
      <c r="X77" s="54">
        <f>E77/W77</f>
        <v>0.50020259602352912</v>
      </c>
      <c r="Y77" s="57">
        <v>22.82</v>
      </c>
    </row>
    <row r="78" spans="1:25">
      <c r="B78" s="5">
        <v>50</v>
      </c>
      <c r="C78" s="37">
        <f>(COS(RADIANS($C$37+B78))/COS(RADIANS(B78)))^2</f>
        <v>0.1943116550675083</v>
      </c>
      <c r="D78" s="38">
        <v>791</v>
      </c>
      <c r="E78" s="38">
        <v>79100</v>
      </c>
      <c r="F78" s="38">
        <v>73369</v>
      </c>
      <c r="G78" s="38">
        <v>54575</v>
      </c>
      <c r="H78" s="37">
        <f>G78/E78</f>
        <v>0.68994943109987361</v>
      </c>
      <c r="I78" s="37">
        <f>1-G78/(F78*$E$35)</f>
        <v>0.19147525284639222</v>
      </c>
      <c r="J78" s="38">
        <v>51844</v>
      </c>
      <c r="K78" s="37">
        <f>J78/G78</f>
        <v>0.94995877233165371</v>
      </c>
      <c r="L78" s="7">
        <f>J78/(PI()*M78^2)</f>
        <v>1205.4388414399154</v>
      </c>
      <c r="M78" s="39">
        <v>3.7</v>
      </c>
      <c r="N78" s="37">
        <v>1.4970000000000001</v>
      </c>
      <c r="O78" s="37">
        <v>9.6319999999999997</v>
      </c>
      <c r="P78" s="40">
        <f>PI()*SQRT(O78^2-(M78-N78)^2)*(M78+N78)</f>
        <v>153.09178958655986</v>
      </c>
      <c r="Q78" s="40">
        <f>(M78/N78)^2</f>
        <v>6.1088554307457041</v>
      </c>
      <c r="R78" s="41">
        <v>46868</v>
      </c>
      <c r="S78" s="37">
        <f>R78/J78</f>
        <v>0.90401975156237946</v>
      </c>
      <c r="T78" s="4">
        <f>R78/E78</f>
        <v>0.59251580278128946</v>
      </c>
      <c r="U78" s="50">
        <f>R78/(PI()*N78^2)</f>
        <v>6657.0673056921678</v>
      </c>
      <c r="V78" s="37">
        <f>U78*SIN(0.00465)^2</f>
        <v>0.14394140035519928</v>
      </c>
      <c r="W78" s="41">
        <v>172551</v>
      </c>
      <c r="X78" s="40">
        <f>E78/W78</f>
        <v>0.45841519318926</v>
      </c>
      <c r="Y78" s="43">
        <v>50.01</v>
      </c>
    </row>
    <row r="79" spans="1:25">
      <c r="B79" s="5"/>
      <c r="C79" s="28"/>
      <c r="D79" s="29"/>
      <c r="E79" s="29"/>
      <c r="F79" s="29"/>
      <c r="G79" s="29"/>
      <c r="H79" s="28"/>
      <c r="I79" s="28"/>
      <c r="J79" s="29"/>
      <c r="M79" s="30"/>
      <c r="N79" s="28"/>
      <c r="O79" s="28"/>
      <c r="P79" s="31"/>
      <c r="Q79" s="31"/>
      <c r="R79" s="41"/>
      <c r="S79" s="4"/>
      <c r="T79" s="4"/>
      <c r="U79" s="13"/>
      <c r="V79" s="28"/>
      <c r="W79" s="32"/>
      <c r="X79" s="31"/>
      <c r="Y79" s="43"/>
    </row>
    <row r="80" spans="1:25">
      <c r="L80" s="9"/>
    </row>
    <row r="81" spans="2:25">
      <c r="B81" s="5"/>
      <c r="C81" s="37"/>
      <c r="D81" s="38"/>
      <c r="E81" s="38"/>
      <c r="F81" s="38"/>
      <c r="G81" s="38"/>
      <c r="H81" s="37"/>
      <c r="I81" s="37"/>
      <c r="J81" s="38"/>
      <c r="K81" s="37"/>
      <c r="L81" s="7"/>
      <c r="M81" s="39"/>
      <c r="N81" s="37"/>
      <c r="O81" s="37"/>
      <c r="P81" s="40"/>
      <c r="Q81" s="40"/>
      <c r="R81" s="41"/>
      <c r="S81" s="37"/>
      <c r="T81" s="37"/>
      <c r="U81" s="50"/>
      <c r="V81" s="37"/>
      <c r="W81" s="41"/>
      <c r="X81" s="40"/>
      <c r="Y81" s="43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59"/>
  <sheetViews>
    <sheetView zoomScale="75" workbookViewId="0">
      <selection sqref="A1:M59"/>
    </sheetView>
  </sheetViews>
  <sheetFormatPr defaultRowHeight="15.6"/>
  <cols>
    <col min="1" max="1" width="21.21875" bestFit="1" customWidth="1"/>
  </cols>
  <sheetData>
    <row r="1" spans="1:14" ht="17.45">
      <c r="B1" s="83" t="s">
        <v>193</v>
      </c>
      <c r="G1" s="68" t="s">
        <v>194</v>
      </c>
      <c r="H1" s="68" t="s">
        <v>195</v>
      </c>
      <c r="J1" s="83" t="s">
        <v>196</v>
      </c>
    </row>
    <row r="2" spans="1:14">
      <c r="A2" s="110"/>
      <c r="B2" s="110"/>
      <c r="C2" s="110"/>
      <c r="D2" s="110"/>
      <c r="E2" s="110"/>
      <c r="G2" s="110"/>
      <c r="H2" s="110"/>
      <c r="I2" s="110"/>
      <c r="J2" s="110"/>
      <c r="K2" s="110"/>
      <c r="L2" s="110"/>
      <c r="M2" s="110"/>
    </row>
    <row r="3" spans="1:14">
      <c r="A3" s="69" t="s">
        <v>197</v>
      </c>
      <c r="B3" s="68">
        <v>22</v>
      </c>
      <c r="C3" s="68">
        <v>53</v>
      </c>
      <c r="D3" s="68">
        <v>82</v>
      </c>
      <c r="E3" s="68">
        <v>112</v>
      </c>
      <c r="F3" s="68">
        <v>142</v>
      </c>
      <c r="G3" s="68">
        <v>173</v>
      </c>
      <c r="H3" s="68">
        <v>203</v>
      </c>
      <c r="I3" s="68">
        <v>234</v>
      </c>
      <c r="J3" s="68">
        <v>262</v>
      </c>
      <c r="K3" s="68">
        <v>295</v>
      </c>
      <c r="L3" s="68">
        <v>326</v>
      </c>
      <c r="M3" s="68">
        <v>356</v>
      </c>
      <c r="N3" s="58"/>
    </row>
    <row r="4" spans="1:14">
      <c r="A4" s="69" t="s">
        <v>198</v>
      </c>
      <c r="B4" s="68">
        <v>31</v>
      </c>
      <c r="C4" s="68">
        <v>28</v>
      </c>
      <c r="D4" s="68">
        <v>31</v>
      </c>
      <c r="E4" s="68">
        <v>30</v>
      </c>
      <c r="F4" s="68">
        <v>31</v>
      </c>
      <c r="G4" s="68">
        <v>30</v>
      </c>
      <c r="H4" s="68">
        <v>31</v>
      </c>
      <c r="I4" s="68">
        <v>30</v>
      </c>
      <c r="J4" s="68">
        <v>31</v>
      </c>
      <c r="K4" s="68">
        <v>31</v>
      </c>
      <c r="L4" s="68">
        <v>30</v>
      </c>
      <c r="M4" s="68">
        <v>31</v>
      </c>
      <c r="N4" s="58"/>
    </row>
    <row r="5" spans="1:14">
      <c r="A5" s="69"/>
      <c r="B5" s="68" t="s">
        <v>88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84"/>
    </row>
    <row r="6" spans="1:14">
      <c r="A6" s="69" t="s">
        <v>89</v>
      </c>
      <c r="B6" s="68">
        <v>1</v>
      </c>
      <c r="C6" s="68">
        <v>2</v>
      </c>
      <c r="D6" s="68">
        <v>3</v>
      </c>
      <c r="E6" s="68">
        <v>4</v>
      </c>
      <c r="F6" s="68">
        <v>5</v>
      </c>
      <c r="G6" s="68">
        <v>6</v>
      </c>
      <c r="H6" s="68">
        <v>7</v>
      </c>
      <c r="I6" s="68">
        <v>8</v>
      </c>
      <c r="J6" s="68">
        <v>9</v>
      </c>
      <c r="K6" s="68">
        <v>10</v>
      </c>
      <c r="L6" s="68">
        <v>11</v>
      </c>
      <c r="M6" s="68">
        <v>12</v>
      </c>
      <c r="N6" s="84"/>
    </row>
    <row r="7" spans="1:14">
      <c r="A7" s="69">
        <v>5</v>
      </c>
      <c r="B7" s="38">
        <v>0</v>
      </c>
      <c r="C7" s="41">
        <v>0</v>
      </c>
      <c r="D7" s="41">
        <v>0</v>
      </c>
      <c r="E7" s="41">
        <v>0</v>
      </c>
      <c r="F7" s="38">
        <v>15.161290322580646</v>
      </c>
      <c r="G7" s="38">
        <v>40.56666666666667</v>
      </c>
      <c r="H7" s="38">
        <v>13.064516129032258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81"/>
    </row>
    <row r="8" spans="1:14">
      <c r="A8" s="69">
        <v>6</v>
      </c>
      <c r="B8" s="38">
        <v>0</v>
      </c>
      <c r="C8" s="38">
        <v>0</v>
      </c>
      <c r="D8" s="38">
        <v>11.838709677419354</v>
      </c>
      <c r="E8" s="38">
        <v>155.03333333333333</v>
      </c>
      <c r="F8" s="38">
        <v>296.74193548387098</v>
      </c>
      <c r="G8" s="38">
        <v>408.7</v>
      </c>
      <c r="H8" s="38">
        <v>297.22580645161293</v>
      </c>
      <c r="I8" s="38">
        <v>179.38709677419354</v>
      </c>
      <c r="J8" s="38">
        <v>78.903225806451616</v>
      </c>
      <c r="K8" s="38">
        <v>9.2903225806451619</v>
      </c>
      <c r="L8" s="38">
        <v>0</v>
      </c>
      <c r="M8" s="38">
        <v>0</v>
      </c>
      <c r="N8" s="80"/>
    </row>
    <row r="9" spans="1:14">
      <c r="A9" s="69">
        <v>7</v>
      </c>
      <c r="B9" s="38">
        <v>3.4838709677419355</v>
      </c>
      <c r="C9" s="38">
        <v>71.035714285714292</v>
      </c>
      <c r="D9" s="38">
        <v>272.51612903225805</v>
      </c>
      <c r="E9" s="38">
        <v>510.9</v>
      </c>
      <c r="F9" s="38">
        <v>549.93548387096769</v>
      </c>
      <c r="G9" s="38">
        <v>642.29999999999995</v>
      </c>
      <c r="H9" s="38">
        <v>543.12903225806451</v>
      </c>
      <c r="I9" s="38">
        <v>504.64516129032256</v>
      </c>
      <c r="J9" s="38">
        <v>475.83870967741933</v>
      </c>
      <c r="K9" s="38">
        <v>324.83870967741933</v>
      </c>
      <c r="L9" s="38">
        <v>118.5</v>
      </c>
      <c r="M9" s="38">
        <v>24.258064516129032</v>
      </c>
      <c r="N9" s="81"/>
    </row>
    <row r="10" spans="1:14">
      <c r="A10" s="69">
        <v>8</v>
      </c>
      <c r="B10" s="38">
        <v>264</v>
      </c>
      <c r="C10" s="38">
        <v>387.35714285714283</v>
      </c>
      <c r="D10" s="38">
        <v>557.16129032258061</v>
      </c>
      <c r="E10" s="38">
        <v>681.33333333333337</v>
      </c>
      <c r="F10" s="38">
        <v>676</v>
      </c>
      <c r="G10" s="38">
        <v>749.86666666666667</v>
      </c>
      <c r="H10" s="38">
        <v>667.12903225806451</v>
      </c>
      <c r="I10" s="38">
        <v>669.32258064516134</v>
      </c>
      <c r="J10" s="38">
        <v>673.38709677419354</v>
      </c>
      <c r="K10" s="38">
        <v>580.64516129032256</v>
      </c>
      <c r="L10" s="38">
        <v>496</v>
      </c>
      <c r="M10" s="38">
        <v>347.80645161290323</v>
      </c>
      <c r="N10" s="82"/>
    </row>
    <row r="11" spans="1:14">
      <c r="A11" s="69">
        <v>9</v>
      </c>
      <c r="B11" s="38">
        <v>518.41935483870964</v>
      </c>
      <c r="C11" s="38">
        <v>545.35714285714289</v>
      </c>
      <c r="D11" s="38">
        <v>691.70967741935488</v>
      </c>
      <c r="E11" s="38">
        <v>797.86666666666667</v>
      </c>
      <c r="F11" s="38">
        <v>735.74193548387098</v>
      </c>
      <c r="G11" s="38">
        <v>812.16666666666663</v>
      </c>
      <c r="H11" s="38">
        <v>731.77419354838707</v>
      </c>
      <c r="I11" s="38">
        <v>745.93548387096769</v>
      </c>
      <c r="J11" s="38">
        <v>771.41935483870964</v>
      </c>
      <c r="K11" s="38">
        <v>703.64516129032256</v>
      </c>
      <c r="L11" s="38">
        <v>672.5333333333333</v>
      </c>
      <c r="M11" s="38">
        <v>550.80645161290317</v>
      </c>
      <c r="N11" s="82"/>
    </row>
    <row r="12" spans="1:14">
      <c r="A12" s="69">
        <v>10</v>
      </c>
      <c r="B12" s="38">
        <v>655.22580645161293</v>
      </c>
      <c r="C12" s="38">
        <v>628.78571428571433</v>
      </c>
      <c r="D12" s="38">
        <v>737</v>
      </c>
      <c r="E12" s="38">
        <v>846.7</v>
      </c>
      <c r="F12" s="38">
        <v>769.9677419354839</v>
      </c>
      <c r="G12" s="38">
        <v>837.43333333333328</v>
      </c>
      <c r="H12" s="38">
        <v>782.48387096774195</v>
      </c>
      <c r="I12" s="38">
        <v>809.35483870967744</v>
      </c>
      <c r="J12" s="38">
        <v>840.45161290322585</v>
      </c>
      <c r="K12" s="38">
        <v>763.12903225806451</v>
      </c>
      <c r="L12" s="38">
        <v>739.0333333333333</v>
      </c>
      <c r="M12" s="38">
        <v>650</v>
      </c>
      <c r="N12" s="82"/>
    </row>
    <row r="13" spans="1:14">
      <c r="A13" s="69">
        <v>11</v>
      </c>
      <c r="B13" s="38">
        <v>692.29032258064512</v>
      </c>
      <c r="C13" s="38">
        <v>664.60714285714289</v>
      </c>
      <c r="D13" s="38">
        <v>780.35483870967744</v>
      </c>
      <c r="E13" s="38">
        <v>871.16666666666663</v>
      </c>
      <c r="F13" s="38">
        <v>805.9677419354839</v>
      </c>
      <c r="G13" s="38">
        <v>853.83333333333337</v>
      </c>
      <c r="H13" s="38">
        <v>798.35483870967744</v>
      </c>
      <c r="I13" s="38">
        <v>806.87096774193549</v>
      </c>
      <c r="J13" s="38">
        <v>837.90322580645159</v>
      </c>
      <c r="K13" s="38">
        <v>806.70967741935488</v>
      </c>
      <c r="L13" s="38">
        <v>779.3</v>
      </c>
      <c r="M13" s="38">
        <v>690</v>
      </c>
      <c r="N13" s="82"/>
    </row>
    <row r="14" spans="1:14">
      <c r="A14" s="69">
        <v>12</v>
      </c>
      <c r="B14" s="38">
        <v>722.54838709677415</v>
      </c>
      <c r="C14" s="38">
        <v>683.75</v>
      </c>
      <c r="D14" s="38">
        <v>768.19354838709683</v>
      </c>
      <c r="E14" s="38">
        <v>890.3</v>
      </c>
      <c r="F14" s="38">
        <v>829.45161290322585</v>
      </c>
      <c r="G14" s="38">
        <v>859.43333333333328</v>
      </c>
      <c r="H14" s="38">
        <v>806.58064516129036</v>
      </c>
      <c r="I14" s="38">
        <v>828.90322580645159</v>
      </c>
      <c r="J14" s="38">
        <v>845.41935483870964</v>
      </c>
      <c r="K14" s="38">
        <v>776.51612903225805</v>
      </c>
      <c r="L14" s="38">
        <v>775</v>
      </c>
      <c r="M14" s="38">
        <v>682.51612903225805</v>
      </c>
      <c r="N14" s="82"/>
    </row>
    <row r="15" spans="1:14">
      <c r="A15" s="69">
        <v>13</v>
      </c>
      <c r="B15" s="38">
        <v>724.09677419354841</v>
      </c>
      <c r="C15" s="38">
        <v>667.85714285714289</v>
      </c>
      <c r="D15" s="38">
        <v>769.16129032258061</v>
      </c>
      <c r="E15" s="38">
        <v>846.13333333333333</v>
      </c>
      <c r="F15" s="38">
        <v>822.61290322580646</v>
      </c>
      <c r="G15" s="38">
        <v>826.4666666666667</v>
      </c>
      <c r="H15" s="38">
        <v>821.32258064516134</v>
      </c>
      <c r="I15" s="38">
        <v>799.22580645161293</v>
      </c>
      <c r="J15" s="38">
        <v>810.29032258064512</v>
      </c>
      <c r="K15" s="38">
        <v>752.90322580645159</v>
      </c>
      <c r="L15" s="38">
        <v>731.5333333333333</v>
      </c>
      <c r="M15" s="38">
        <v>681.48387096774195</v>
      </c>
      <c r="N15" s="82"/>
    </row>
    <row r="16" spans="1:14">
      <c r="A16" s="69">
        <v>14</v>
      </c>
      <c r="B16" s="38">
        <v>716.58064516129036</v>
      </c>
      <c r="C16" s="38">
        <v>677.10714285714289</v>
      </c>
      <c r="D16" s="38">
        <v>744.12903225806451</v>
      </c>
      <c r="E16" s="38">
        <v>833.76666666666665</v>
      </c>
      <c r="F16" s="38">
        <v>801.67741935483866</v>
      </c>
      <c r="G16" s="38">
        <v>842.2</v>
      </c>
      <c r="H16" s="38">
        <v>801.80645161290317</v>
      </c>
      <c r="I16" s="38">
        <v>784.87096774193549</v>
      </c>
      <c r="J16" s="38">
        <v>771.32258064516134</v>
      </c>
      <c r="K16" s="38">
        <v>756.70967741935488</v>
      </c>
      <c r="L16" s="38">
        <v>668</v>
      </c>
      <c r="M16" s="38">
        <v>661.06451612903231</v>
      </c>
      <c r="N16" s="82"/>
    </row>
    <row r="17" spans="1:14">
      <c r="A17" s="69">
        <v>15</v>
      </c>
      <c r="B17" s="38">
        <v>652.64516129032256</v>
      </c>
      <c r="C17" s="38">
        <v>645.64285714285711</v>
      </c>
      <c r="D17" s="38">
        <v>701.32258064516134</v>
      </c>
      <c r="E17" s="38">
        <v>814.16666666666663</v>
      </c>
      <c r="F17" s="38">
        <v>756.32258064516134</v>
      </c>
      <c r="G17" s="38">
        <v>776.63333333333333</v>
      </c>
      <c r="H17" s="38">
        <v>796.93548387096769</v>
      </c>
      <c r="I17" s="38">
        <v>743.32258064516134</v>
      </c>
      <c r="J17" s="38">
        <v>722.09677419354841</v>
      </c>
      <c r="K17" s="38">
        <v>699.06451612903231</v>
      </c>
      <c r="L17" s="38">
        <v>567.33333333333337</v>
      </c>
      <c r="M17" s="38">
        <v>568.09677419354841</v>
      </c>
      <c r="N17" s="82"/>
    </row>
    <row r="18" spans="1:14">
      <c r="A18" s="69">
        <v>16</v>
      </c>
      <c r="B18" s="38">
        <v>523.32258064516134</v>
      </c>
      <c r="C18" s="38">
        <v>581.07142857142856</v>
      </c>
      <c r="D18" s="38">
        <v>624.19354838709683</v>
      </c>
      <c r="E18" s="38">
        <v>721.76666666666665</v>
      </c>
      <c r="F18" s="38">
        <v>716.54838709677415</v>
      </c>
      <c r="G18" s="38">
        <v>747.5333333333333</v>
      </c>
      <c r="H18" s="38">
        <v>749.29032258064512</v>
      </c>
      <c r="I18" s="38">
        <v>663.41935483870964</v>
      </c>
      <c r="J18" s="38">
        <v>586.74193548387098</v>
      </c>
      <c r="K18" s="38">
        <v>596.45161290322585</v>
      </c>
      <c r="L18" s="38">
        <v>461.36666666666667</v>
      </c>
      <c r="M18" s="38">
        <v>409.22580645161293</v>
      </c>
      <c r="N18" s="82"/>
    </row>
    <row r="19" spans="1:14">
      <c r="A19" s="69">
        <v>17</v>
      </c>
      <c r="B19" s="38">
        <v>240.35483870967741</v>
      </c>
      <c r="C19" s="38">
        <v>426.14285714285717</v>
      </c>
      <c r="D19" s="38">
        <v>510.51612903225805</v>
      </c>
      <c r="E19" s="38">
        <v>653.43333333333328</v>
      </c>
      <c r="F19" s="38">
        <v>642.87096774193549</v>
      </c>
      <c r="G19" s="38">
        <v>670.3</v>
      </c>
      <c r="H19" s="38">
        <v>658.83870967741939</v>
      </c>
      <c r="I19" s="38">
        <v>569.51612903225805</v>
      </c>
      <c r="J19" s="38">
        <v>505.41935483870969</v>
      </c>
      <c r="K19" s="38">
        <v>343.25806451612902</v>
      </c>
      <c r="L19" s="38">
        <v>107.33333333333333</v>
      </c>
      <c r="M19" s="38">
        <v>109.3225806451613</v>
      </c>
      <c r="N19" s="82"/>
    </row>
    <row r="20" spans="1:14">
      <c r="A20" s="69">
        <v>18</v>
      </c>
      <c r="B20" s="38">
        <v>2.935483870967742</v>
      </c>
      <c r="C20" s="38">
        <v>83.857142857142861</v>
      </c>
      <c r="D20" s="38">
        <v>204.83870967741936</v>
      </c>
      <c r="E20" s="38">
        <v>429.06666666666666</v>
      </c>
      <c r="F20" s="38">
        <v>457.06451612903226</v>
      </c>
      <c r="G20" s="38">
        <v>528.06666666666672</v>
      </c>
      <c r="H20" s="38">
        <v>519.06451612903231</v>
      </c>
      <c r="I20" s="38">
        <v>403.45161290322579</v>
      </c>
      <c r="J20" s="38">
        <v>230.2258064516129</v>
      </c>
      <c r="K20" s="38">
        <v>19.225806451612904</v>
      </c>
      <c r="L20" s="38">
        <v>0</v>
      </c>
      <c r="M20" s="38">
        <v>0</v>
      </c>
      <c r="N20" s="82"/>
    </row>
    <row r="21" spans="1:14">
      <c r="A21" s="69">
        <v>19</v>
      </c>
      <c r="B21" s="38">
        <v>0</v>
      </c>
      <c r="C21" s="38">
        <v>0</v>
      </c>
      <c r="D21" s="38">
        <v>0.70967741935483875</v>
      </c>
      <c r="E21" s="38">
        <v>37.06666666666667</v>
      </c>
      <c r="F21" s="38">
        <v>108.35483870967742</v>
      </c>
      <c r="G21" s="38">
        <v>216.96666666666667</v>
      </c>
      <c r="H21" s="38">
        <v>197.12903225806451</v>
      </c>
      <c r="I21" s="38">
        <v>73.612903225806448</v>
      </c>
      <c r="J21" s="38">
        <v>2.2580645161290325</v>
      </c>
      <c r="K21" s="38">
        <v>0</v>
      </c>
      <c r="L21" s="38">
        <v>0</v>
      </c>
      <c r="M21" s="38">
        <v>0</v>
      </c>
      <c r="N21" s="82"/>
    </row>
    <row r="22" spans="1:14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82"/>
    </row>
    <row r="23" spans="1:14" ht="17.45">
      <c r="A23" s="69" t="s">
        <v>95</v>
      </c>
      <c r="B23" s="38">
        <f>SUM(B7:B21)*B4/1000</f>
        <v>177.19299999999998</v>
      </c>
      <c r="C23" s="38">
        <f t="shared" ref="C23:M23" si="0">SUM(C7:C21)*C4/1000</f>
        <v>169.75200000000001</v>
      </c>
      <c r="D23" s="38">
        <f t="shared" si="0"/>
        <v>228.58299999999997</v>
      </c>
      <c r="E23" s="38">
        <f t="shared" si="0"/>
        <v>272.661</v>
      </c>
      <c r="F23" s="38">
        <f t="shared" si="0"/>
        <v>278.517</v>
      </c>
      <c r="G23" s="38">
        <f t="shared" si="0"/>
        <v>294.37400000000002</v>
      </c>
      <c r="H23" s="38">
        <f t="shared" si="0"/>
        <v>284.70800000000003</v>
      </c>
      <c r="I23" s="38">
        <f t="shared" si="0"/>
        <v>257.45516129032256</v>
      </c>
      <c r="J23" s="38">
        <f t="shared" si="0"/>
        <v>252.70199999999994</v>
      </c>
      <c r="K23" s="38">
        <f t="shared" si="0"/>
        <v>221.10399999999998</v>
      </c>
      <c r="L23" s="38">
        <f t="shared" si="0"/>
        <v>183.47799999999998</v>
      </c>
      <c r="M23" s="38">
        <f t="shared" si="0"/>
        <v>166.61199999999997</v>
      </c>
      <c r="N23" s="82"/>
    </row>
    <row r="24" spans="1:14" ht="17.45">
      <c r="A24" s="69" t="s">
        <v>199</v>
      </c>
      <c r="B24" s="38">
        <f>SUM(B23:M23)</f>
        <v>2787.1391612903226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80"/>
    </row>
    <row r="25" spans="1:14" ht="17.45">
      <c r="A25" s="69" t="s">
        <v>200</v>
      </c>
      <c r="B25" s="40">
        <f>B24/365</f>
        <v>7.635997702165267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82"/>
    </row>
    <row r="26" spans="1:14">
      <c r="A26" s="69" t="s">
        <v>90</v>
      </c>
      <c r="B26" s="38">
        <f>COUNTIF(B7:B21,"&gt;0")</f>
        <v>12</v>
      </c>
      <c r="C26" s="38">
        <f t="shared" ref="C26:M26" si="1">COUNTIF(C7:C21,"&gt;0")</f>
        <v>12</v>
      </c>
      <c r="D26" s="38">
        <f t="shared" si="1"/>
        <v>14</v>
      </c>
      <c r="E26" s="38">
        <f t="shared" si="1"/>
        <v>14</v>
      </c>
      <c r="F26" s="38">
        <f t="shared" si="1"/>
        <v>15</v>
      </c>
      <c r="G26" s="38">
        <f t="shared" si="1"/>
        <v>15</v>
      </c>
      <c r="H26" s="38">
        <f t="shared" si="1"/>
        <v>15</v>
      </c>
      <c r="I26" s="38">
        <f t="shared" si="1"/>
        <v>14</v>
      </c>
      <c r="J26" s="38">
        <f t="shared" si="1"/>
        <v>14</v>
      </c>
      <c r="K26" s="38">
        <f t="shared" si="1"/>
        <v>13</v>
      </c>
      <c r="L26" s="38">
        <f t="shared" si="1"/>
        <v>11</v>
      </c>
      <c r="M26" s="38">
        <f t="shared" si="1"/>
        <v>11</v>
      </c>
      <c r="N26" s="80"/>
    </row>
    <row r="27" spans="1:14">
      <c r="A27" s="69" t="s">
        <v>94</v>
      </c>
      <c r="B27" s="2">
        <f>B4*B26</f>
        <v>372</v>
      </c>
      <c r="C27" s="2">
        <f t="shared" ref="C27:M27" si="2">C4*C26</f>
        <v>336</v>
      </c>
      <c r="D27" s="2">
        <f t="shared" si="2"/>
        <v>434</v>
      </c>
      <c r="E27" s="2">
        <f t="shared" si="2"/>
        <v>420</v>
      </c>
      <c r="F27" s="2">
        <f t="shared" si="2"/>
        <v>465</v>
      </c>
      <c r="G27" s="2">
        <f t="shared" si="2"/>
        <v>450</v>
      </c>
      <c r="H27" s="2">
        <f t="shared" si="2"/>
        <v>465</v>
      </c>
      <c r="I27" s="2">
        <f t="shared" si="2"/>
        <v>420</v>
      </c>
      <c r="J27" s="2">
        <f t="shared" si="2"/>
        <v>434</v>
      </c>
      <c r="K27" s="2">
        <f t="shared" si="2"/>
        <v>403</v>
      </c>
      <c r="L27" s="2">
        <f t="shared" si="2"/>
        <v>330</v>
      </c>
      <c r="M27" s="2">
        <f t="shared" si="2"/>
        <v>341</v>
      </c>
      <c r="N27" s="80"/>
    </row>
    <row r="28" spans="1:14">
      <c r="A28" s="69" t="s">
        <v>201</v>
      </c>
      <c r="B28" s="38">
        <f>SUM(B27:M27)</f>
        <v>4870</v>
      </c>
    </row>
    <row r="29" spans="1:14">
      <c r="A29" s="69" t="s">
        <v>93</v>
      </c>
      <c r="B29" s="40">
        <f>B28/8760</f>
        <v>0.55593607305936077</v>
      </c>
    </row>
    <row r="30" spans="1:14">
      <c r="A30" s="69"/>
      <c r="B30" s="38"/>
    </row>
    <row r="31" spans="1:14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</row>
    <row r="33" spans="1:13">
      <c r="B33" s="83" t="s">
        <v>202</v>
      </c>
      <c r="M33" s="80"/>
    </row>
    <row r="34" spans="1:13">
      <c r="A34" s="110"/>
      <c r="B34" s="110"/>
      <c r="C34" s="110"/>
      <c r="D34" s="110"/>
      <c r="E34" s="110"/>
      <c r="G34" s="110"/>
      <c r="H34" s="110"/>
      <c r="I34" s="110"/>
      <c r="J34" s="110"/>
      <c r="K34" s="110"/>
      <c r="L34" s="110"/>
      <c r="M34" s="80"/>
    </row>
    <row r="35" spans="1:13">
      <c r="A35" s="69" t="s">
        <v>198</v>
      </c>
      <c r="B35" s="68">
        <v>31</v>
      </c>
      <c r="C35" s="68">
        <v>28</v>
      </c>
      <c r="D35" s="68">
        <v>31</v>
      </c>
      <c r="E35" s="68">
        <v>30</v>
      </c>
      <c r="F35" s="68">
        <v>31</v>
      </c>
      <c r="G35" s="68">
        <v>30</v>
      </c>
      <c r="H35" s="68">
        <v>31</v>
      </c>
      <c r="I35" s="68">
        <v>30</v>
      </c>
      <c r="J35" s="68">
        <v>31</v>
      </c>
      <c r="K35" s="68">
        <v>31</v>
      </c>
      <c r="L35" s="68">
        <v>30</v>
      </c>
      <c r="M35" s="68">
        <v>31</v>
      </c>
    </row>
    <row r="36" spans="1:13">
      <c r="A36" s="69"/>
      <c r="B36" s="68" t="s">
        <v>88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</row>
    <row r="37" spans="1:13">
      <c r="A37" s="69" t="s">
        <v>89</v>
      </c>
      <c r="B37" s="68">
        <v>1</v>
      </c>
      <c r="C37" s="68">
        <v>2</v>
      </c>
      <c r="D37" s="68">
        <v>3</v>
      </c>
      <c r="E37" s="68">
        <v>4</v>
      </c>
      <c r="F37" s="68">
        <v>5</v>
      </c>
      <c r="G37" s="68">
        <v>6</v>
      </c>
      <c r="H37" s="68">
        <v>7</v>
      </c>
      <c r="I37" s="68">
        <v>8</v>
      </c>
      <c r="J37" s="68">
        <v>9</v>
      </c>
      <c r="K37" s="68">
        <v>10</v>
      </c>
      <c r="L37" s="68">
        <v>11</v>
      </c>
      <c r="M37" s="68">
        <v>12</v>
      </c>
    </row>
    <row r="38" spans="1:13">
      <c r="A38" s="69">
        <v>5</v>
      </c>
      <c r="B38" s="41">
        <v>0</v>
      </c>
      <c r="C38" s="41">
        <v>0</v>
      </c>
      <c r="D38" s="41">
        <v>0</v>
      </c>
      <c r="E38" s="41">
        <v>0</v>
      </c>
      <c r="F38" s="41">
        <v>63</v>
      </c>
      <c r="G38" s="41">
        <v>87</v>
      </c>
      <c r="H38" s="41">
        <v>50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>
      <c r="A39" s="69">
        <v>6</v>
      </c>
      <c r="B39" s="41">
        <v>0</v>
      </c>
      <c r="C39" s="41">
        <v>0</v>
      </c>
      <c r="D39" s="41">
        <v>72</v>
      </c>
      <c r="E39" s="41">
        <v>376</v>
      </c>
      <c r="F39" s="38">
        <v>537</v>
      </c>
      <c r="G39" s="38">
        <v>550</v>
      </c>
      <c r="H39" s="38">
        <v>499</v>
      </c>
      <c r="I39" s="41">
        <v>330</v>
      </c>
      <c r="J39" s="41">
        <v>173</v>
      </c>
      <c r="K39" s="41">
        <v>51</v>
      </c>
      <c r="L39" s="41">
        <v>0</v>
      </c>
      <c r="M39" s="41">
        <v>0</v>
      </c>
    </row>
    <row r="40" spans="1:13">
      <c r="A40" s="69">
        <v>7</v>
      </c>
      <c r="B40" s="38">
        <v>16</v>
      </c>
      <c r="C40" s="38">
        <v>250</v>
      </c>
      <c r="D40" s="38">
        <v>598</v>
      </c>
      <c r="E40" s="38">
        <v>744</v>
      </c>
      <c r="F40" s="38">
        <v>782</v>
      </c>
      <c r="G40" s="38">
        <v>778</v>
      </c>
      <c r="H40" s="38">
        <v>749</v>
      </c>
      <c r="I40" s="38">
        <v>716</v>
      </c>
      <c r="J40" s="38">
        <v>681</v>
      </c>
      <c r="K40" s="38">
        <v>578</v>
      </c>
      <c r="L40" s="38">
        <v>329</v>
      </c>
      <c r="M40" s="38">
        <v>79</v>
      </c>
    </row>
    <row r="41" spans="1:13">
      <c r="A41" s="69">
        <v>8</v>
      </c>
      <c r="B41" s="38">
        <v>526</v>
      </c>
      <c r="C41" s="38">
        <v>750</v>
      </c>
      <c r="D41" s="38">
        <v>832</v>
      </c>
      <c r="E41" s="38">
        <v>876</v>
      </c>
      <c r="F41" s="38">
        <v>886</v>
      </c>
      <c r="G41" s="38">
        <v>879</v>
      </c>
      <c r="H41" s="38">
        <v>857</v>
      </c>
      <c r="I41" s="38">
        <v>848</v>
      </c>
      <c r="J41" s="38">
        <v>857</v>
      </c>
      <c r="K41" s="38">
        <v>821</v>
      </c>
      <c r="L41" s="38">
        <v>768</v>
      </c>
      <c r="M41" s="38">
        <v>600</v>
      </c>
    </row>
    <row r="42" spans="1:13">
      <c r="A42" s="69">
        <v>9</v>
      </c>
      <c r="B42" s="38">
        <v>812</v>
      </c>
      <c r="C42" s="38">
        <v>906</v>
      </c>
      <c r="D42" s="38">
        <v>936</v>
      </c>
      <c r="E42" s="38">
        <v>948</v>
      </c>
      <c r="F42" s="38">
        <v>925</v>
      </c>
      <c r="G42" s="38">
        <v>932</v>
      </c>
      <c r="H42" s="38">
        <v>916</v>
      </c>
      <c r="I42" s="38">
        <v>917</v>
      </c>
      <c r="J42" s="38">
        <v>930</v>
      </c>
      <c r="K42" s="38">
        <v>916</v>
      </c>
      <c r="L42" s="38">
        <v>906</v>
      </c>
      <c r="M42" s="38">
        <v>829</v>
      </c>
    </row>
    <row r="43" spans="1:13">
      <c r="A43" s="69">
        <v>10</v>
      </c>
      <c r="B43" s="38">
        <v>923</v>
      </c>
      <c r="C43" s="38">
        <v>965</v>
      </c>
      <c r="D43" s="38">
        <v>995</v>
      </c>
      <c r="E43" s="38">
        <v>989</v>
      </c>
      <c r="F43" s="38">
        <v>968</v>
      </c>
      <c r="G43" s="38">
        <v>964</v>
      </c>
      <c r="H43" s="38">
        <v>948</v>
      </c>
      <c r="I43" s="38">
        <v>959</v>
      </c>
      <c r="J43" s="38">
        <v>975</v>
      </c>
      <c r="K43" s="38">
        <v>966</v>
      </c>
      <c r="L43" s="38">
        <v>969</v>
      </c>
      <c r="M43" s="38">
        <v>932</v>
      </c>
    </row>
    <row r="44" spans="1:13">
      <c r="A44" s="69">
        <v>11</v>
      </c>
      <c r="B44" s="38">
        <v>977</v>
      </c>
      <c r="C44" s="38">
        <v>1008</v>
      </c>
      <c r="D44" s="38">
        <v>1021</v>
      </c>
      <c r="E44" s="38">
        <v>1007</v>
      </c>
      <c r="F44" s="38">
        <v>992</v>
      </c>
      <c r="G44" s="38">
        <v>980</v>
      </c>
      <c r="H44" s="38">
        <v>969</v>
      </c>
      <c r="I44" s="38">
        <v>980</v>
      </c>
      <c r="J44" s="38">
        <v>1000</v>
      </c>
      <c r="K44" s="38">
        <v>990</v>
      </c>
      <c r="L44" s="38">
        <v>997</v>
      </c>
      <c r="M44" s="38">
        <v>977</v>
      </c>
    </row>
    <row r="45" spans="1:13">
      <c r="A45" s="69">
        <v>12</v>
      </c>
      <c r="B45" s="38">
        <v>992</v>
      </c>
      <c r="C45" s="38">
        <v>1017</v>
      </c>
      <c r="D45" s="38">
        <v>1031</v>
      </c>
      <c r="E45" s="38">
        <v>1021</v>
      </c>
      <c r="F45" s="38">
        <v>994</v>
      </c>
      <c r="G45" s="38">
        <v>987</v>
      </c>
      <c r="H45" s="38">
        <v>979</v>
      </c>
      <c r="I45" s="38">
        <v>995</v>
      </c>
      <c r="J45" s="38">
        <v>1008</v>
      </c>
      <c r="K45" s="38">
        <v>1001</v>
      </c>
      <c r="L45" s="38">
        <v>1004</v>
      </c>
      <c r="M45" s="38">
        <v>987</v>
      </c>
    </row>
    <row r="46" spans="1:13">
      <c r="A46" s="69">
        <v>13</v>
      </c>
      <c r="B46" s="38">
        <v>987</v>
      </c>
      <c r="C46" s="38">
        <v>1029</v>
      </c>
      <c r="D46" s="38">
        <v>1031</v>
      </c>
      <c r="E46" s="38">
        <v>1020</v>
      </c>
      <c r="F46" s="38">
        <v>986</v>
      </c>
      <c r="G46" s="38">
        <v>990</v>
      </c>
      <c r="H46" s="38">
        <v>981</v>
      </c>
      <c r="I46" s="38">
        <v>1000</v>
      </c>
      <c r="J46" s="38">
        <v>1004</v>
      </c>
      <c r="K46" s="38">
        <v>998</v>
      </c>
      <c r="L46" s="38">
        <v>996</v>
      </c>
      <c r="M46" s="38">
        <v>986</v>
      </c>
    </row>
    <row r="47" spans="1:13">
      <c r="A47" s="69">
        <v>14</v>
      </c>
      <c r="B47" s="38">
        <v>970</v>
      </c>
      <c r="C47" s="38">
        <v>1005</v>
      </c>
      <c r="D47" s="38">
        <v>1018</v>
      </c>
      <c r="E47" s="38">
        <v>1006</v>
      </c>
      <c r="F47" s="38">
        <v>979</v>
      </c>
      <c r="G47" s="38">
        <v>976</v>
      </c>
      <c r="H47" s="38">
        <v>971</v>
      </c>
      <c r="I47" s="38">
        <v>985</v>
      </c>
      <c r="J47" s="38">
        <v>984</v>
      </c>
      <c r="K47" s="38">
        <v>970</v>
      </c>
      <c r="L47" s="38">
        <v>972</v>
      </c>
      <c r="M47" s="38">
        <v>960</v>
      </c>
    </row>
    <row r="48" spans="1:13">
      <c r="A48" s="69">
        <v>15</v>
      </c>
      <c r="B48" s="38">
        <v>914</v>
      </c>
      <c r="C48" s="38">
        <v>979</v>
      </c>
      <c r="D48" s="38">
        <v>987</v>
      </c>
      <c r="E48" s="38">
        <v>978</v>
      </c>
      <c r="F48" s="38">
        <v>952</v>
      </c>
      <c r="G48" s="38">
        <v>955</v>
      </c>
      <c r="H48" s="38">
        <v>951</v>
      </c>
      <c r="I48" s="38">
        <v>959</v>
      </c>
      <c r="J48" s="38">
        <v>954</v>
      </c>
      <c r="K48" s="38">
        <v>933</v>
      </c>
      <c r="L48" s="38">
        <v>905</v>
      </c>
      <c r="M48" s="38">
        <v>893</v>
      </c>
    </row>
    <row r="49" spans="1:13">
      <c r="A49" s="69">
        <v>16</v>
      </c>
      <c r="B49" s="38">
        <v>815</v>
      </c>
      <c r="C49" s="38">
        <v>913</v>
      </c>
      <c r="D49" s="38">
        <v>928</v>
      </c>
      <c r="E49" s="38">
        <v>930</v>
      </c>
      <c r="F49" s="38">
        <v>908</v>
      </c>
      <c r="G49" s="38">
        <v>917</v>
      </c>
      <c r="H49" s="38">
        <v>914</v>
      </c>
      <c r="I49" s="38">
        <v>922</v>
      </c>
      <c r="J49" s="38">
        <v>896</v>
      </c>
      <c r="K49" s="38">
        <v>845</v>
      </c>
      <c r="L49" s="38">
        <v>763</v>
      </c>
      <c r="M49" s="38">
        <v>737</v>
      </c>
    </row>
    <row r="50" spans="1:13">
      <c r="A50" s="69">
        <v>17</v>
      </c>
      <c r="B50" s="38">
        <v>560</v>
      </c>
      <c r="C50" s="38">
        <v>752</v>
      </c>
      <c r="D50" s="38">
        <v>805</v>
      </c>
      <c r="E50" s="38">
        <v>835</v>
      </c>
      <c r="F50" s="38">
        <v>830</v>
      </c>
      <c r="G50" s="38">
        <v>847</v>
      </c>
      <c r="H50" s="38">
        <v>849</v>
      </c>
      <c r="I50" s="38">
        <v>839</v>
      </c>
      <c r="J50" s="38">
        <v>774</v>
      </c>
      <c r="K50" s="38">
        <v>636</v>
      </c>
      <c r="L50" s="38">
        <v>314</v>
      </c>
      <c r="M50" s="38">
        <v>256</v>
      </c>
    </row>
    <row r="51" spans="1:13">
      <c r="A51" s="69">
        <v>18</v>
      </c>
      <c r="B51" s="38">
        <v>46</v>
      </c>
      <c r="C51" s="38">
        <v>257</v>
      </c>
      <c r="D51" s="38">
        <v>475</v>
      </c>
      <c r="E51" s="38">
        <v>618</v>
      </c>
      <c r="F51" s="38">
        <v>680</v>
      </c>
      <c r="G51" s="38">
        <v>718</v>
      </c>
      <c r="H51" s="38">
        <v>720</v>
      </c>
      <c r="I51" s="38">
        <v>649</v>
      </c>
      <c r="J51" s="38">
        <v>447</v>
      </c>
      <c r="K51" s="38">
        <v>102</v>
      </c>
      <c r="L51" s="38">
        <v>0</v>
      </c>
      <c r="M51" s="38">
        <v>0</v>
      </c>
    </row>
    <row r="52" spans="1:13">
      <c r="A52" s="69">
        <v>19</v>
      </c>
      <c r="B52" s="38">
        <v>0</v>
      </c>
      <c r="C52" s="38">
        <v>0</v>
      </c>
      <c r="D52" s="38">
        <v>8</v>
      </c>
      <c r="E52" s="38">
        <v>114</v>
      </c>
      <c r="F52" s="38">
        <v>257</v>
      </c>
      <c r="G52" s="38">
        <v>398</v>
      </c>
      <c r="H52" s="38">
        <v>373</v>
      </c>
      <c r="I52" s="38">
        <v>206</v>
      </c>
      <c r="J52" s="38">
        <v>27</v>
      </c>
      <c r="K52" s="38">
        <v>0</v>
      </c>
      <c r="L52" s="38">
        <v>0</v>
      </c>
      <c r="M52" s="38">
        <v>0</v>
      </c>
    </row>
    <row r="53" spans="1:13">
      <c r="A53" s="4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>
      <c r="A54" s="58" t="s">
        <v>203</v>
      </c>
      <c r="B54" s="38">
        <f>SUM(B38:B52)*B35/1000</f>
        <v>264.678</v>
      </c>
      <c r="C54" s="38">
        <f t="shared" ref="C54:M54" si="3">SUM(C38:C52)*C35/1000</f>
        <v>275.26799999999997</v>
      </c>
      <c r="D54" s="38">
        <f t="shared" si="3"/>
        <v>332.84699999999998</v>
      </c>
      <c r="E54" s="38">
        <f t="shared" si="3"/>
        <v>343.86</v>
      </c>
      <c r="F54" s="38">
        <f t="shared" si="3"/>
        <v>363.90899999999999</v>
      </c>
      <c r="G54" s="38">
        <f t="shared" si="3"/>
        <v>358.74</v>
      </c>
      <c r="H54" s="38">
        <f t="shared" si="3"/>
        <v>363.50599999999997</v>
      </c>
      <c r="I54" s="38">
        <f t="shared" si="3"/>
        <v>339.15</v>
      </c>
      <c r="J54" s="38">
        <f t="shared" si="3"/>
        <v>332.01</v>
      </c>
      <c r="K54" s="38">
        <f t="shared" si="3"/>
        <v>304.017</v>
      </c>
      <c r="L54" s="38">
        <f t="shared" si="3"/>
        <v>267.69</v>
      </c>
      <c r="M54" s="38">
        <f t="shared" si="3"/>
        <v>255.316</v>
      </c>
    </row>
    <row r="55" spans="1:13">
      <c r="A55" s="69" t="s">
        <v>204</v>
      </c>
      <c r="B55" s="38">
        <f>SUM(B54:M54)</f>
        <v>3800.9909999999995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>
      <c r="A56" s="69" t="s">
        <v>205</v>
      </c>
      <c r="B56" s="40">
        <f>B55/365</f>
        <v>10.413673972602739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80"/>
    </row>
    <row r="57" spans="1:13">
      <c r="A57" s="69"/>
      <c r="B57" s="38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80"/>
    </row>
    <row r="58" spans="1:13"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82"/>
    </row>
    <row r="59" spans="1:13">
      <c r="A59" s="69"/>
      <c r="B59" s="40"/>
      <c r="C59" s="38"/>
      <c r="D59" s="38"/>
      <c r="E59" s="38"/>
      <c r="F59" s="38"/>
      <c r="G59" s="38"/>
      <c r="H59" s="38"/>
      <c r="I59" s="38"/>
      <c r="J59" s="38"/>
      <c r="K59" s="38"/>
      <c r="L59" s="38"/>
    </row>
  </sheetData>
  <phoneticPr fontId="5" type="noConversion"/>
  <conditionalFormatting sqref="B7:B21">
    <cfRule type="cellIs" dxfId="0" priority="1" stopIfTrue="1" operator="equal">
      <formula>"max($B$7:$B$21)"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43"/>
  <sheetViews>
    <sheetView zoomScale="75" workbookViewId="0">
      <selection activeCell="R21" sqref="R21"/>
    </sheetView>
  </sheetViews>
  <sheetFormatPr defaultRowHeight="15.6"/>
  <cols>
    <col min="1" max="1" width="25.5546875" bestFit="1" customWidth="1"/>
  </cols>
  <sheetData>
    <row r="1" spans="1:13" ht="17.45">
      <c r="B1" s="58" t="s">
        <v>206</v>
      </c>
      <c r="C1" s="58"/>
    </row>
    <row r="3" spans="1:13">
      <c r="A3" s="131" t="s">
        <v>197</v>
      </c>
      <c r="B3" s="2">
        <v>22</v>
      </c>
      <c r="C3" s="2">
        <v>53</v>
      </c>
      <c r="D3" s="2">
        <v>82</v>
      </c>
      <c r="E3" s="2">
        <v>112</v>
      </c>
      <c r="F3" s="2">
        <v>142</v>
      </c>
      <c r="G3" s="2">
        <v>173</v>
      </c>
      <c r="H3" s="2">
        <v>203</v>
      </c>
      <c r="I3" s="2">
        <v>234</v>
      </c>
      <c r="J3" s="2">
        <v>264</v>
      </c>
      <c r="K3" s="2">
        <v>295</v>
      </c>
      <c r="L3" s="2">
        <v>326</v>
      </c>
      <c r="M3" s="2">
        <v>356</v>
      </c>
    </row>
    <row r="4" spans="1:13">
      <c r="A4" s="131" t="s">
        <v>198</v>
      </c>
      <c r="B4" s="41">
        <v>31</v>
      </c>
      <c r="C4" s="41">
        <v>28</v>
      </c>
      <c r="D4" s="41">
        <v>31</v>
      </c>
      <c r="E4" s="41">
        <v>30</v>
      </c>
      <c r="F4" s="41">
        <v>31</v>
      </c>
      <c r="G4" s="41">
        <v>30</v>
      </c>
      <c r="H4" s="41">
        <v>31</v>
      </c>
      <c r="I4" s="41">
        <v>30</v>
      </c>
      <c r="J4" s="41">
        <v>31</v>
      </c>
      <c r="K4" s="41">
        <v>31</v>
      </c>
      <c r="L4" s="41">
        <v>30</v>
      </c>
      <c r="M4" s="41">
        <v>31</v>
      </c>
    </row>
    <row r="5" spans="1:13">
      <c r="A5" s="131"/>
      <c r="B5" s="41" t="s">
        <v>88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</row>
    <row r="6" spans="1:13">
      <c r="A6" s="41" t="s">
        <v>89</v>
      </c>
      <c r="B6" s="41">
        <v>1</v>
      </c>
      <c r="C6" s="41">
        <v>2</v>
      </c>
      <c r="D6" s="41">
        <v>3</v>
      </c>
      <c r="E6" s="41">
        <v>4</v>
      </c>
      <c r="F6" s="41">
        <v>5</v>
      </c>
      <c r="G6" s="41">
        <v>6</v>
      </c>
      <c r="H6" s="41">
        <v>7</v>
      </c>
      <c r="I6" s="41">
        <v>8</v>
      </c>
      <c r="J6" s="41">
        <v>9</v>
      </c>
      <c r="K6" s="41">
        <v>10</v>
      </c>
      <c r="L6" s="41">
        <v>11</v>
      </c>
      <c r="M6" s="41">
        <v>12</v>
      </c>
    </row>
    <row r="7" spans="1:13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>
        <v>6</v>
      </c>
      <c r="B8" s="7"/>
      <c r="C8" s="7"/>
      <c r="D8" s="7"/>
      <c r="E8" s="7"/>
      <c r="F8" s="7">
        <v>375.08800000000002</v>
      </c>
      <c r="G8" s="7">
        <v>412.91200000000003</v>
      </c>
      <c r="H8" s="7">
        <v>356.17599999999999</v>
      </c>
      <c r="I8" s="7"/>
      <c r="J8" s="7"/>
      <c r="K8" s="7"/>
      <c r="L8" s="7"/>
      <c r="M8" s="7"/>
    </row>
    <row r="9" spans="1:13">
      <c r="A9" s="2">
        <v>7</v>
      </c>
      <c r="B9" s="7"/>
      <c r="C9" s="7"/>
      <c r="D9" s="7">
        <v>583.12</v>
      </c>
      <c r="E9" s="7">
        <v>649.31200000000001</v>
      </c>
      <c r="F9" s="7">
        <v>665.072</v>
      </c>
      <c r="G9" s="7">
        <v>661.92</v>
      </c>
      <c r="H9" s="7">
        <v>639.85599999999999</v>
      </c>
      <c r="I9" s="7">
        <v>598.88</v>
      </c>
      <c r="J9" s="7">
        <v>513.77600000000007</v>
      </c>
      <c r="K9" s="7"/>
      <c r="L9" s="7"/>
      <c r="M9" s="7"/>
    </row>
    <row r="10" spans="1:13">
      <c r="A10" s="2">
        <v>8</v>
      </c>
      <c r="B10" s="7">
        <v>639.85599999999999</v>
      </c>
      <c r="C10" s="7">
        <v>778.54399999999998</v>
      </c>
      <c r="D10" s="7">
        <v>819.52</v>
      </c>
      <c r="E10" s="7">
        <v>803.76</v>
      </c>
      <c r="F10" s="7">
        <v>788</v>
      </c>
      <c r="G10" s="7">
        <v>772.24</v>
      </c>
      <c r="H10" s="7">
        <v>759.63200000000006</v>
      </c>
      <c r="I10" s="7">
        <v>756.48</v>
      </c>
      <c r="J10" s="7">
        <v>756.48</v>
      </c>
      <c r="K10" s="7">
        <v>721.80799999999999</v>
      </c>
      <c r="L10" s="7">
        <v>617.79200000000003</v>
      </c>
      <c r="M10" s="7">
        <v>554.75200000000007</v>
      </c>
    </row>
    <row r="11" spans="1:13">
      <c r="A11" s="2">
        <v>9</v>
      </c>
      <c r="B11" s="7">
        <v>847.88800000000003</v>
      </c>
      <c r="C11" s="7">
        <v>907.77600000000007</v>
      </c>
      <c r="D11" s="7">
        <v>914.08</v>
      </c>
      <c r="E11" s="7">
        <v>876.25600000000009</v>
      </c>
      <c r="F11" s="7">
        <v>847.88800000000003</v>
      </c>
      <c r="G11" s="7">
        <v>832.12800000000004</v>
      </c>
      <c r="H11" s="7">
        <v>822.67200000000003</v>
      </c>
      <c r="I11" s="7">
        <v>828.976</v>
      </c>
      <c r="J11" s="7">
        <v>857.34400000000005</v>
      </c>
      <c r="K11" s="7">
        <v>860.49599999999998</v>
      </c>
      <c r="L11" s="7">
        <v>828.976</v>
      </c>
      <c r="M11" s="7">
        <v>810.06400000000008</v>
      </c>
    </row>
    <row r="12" spans="1:13">
      <c r="A12" s="2">
        <v>10</v>
      </c>
      <c r="B12" s="7">
        <v>929.84</v>
      </c>
      <c r="C12" s="7">
        <v>964.51200000000006</v>
      </c>
      <c r="D12" s="7">
        <v>958.20800000000008</v>
      </c>
      <c r="E12" s="7">
        <v>914.08</v>
      </c>
      <c r="F12" s="7">
        <v>882.56</v>
      </c>
      <c r="G12" s="7">
        <v>863.64800000000002</v>
      </c>
      <c r="H12" s="7">
        <v>854.19200000000001</v>
      </c>
      <c r="I12" s="7">
        <v>869.952</v>
      </c>
      <c r="J12" s="7">
        <v>904.62400000000002</v>
      </c>
      <c r="K12" s="7">
        <v>923.53600000000006</v>
      </c>
      <c r="L12" s="7">
        <v>910.928</v>
      </c>
      <c r="M12" s="7">
        <v>907.77600000000007</v>
      </c>
    </row>
    <row r="13" spans="1:13">
      <c r="A13" s="2">
        <v>11</v>
      </c>
      <c r="B13" s="7">
        <v>964.51200000000006</v>
      </c>
      <c r="C13" s="7">
        <v>992.88</v>
      </c>
      <c r="D13" s="7">
        <v>980.27200000000005</v>
      </c>
      <c r="E13" s="7">
        <v>929.84</v>
      </c>
      <c r="F13" s="7">
        <v>898.32</v>
      </c>
      <c r="G13" s="7">
        <v>879.40800000000002</v>
      </c>
      <c r="H13" s="7">
        <v>873.10400000000004</v>
      </c>
      <c r="I13" s="7">
        <v>888.86400000000003</v>
      </c>
      <c r="J13" s="7">
        <v>926.68799999999999</v>
      </c>
      <c r="K13" s="7">
        <v>951.904</v>
      </c>
      <c r="L13" s="7">
        <v>948.75200000000007</v>
      </c>
      <c r="M13" s="7">
        <v>948.75200000000007</v>
      </c>
    </row>
    <row r="14" spans="1:13">
      <c r="A14" s="2">
        <v>12</v>
      </c>
      <c r="B14" s="7">
        <v>977.12</v>
      </c>
      <c r="C14" s="7">
        <v>999.18400000000008</v>
      </c>
      <c r="D14" s="7">
        <v>986.57600000000002</v>
      </c>
      <c r="E14" s="7">
        <v>936.14400000000001</v>
      </c>
      <c r="F14" s="7">
        <v>901.47200000000009</v>
      </c>
      <c r="G14" s="7">
        <v>882.56</v>
      </c>
      <c r="H14" s="7">
        <v>879.40800000000002</v>
      </c>
      <c r="I14" s="7">
        <v>895.16800000000001</v>
      </c>
      <c r="J14" s="7">
        <v>932.99200000000008</v>
      </c>
      <c r="K14" s="7">
        <v>958.20800000000008</v>
      </c>
      <c r="L14" s="7">
        <v>958.20800000000008</v>
      </c>
      <c r="M14" s="7">
        <v>958.20800000000008</v>
      </c>
    </row>
    <row r="15" spans="1:13">
      <c r="A15" s="2">
        <v>13</v>
      </c>
      <c r="B15" s="7">
        <v>964.51200000000006</v>
      </c>
      <c r="C15" s="7">
        <v>992.88</v>
      </c>
      <c r="D15" s="7">
        <v>980.27200000000005</v>
      </c>
      <c r="E15" s="7">
        <v>929.84</v>
      </c>
      <c r="F15" s="7">
        <v>898.32</v>
      </c>
      <c r="G15" s="7">
        <v>879.40800000000002</v>
      </c>
      <c r="H15" s="7">
        <v>873.10400000000004</v>
      </c>
      <c r="I15" s="7">
        <v>888.86400000000003</v>
      </c>
      <c r="J15" s="7">
        <v>926.68799999999999</v>
      </c>
      <c r="K15" s="7">
        <v>951.904</v>
      </c>
      <c r="L15" s="7">
        <v>948.75200000000007</v>
      </c>
      <c r="M15" s="7">
        <v>948.75200000000007</v>
      </c>
    </row>
    <row r="16" spans="1:13">
      <c r="A16" s="2">
        <v>14</v>
      </c>
      <c r="B16" s="7">
        <v>929.84</v>
      </c>
      <c r="C16" s="7">
        <v>964.51200000000006</v>
      </c>
      <c r="D16" s="7">
        <v>958.20800000000008</v>
      </c>
      <c r="E16" s="7">
        <v>914.08</v>
      </c>
      <c r="F16" s="7">
        <v>882.56</v>
      </c>
      <c r="G16" s="7">
        <v>863.64800000000002</v>
      </c>
      <c r="H16" s="7">
        <v>854.19200000000001</v>
      </c>
      <c r="I16" s="7">
        <v>869.952</v>
      </c>
      <c r="J16" s="7">
        <v>904.62400000000002</v>
      </c>
      <c r="K16" s="7">
        <v>923.53600000000006</v>
      </c>
      <c r="L16" s="7">
        <v>910.928</v>
      </c>
      <c r="M16" s="7">
        <v>907.77600000000007</v>
      </c>
    </row>
    <row r="17" spans="1:14">
      <c r="A17" s="2">
        <v>15</v>
      </c>
      <c r="B17" s="7">
        <v>847.88800000000003</v>
      </c>
      <c r="C17" s="7">
        <v>907.77600000000007</v>
      </c>
      <c r="D17" s="7">
        <v>914.08</v>
      </c>
      <c r="E17" s="7">
        <v>876.25600000000009</v>
      </c>
      <c r="F17" s="7">
        <v>847.88800000000003</v>
      </c>
      <c r="G17" s="7">
        <v>832.12800000000004</v>
      </c>
      <c r="H17" s="7">
        <v>822.67200000000003</v>
      </c>
      <c r="I17" s="7">
        <v>828.976</v>
      </c>
      <c r="J17" s="7">
        <v>857.34400000000005</v>
      </c>
      <c r="K17" s="7">
        <v>860.49599999999998</v>
      </c>
      <c r="L17" s="7">
        <v>828.976</v>
      </c>
      <c r="M17" s="7">
        <v>810.06400000000008</v>
      </c>
    </row>
    <row r="18" spans="1:14">
      <c r="A18" s="2">
        <v>16</v>
      </c>
      <c r="B18" s="7">
        <v>639.85599999999999</v>
      </c>
      <c r="C18" s="7">
        <v>778.54399999999998</v>
      </c>
      <c r="D18" s="7">
        <v>819.52</v>
      </c>
      <c r="E18" s="7">
        <v>803.76</v>
      </c>
      <c r="F18" s="7">
        <v>788</v>
      </c>
      <c r="G18" s="7">
        <v>772.24</v>
      </c>
      <c r="H18" s="7">
        <v>759.63200000000006</v>
      </c>
      <c r="I18" s="7">
        <v>756.48</v>
      </c>
      <c r="J18" s="7">
        <v>756.48</v>
      </c>
      <c r="K18" s="7">
        <v>721.80799999999999</v>
      </c>
      <c r="L18" s="7">
        <v>617.79200000000003</v>
      </c>
      <c r="M18" s="7">
        <v>554.75200000000007</v>
      </c>
    </row>
    <row r="19" spans="1:14">
      <c r="A19" s="2">
        <v>17</v>
      </c>
      <c r="B19" s="7"/>
      <c r="C19" s="7"/>
      <c r="D19" s="7">
        <v>583.12</v>
      </c>
      <c r="E19" s="7">
        <v>649.31200000000001</v>
      </c>
      <c r="F19" s="7">
        <v>665.072</v>
      </c>
      <c r="G19" s="7">
        <v>661.92</v>
      </c>
      <c r="H19" s="7">
        <v>639.85599999999999</v>
      </c>
      <c r="I19" s="7">
        <v>598.88</v>
      </c>
      <c r="J19" s="7">
        <v>513.77600000000007</v>
      </c>
      <c r="K19" s="7"/>
      <c r="L19" s="7"/>
      <c r="M19" s="7"/>
    </row>
    <row r="20" spans="1:14">
      <c r="A20" s="2">
        <v>18</v>
      </c>
      <c r="B20" s="7"/>
      <c r="C20" s="7"/>
      <c r="D20" s="7"/>
      <c r="E20" s="7"/>
      <c r="F20" s="7">
        <v>375.08800000000002</v>
      </c>
      <c r="G20" s="7">
        <v>412.91200000000003</v>
      </c>
      <c r="H20" s="7">
        <v>356.17599999999999</v>
      </c>
      <c r="I20" s="7"/>
      <c r="J20" s="7"/>
      <c r="K20" s="7"/>
      <c r="L20" s="7"/>
      <c r="M20" s="7"/>
    </row>
    <row r="21" spans="1:14">
      <c r="A21" s="2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4" ht="17.45">
      <c r="A23" s="69" t="s">
        <v>95</v>
      </c>
      <c r="B23" s="38">
        <f>SUM(B7:B21)*B4/1000</f>
        <v>239.980672</v>
      </c>
      <c r="C23" s="38">
        <f t="shared" ref="C23:M23" si="0">SUM(C7:C21)*C4/1000</f>
        <v>232.025024</v>
      </c>
      <c r="D23" s="38">
        <f t="shared" si="0"/>
        <v>294.40625599999998</v>
      </c>
      <c r="E23" s="38">
        <f t="shared" si="0"/>
        <v>278.47919999999999</v>
      </c>
      <c r="F23" s="38">
        <f t="shared" si="0"/>
        <v>304.27516799999995</v>
      </c>
      <c r="G23" s="38">
        <f t="shared" si="0"/>
        <v>291.81216000000001</v>
      </c>
      <c r="H23" s="38">
        <f t="shared" si="0"/>
        <v>294.21083199999998</v>
      </c>
      <c r="I23" s="38">
        <f t="shared" si="0"/>
        <v>263.44415999999995</v>
      </c>
      <c r="J23" s="38">
        <f t="shared" si="0"/>
        <v>274.37529600000005</v>
      </c>
      <c r="K23" s="38">
        <f t="shared" si="0"/>
        <v>244.084576</v>
      </c>
      <c r="L23" s="38">
        <f t="shared" si="0"/>
        <v>227.13311999999999</v>
      </c>
      <c r="M23" s="38">
        <f t="shared" si="0"/>
        <v>229.42777600000005</v>
      </c>
    </row>
    <row r="24" spans="1:14">
      <c r="A24" s="69"/>
      <c r="B24" s="145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</row>
    <row r="25" spans="1:14" ht="17.45">
      <c r="A25" s="69" t="s">
        <v>199</v>
      </c>
      <c r="B25" s="38">
        <f>SUM(B23:M23)</f>
        <v>3173.6542399999998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</row>
    <row r="26" spans="1:14">
      <c r="A26" s="69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</row>
    <row r="27" spans="1:14" ht="17.45">
      <c r="A27" s="69" t="s">
        <v>200</v>
      </c>
      <c r="B27" s="40">
        <f>B25/365</f>
        <v>8.6949431232876702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4">
      <c r="A28" s="3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N33" s="7"/>
    </row>
    <row r="34" spans="1:14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NREL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>Abigail Kristine Williams</cp:lastModifiedBy>
  <cp:revision/>
  <dcterms:created xsi:type="dcterms:W3CDTF">2006-01-09T21:31:45Z</dcterms:created>
  <dcterms:modified xsi:type="dcterms:W3CDTF">2022-12-09T00:58:14Z</dcterms:modified>
  <cp:category/>
  <cp:contentStatus/>
</cp:coreProperties>
</file>