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8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ug 26" sheetId="1" r:id="rId5"/>
    <sheet state="visible" name="Jul 26" sheetId="2" r:id="rId6"/>
    <sheet state="visible" name="Jun 26" sheetId="3" r:id="rId7"/>
    <sheet state="visible" name="May 26" sheetId="4" r:id="rId8"/>
    <sheet state="visible" name="Apr 26" sheetId="5" r:id="rId9"/>
    <sheet state="visible" name="Mar 26" sheetId="6" r:id="rId10"/>
    <sheet state="visible" name="Feb 26" sheetId="7" r:id="rId11"/>
    <sheet state="visible" name="Jan 26" sheetId="8" r:id="rId12"/>
    <sheet state="visible" name="Dec 25" sheetId="9" r:id="rId13"/>
    <sheet state="visible" name="Nov 25" sheetId="10" r:id="rId14"/>
    <sheet state="visible" name="Oct 25" sheetId="11" r:id="rId15"/>
    <sheet state="visible" name="Sep 25" sheetId="12" r:id="rId16"/>
    <sheet state="visible" name="Aug 25" sheetId="13" r:id="rId17"/>
    <sheet state="visible" name="July 25" sheetId="14" r:id="rId18"/>
    <sheet state="visible" name="June 25" sheetId="15" r:id="rId19"/>
    <sheet state="visible" name="May 25" sheetId="16" r:id="rId20"/>
    <sheet state="visible" name="Total Salary" sheetId="17" r:id="rId21"/>
  </sheets>
  <definedNames>
    <definedName hidden="1" localSheetId="0" name="_xlnm._FilterDatabase">'Aug 26'!$A$6:$I$22</definedName>
    <definedName hidden="1" localSheetId="1" name="_xlnm._FilterDatabase">'Jul 26'!$A$6:$I$22</definedName>
    <definedName hidden="1" localSheetId="2" name="_xlnm._FilterDatabase">'Jun 26'!$A$6:$I$27</definedName>
    <definedName hidden="1" localSheetId="3" name="_xlnm._FilterDatabase">'May 26'!$A$6:$I$29</definedName>
    <definedName hidden="1" localSheetId="4" name="_xlnm._FilterDatabase">'Apr 26'!$A$6:$I$29</definedName>
    <definedName hidden="1" localSheetId="5" name="_xlnm._FilterDatabase">'Mar 26'!$A$6:$I$41</definedName>
    <definedName hidden="1" localSheetId="6" name="_xlnm._FilterDatabase">'Feb 26'!$A$6:$H$42</definedName>
    <definedName hidden="1" localSheetId="7" name="_xlnm._FilterDatabase">'Jan 26'!$A$6:$H$41</definedName>
    <definedName hidden="1" localSheetId="8" name="_xlnm._FilterDatabase">'Dec 25'!$A$6:$H$37</definedName>
    <definedName hidden="1" localSheetId="9" name="_xlnm._FilterDatabase">'Nov 25'!$A$6:$H$31</definedName>
    <definedName hidden="1" localSheetId="10" name="_xlnm._FilterDatabase">'Oct 25'!$A$6:$H$32</definedName>
    <definedName hidden="1" localSheetId="12" name="_xlnm._FilterDatabase">'Aug 25'!$A$7:$H$38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5">
      <text>
        <t xml:space="preserve">Note:
Loan 7th Payment= 5,000/-</t>
      </text>
    </comment>
    <comment authorId="0" ref="F11">
      <text>
        <t xml:space="preserve">Note:
Tax= 417/-</t>
      </text>
    </comment>
    <comment authorId="0" ref="F27">
      <text>
        <t xml:space="preserve">Note:
Tax= 1100
Food= 1250
</t>
      </text>
    </comment>
    <comment authorId="0" ref="F26">
      <text>
        <t xml:space="preserve">Note:
Tax= 5,000/-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39">
      <text>
        <t xml:space="preserve">Paid on:
20-Aug-26= 10,000/- </t>
      </text>
    </comment>
    <comment authorId="0" ref="G38">
      <text>
        <t xml:space="preserve">Paid on:
18-Aug-26= 10,000/- </t>
      </text>
    </comment>
    <comment authorId="0" ref="G37">
      <text>
        <t xml:space="preserve">Paid on:
13-Aug-26= 30,000/- 
18-Aug-26= 20,000/- </t>
      </text>
    </comment>
    <comment authorId="0" ref="F30">
      <text>
        <t xml:space="preserve">Note:
Tax= 1100
Food= 1250
</t>
      </text>
    </comment>
    <comment authorId="0" ref="G31">
      <text>
        <t xml:space="preserve">Paid on:
18-Aug-26= 24,861/- </t>
      </text>
    </comment>
    <comment authorId="0" ref="F29">
      <text>
        <t xml:space="preserve">Note:
Tax= 4,000/-</t>
      </text>
    </comment>
    <comment authorId="0" ref="G28">
      <text>
        <t xml:space="preserve">Paid on:
18-Aug-26= 5,000/- </t>
      </text>
    </comment>
    <comment authorId="0" ref="F26">
      <text>
        <t xml:space="preserve">May Salary Adjusted: 1,613/- 
(For 2 Days)</t>
      </text>
    </comment>
    <comment authorId="0" ref="G26">
      <text>
        <t xml:space="preserve">Paid on:
18-Aug-26= 2,000/- </t>
      </text>
    </comment>
    <comment authorId="0" ref="G21">
      <text>
        <t xml:space="preserve">Paid on:
20-Aug-26= 2,000/- </t>
      </text>
    </comment>
    <comment authorId="0" ref="G19">
      <text>
        <t xml:space="preserve">Paid on:
06-Aug-26= 500/- (Fine)
13-Aug-26= 1,000/- (Cash)
20-Aug-26= 5,000/- (Cash)</t>
      </text>
    </comment>
    <comment authorId="0" ref="G18">
      <text>
        <t xml:space="preserve">Paid On:
23-July-26= 5,000/-
02-Aug-26= 21,000/-
06-Aug-26= 500/- (Fine)
</t>
      </text>
    </comment>
    <comment authorId="0" ref="F15">
      <text>
        <t xml:space="preserve">Note:
Loan 6th Payment= 5,000/-</t>
      </text>
    </comment>
    <comment authorId="0" ref="G15">
      <text>
        <t xml:space="preserve">Paid on:
23-July-26= 8,750/-
18-Aug-26= 4,154/- 
</t>
      </text>
    </comment>
    <comment authorId="0" ref="G46">
      <text>
        <t xml:space="preserve">Paid on:
23-July-26= 5,000/-
30-July-26= 5,000/-
13-Aug-26= 13,000/- </t>
      </text>
    </comment>
    <comment authorId="0" ref="G45">
      <text>
        <t xml:space="preserve">Paid on:
13-Aug-26= 14,000/- 
18-Aug-26= 10,000/- </t>
      </text>
    </comment>
    <comment authorId="0" ref="F11">
      <text>
        <t xml:space="preserve">Note:
Tax= 417/-</t>
      </text>
    </comment>
    <comment authorId="0" ref="G42">
      <text>
        <t xml:space="preserve">18-Aug-26= 20,000/- </t>
      </text>
    </comment>
    <comment authorId="0" ref="G41">
      <text>
        <t xml:space="preserve">Paid on:
09-Aug-26= 1,000/- 
12-Aug-26= 2,000/- </t>
      </text>
    </comment>
    <comment authorId="0" ref="G8">
      <text>
        <t xml:space="preserve">Paid on:
12-Aug-26= 50,000/- 
17-Aug-26= 20,000/- 
19-Aug-26= 20,000/- 
20-Aug-26= 10,000/- </t>
      </text>
    </comment>
    <comment authorId="0" ref="G40">
      <text>
        <t xml:space="preserve">Paid on:
18-Aug-26= 10,000/- (bKash)
20-Aug-26= 3,000/- (bKash)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6">
      <text>
        <t xml:space="preserve">Note:
Tax= 4,000/-</t>
      </text>
    </comment>
    <comment authorId="0" ref="G34">
      <text>
        <t xml:space="preserve">Paid on:
04-Aug-26= 3,133/- 
13-Aug-26= 2,000/- </t>
      </text>
    </comment>
    <comment authorId="0" ref="G55">
      <text>
        <t xml:space="preserve">Paid on:
04-July-26= 2,000/-</t>
      </text>
    </comment>
    <comment authorId="0" ref="G22">
      <text>
        <t xml:space="preserve">Paid on:
02-July-26= 500/-
04-July-26= 1,000/-
09-July-26= 8,000/- 
23-July-26= 9,100/-</t>
      </text>
    </comment>
    <comment authorId="0" ref="G53">
      <text>
        <t xml:space="preserve">Paid on:
29-July-26= 14,000/-</t>
      </text>
    </comment>
    <comment authorId="0" ref="G18">
      <text>
        <t xml:space="preserve">Paid on:
27-July-26= 1,000/- (Fine)
18-Aug-26= 5,000/- (City Bank)
</t>
      </text>
    </comment>
    <comment authorId="0" ref="G47">
      <text>
        <t xml:space="preserve">Paid on:
16-July-26= 10,000/- 
26-July-26= 1,000/-
29-July-26= 8,300/-
30-July-26= 2,000/-
10-Aug-26= 8,000/- 
</t>
      </text>
    </comment>
    <comment authorId="0" ref="G14">
      <text>
        <t xml:space="preserve">Paid on:
04-Aug-26= 500/- (Fine)
06-Aug-26= 500/- (Fine)
10-Aug-26= 25,000/- (City Bank)
18-Aug-26= 32,000/- (Cash)
</t>
      </text>
    </comment>
    <comment authorId="0" ref="G45">
      <text>
        <t xml:space="preserve">Paid on:
16-July-26= 10,000/- 
23-July-26= 2,000/-
30-July-26= 10,000/- 
10-Aug-26= 12,200/- 
</t>
      </text>
    </comment>
    <comment authorId="0" ref="G12">
      <text>
        <t xml:space="preserve">Paid on:
10-Aug-26= 15,000/- 
13-Aug-26= 10,000/- </t>
      </text>
    </comment>
    <comment authorId="0" ref="G8">
      <text>
        <t xml:space="preserve">Paid on:
16-July-26= 50,000/- 
23-July-26= 50,000/-
29-July-26= 100,000/- 
</t>
      </text>
    </comment>
    <comment authorId="0" ref="F37">
      <text>
        <t xml:space="preserve">Note:
Tax= 1100
Food= 1250
</t>
      </text>
    </comment>
    <comment authorId="0" ref="G35">
      <text>
        <t xml:space="preserve">Paid on:
27-July-26= 500/- (Fine)
06-Aug-26= 2,000/- 
10-Aug-26= 16,033/- </t>
      </text>
    </comment>
    <comment authorId="0" ref="G33">
      <text>
        <t xml:space="preserve">Paid On:
07-July-2026= 3,000/- (bKash)
09-July-2026= 3,000/- 
16-July-26= 15,550/- 
</t>
      </text>
    </comment>
    <comment authorId="0" ref="G31">
      <text>
        <t xml:space="preserve">Paid on:
09-July-26= 2,000/-</t>
      </text>
    </comment>
    <comment authorId="0" ref="G27">
      <text>
        <t xml:space="preserve">Paid on:
23-July-26= 12,083/-
29-July-26= 500/-
06-Aug-26= 5,000/- 
18-Aug-26= 4,500/- 
</t>
      </text>
    </comment>
    <comment authorId="0" ref="G25">
      <text>
        <t xml:space="preserve">Paid on:
23-July-26= 48,950/-</t>
      </text>
    </comment>
    <comment authorId="0" ref="G23">
      <text>
        <t xml:space="preserve">Paid on:
25-July-26= 1,000/-
06-Aug-26= 500/- (Fine)
18-Aug-26= 10,000/- (Cash)
20-Aug-26= 2,000/- (Cash)
</t>
      </text>
    </comment>
    <comment authorId="0" ref="G54">
      <text>
        <t xml:space="preserve">Paid on:
09-July-26= 10,000/- 
20-July-26= 2,000/-
23-July-26= 12,000/-</t>
      </text>
    </comment>
    <comment authorId="0" ref="G21">
      <text>
        <t xml:space="preserve">Paid on:
13-July-26= 20,000/- 
20-July-26= 12,583/-</t>
      </text>
    </comment>
    <comment authorId="0" ref="G52">
      <text>
        <t xml:space="preserve">Paid on:
21-July-26= 5,000/-
29-July-26= 9,000/-</t>
      </text>
    </comment>
    <comment authorId="0" ref="F17">
      <text>
        <t xml:space="preserve">Note:
Loan 5th Payment= 5,000/-</t>
      </text>
    </comment>
    <comment authorId="0" ref="G50">
      <text>
        <t xml:space="preserve">Paid on:
29-July-26= 12,000/-</t>
      </text>
    </comment>
    <comment authorId="0" ref="G17">
      <text>
        <t xml:space="preserve">Paid on:
09-July-26= 2,000/- 
16-July-26= 10,000/- 
23-July-26= 1,250/-
</t>
      </text>
    </comment>
    <comment authorId="0" ref="G48">
      <text>
        <t xml:space="preserve">Paid on:
09-July-26= 3,000/-
23-July-26= 17,000/-</t>
      </text>
    </comment>
    <comment authorId="0" ref="G46">
      <text>
        <t xml:space="preserve">Paid on:
23-July-26= 19,750/-</t>
      </text>
    </comment>
    <comment authorId="0" ref="G44">
      <text>
        <t xml:space="preserve">Paid on:
16-July-26= 30,000/- 
23-July-26= 30,000/-
29-July-26= 10,000/-</t>
      </text>
    </comment>
    <comment authorId="0" ref="F9">
      <text>
        <t xml:space="preserve">May Salary Adjusted-15,483/-</t>
      </text>
    </comment>
    <comment authorId="0" ref="G9">
      <text>
        <t xml:space="preserve">Paid on:
16-July-26= 70,484/- 
29-July-26= 10,000/- 
30-July-26= 5,000/-
06-Aug-26= 8,500/- 
09-Aug-26= 2,000/- 
10-Aug-26= 30,000/- 
18-Aug-26= 9,500/- (Cash-Full Paid)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38">
      <text>
        <t xml:space="preserve">Payment:
22-June-26= 12,580/-
06-July-26= 3,000/-
16-July-26= 7,000/- 
</t>
      </text>
    </comment>
    <comment authorId="0" ref="G36">
      <text>
        <t xml:space="preserve">Payment:
23-June-26= 16,029/-</t>
      </text>
    </comment>
    <comment authorId="0" ref="G34">
      <text>
        <t xml:space="preserve">Payment:
27-May-2026= 10.000/-
08-June-2026= 1,000/-</t>
      </text>
    </comment>
    <comment authorId="0" ref="G30">
      <text>
        <t xml:space="preserve">Payment:
22-June-26= 500/-
02-July-26= 500/-
07-July-26= 17,000/- </t>
      </text>
    </comment>
    <comment authorId="0" ref="G26">
      <text>
        <t xml:space="preserve">Payment:
11-June-26= 5,000/-
22-June-26= 5,000/-
23-June-26= 2,000/- (Manir)
23-June-26= 500/- (Sufian Sir)
23-June-26= 30,000/- (Bank)
25-June-26= 6,400/- (Bank)</t>
      </text>
    </comment>
    <comment authorId="0" ref="G24">
      <text>
        <t xml:space="preserve">Paid On:
24-May-26= 5,000/-
28-June-26= 8,000/-
09-July-26= 3,000/- 
16-July-26= 2,900/- </t>
      </text>
    </comment>
    <comment authorId="0" ref="G22">
      <text>
        <t xml:space="preserve">Payment:
04-June-2026= 500/-
18-June-26= 2,000/-
05-July-26= 25,000/-
09-July-26= 4,470/- </t>
      </text>
    </comment>
    <comment authorId="0" ref="G53">
      <text>
        <t xml:space="preserve">Payment:
11-June-26= 10,000/-
23-June-26= 14,000/-</t>
      </text>
    </comment>
    <comment authorId="0" ref="G20">
      <text>
        <t xml:space="preserve">Payment:
04-June-2026= 500/-
23-June-26= 1,000/-
07-July-26= 15,000/-
13-July-26= 16,520/- </t>
      </text>
    </comment>
    <comment authorId="0" ref="F18">
      <text>
        <t xml:space="preserve">Vallie Bassette:
Loan 4th Payment= 5,000</t>
      </text>
    </comment>
    <comment authorId="0" ref="G51">
      <text>
        <t xml:space="preserve">Payment:
23-June-26= 12,000/-</t>
      </text>
    </comment>
    <comment authorId="0" ref="G18">
      <text>
        <t xml:space="preserve">Payment:
22-June-26= 500/-
01-July-26= 10,000/-
07-July-26= 2,450/-
</t>
      </text>
    </comment>
    <comment authorId="0" ref="G49">
      <text>
        <t xml:space="preserve">Payment:
11-June-26= 5,000/-
23-June-26= 15,000/-</t>
      </text>
    </comment>
    <comment authorId="0" ref="G16">
      <text>
        <t xml:space="preserve">Payment:
04-June-2026= 500/-
07-June-2026= 4,500/-</t>
      </text>
    </comment>
    <comment authorId="0" ref="G47">
      <text>
        <t xml:space="preserve">Payment:
28-June-26= 5,000/-
06-July-26= 14,500/-</t>
      </text>
    </comment>
    <comment authorId="0" ref="G45">
      <text>
        <t xml:space="preserve">Payment:
18-June-26= 35,000/-
27-June-26= 25,000/-</t>
      </text>
    </comment>
    <comment authorId="0" ref="G12">
      <text>
        <t xml:space="preserve">Payment:
25-June-26= 5,000/-
09-July-26= 3,000/- 
13-July-26= 15,000/- 
20-July-26= 16,000/-
10-Aug-26= 10,000/- </t>
      </text>
    </comment>
    <comment authorId="0" ref="G10">
      <text>
        <t xml:space="preserve">Paid on:
13-Aug-26= 5,000/- (Cash)
20-Aug-26= 10,000/- (bKash)</t>
      </text>
    </comment>
    <comment authorId="0" ref="F41">
      <text>
        <t xml:space="preserve">Note:
Tax= 1100
Food= 1100
</t>
      </text>
    </comment>
    <comment authorId="0" ref="G41">
      <text>
        <t xml:space="preserve">Paid on:
16-July-26= 50,000/- 
29-July-26= 30,000/- 
06-Aug-26= 1,000/- </t>
      </text>
    </comment>
    <comment authorId="0" ref="G8">
      <text>
        <t xml:space="preserve">Payment:
18-June-26= 40,000/-
28-June-26= 140,000/-
09-July-26= 20,000/+</t>
      </text>
    </comment>
    <comment authorId="0" ref="G39">
      <text>
        <t xml:space="preserve">Payment: 
22-June-26= 500/-
27-June-26= 2,000/-
02-July-26= 500/-
09-July-26= 2,000/-
13-July-26= 10,000/- 
16-July-26= 5,000/- </t>
      </text>
    </comment>
    <comment authorId="0" ref="G37">
      <text>
        <t xml:space="preserve">Payment:
18-June-26= 20,000/-
22-June-26= 2,537/-</t>
      </text>
    </comment>
    <comment authorId="0" ref="G35">
      <text>
        <t xml:space="preserve">Payment:
27-May-2026= 10.000/-
07-June-2026= 1,000/-</t>
      </text>
    </comment>
    <comment authorId="0" ref="G33">
      <text>
        <t xml:space="preserve">Payment:
27-May-2026= 10.000/-
04-June-2026= 500/-
10-June-2026= 1,000/-
22-June-26= 2,000/-
02-July-26= 500/-
07-July-26= 9,144/-</t>
      </text>
    </comment>
    <comment authorId="0" ref="G29">
      <text>
        <t xml:space="preserve">Payment:
18-June-26= 5,000/-
22-June-26= 500/-
28-June-26= 1,000/-
02-July-26= 16,593/-</t>
      </text>
    </comment>
    <comment authorId="0" ref="G23">
      <text>
        <t xml:space="preserve">Payment:
04-June-2026= 500/-
07-June-2026= 2,000/-
18-June-26= 10,000/-
22-June-26= 500/-
28-June-26= 2,000/-
29-June-26= 4,000/-</t>
      </text>
    </comment>
    <comment authorId="0" ref="G54">
      <text>
        <t xml:space="preserve">Payment:
20-June-26= 2,000/-
23-June-26= 20,000/-</t>
      </text>
    </comment>
    <comment authorId="0" ref="G21">
      <text>
        <t xml:space="preserve">Payment:
04-June-2026= 10,000/-
11-June-26= 5,000/-</t>
      </text>
    </comment>
    <comment authorId="0" ref="G52">
      <text>
        <t xml:space="preserve">Payment:
23-June-26= 14,000/-</t>
      </text>
    </comment>
    <comment authorId="0" ref="G19">
      <text>
        <t xml:space="preserve">Payment:
10-June-2026= 3,500/-
23-June-26= 1,000/-
01-July-26= 1,000/-
07-July-26= 12,854/-</t>
      </text>
    </comment>
    <comment authorId="0" ref="G50">
      <text>
        <t xml:space="preserve">Payment:
17-June-26= 3,000/-
23-June-26= 11,000/-</t>
      </text>
    </comment>
    <comment authorId="0" ref="G17">
      <text>
        <t xml:space="preserve">Paid on: 
20-July-26= 18,393/- (Bank Paid)
20-July-26= 5,000/- (BS Installment)</t>
      </text>
    </comment>
    <comment authorId="0" ref="G48">
      <text>
        <t xml:space="preserve">Payment:
11-June-26= 6,000/-
18-June-26= 1,000/-
22-June-26= 5,000/-
25-June-26= 6,382/-
02-July-26= 10,000/-</t>
      </text>
    </comment>
    <comment authorId="0" ref="G15">
      <text>
        <t xml:space="preserve">Payment:
23-June-26= 15,000/-
16-July-26= 42,065/- 
</t>
      </text>
    </comment>
    <comment authorId="0" ref="G46">
      <text>
        <t xml:space="preserve">Paid on:
07-July-26= 18,121/-
09-July-26= 14,999/- </t>
      </text>
    </comment>
    <comment authorId="0" ref="G9">
      <text>
        <t xml:space="preserve">Paid on:
02-July-26= 40,000/-
04-July-26= 10,000/-
07-July-26= 20,000/-
09-July-26= 5,000/- 
13-July-26= 20,000/-
16-July-26= 9,516/- </t>
      </text>
    </comment>
    <comment authorId="0" ref="F40">
      <text>
        <t xml:space="preserve">Note:
Tax= 5,000/-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36">
      <text>
        <t xml:space="preserve">Paid on:
06-Aug-26= 1,000/- </t>
      </text>
    </comment>
    <comment authorId="0" ref="G32">
      <text>
        <t xml:space="preserve">Paid on:
25-May-26= 35,533/-
22-June-26= 5,000/-</t>
      </text>
    </comment>
    <comment authorId="0" ref="G30">
      <text>
        <t xml:space="preserve">27-May-26= 23,800/-</t>
      </text>
    </comment>
    <comment authorId="0" ref="G28">
      <text>
        <t xml:space="preserve">Vallie Bassette:
04/05/26= 500/-
24-May-26= 17,983/-</t>
      </text>
    </comment>
    <comment authorId="0" ref="G26">
      <text>
        <t xml:space="preserve">Vallie Bassette:
03/05/26= 3,000/-
18-May-26= 2500/-
25-May-26= 43,300/-</t>
      </text>
    </comment>
    <comment authorId="0" ref="G24">
      <text>
        <t xml:space="preserve">Vallie Bassette:
09/05/26= 4,450/-
25-May-26= 62,116/-</t>
      </text>
    </comment>
    <comment authorId="0" ref="G22">
      <text>
        <t xml:space="preserve">Vallie Bassette:
04/05/26= 500/-
10-May-26= 2,000/-
19-May-26= 2,000/-
21-May-26= 14,250/-</t>
      </text>
    </comment>
    <comment authorId="0" ref="G20">
      <text>
        <t xml:space="preserve">Vallie Bassette:
04/05/26= 500/-
19/05/26= 2,500/-
25-May-26= 15,133/-</t>
      </text>
    </comment>
    <comment authorId="0" ref="G18">
      <text>
        <t xml:space="preserve">Payment:
19/05/26= 500/-
23-May-26= 18,400/-</t>
      </text>
    </comment>
    <comment authorId="0" ref="G49">
      <text>
        <t xml:space="preserve">Vallie Bassette:
14-May-26= 14,000/-
21-May-26= 10,000/-</t>
      </text>
    </comment>
    <comment authorId="0" ref="G16">
      <text>
        <t xml:space="preserve">27-May-26= 22,433/-</t>
      </text>
    </comment>
    <comment authorId="0" ref="G47">
      <text>
        <t xml:space="preserve">21-May-26= 12,000/-</t>
      </text>
    </comment>
    <comment authorId="0" ref="G14">
      <text>
        <t xml:space="preserve">21-May-26= 49,100/-</t>
      </text>
    </comment>
    <comment authorId="0" ref="G45">
      <text>
        <t xml:space="preserve">Vallie Bassette:
18-May-26= 10,000/-
21-May-26= 10,000/-</t>
      </text>
    </comment>
    <comment authorId="0" ref="G12">
      <text>
        <t xml:space="preserve">21-May-26= 48,700/-</t>
      </text>
    </comment>
    <comment authorId="0" ref="G43">
      <text>
        <t xml:space="preserve">11-May-26= 2,000/-
23-May-26= 17,650/-</t>
      </text>
    </comment>
    <comment authorId="0" ref="G10">
      <text>
        <t xml:space="preserve">Payment:
27-May-26= 12,500/-
11-June-26= 5,000/-
16-June-26= 20,000/-
18-June-26= 10,000/-
21-June-26= 5,000/-
09-July-26= 10,000/-
29-July-26= 11,250/-</t>
      </text>
    </comment>
    <comment authorId="0" ref="G8">
      <text>
        <t xml:space="preserve">Vallie Bassette:
18-May-26= 50,000/-
27-May-26= 150,000/-</t>
      </text>
    </comment>
    <comment authorId="0" ref="G37">
      <text>
        <t xml:space="preserve">Payment:
22-June-26= 500/-
23-June-26= 2,000/-</t>
      </text>
    </comment>
    <comment authorId="0" ref="G33">
      <text>
        <t xml:space="preserve">Vallie Bassette:
04/05/26= 500/-
27-May-26= 48,850/-
22-June-26= 5,000/-</t>
      </text>
    </comment>
    <comment authorId="0" ref="G29">
      <text>
        <t xml:space="preserve">Vallie Bassette:
04/05/26= 500/-
18-May-26= 500/-
21-May-26= 20,400/-</t>
      </text>
    </comment>
    <comment authorId="0" ref="G27">
      <text>
        <t xml:space="preserve">Vallie Bassette:
04/05/26= 500/-
27-May-26= 29,950/-</t>
      </text>
    </comment>
    <comment authorId="0" ref="G25">
      <text>
        <t xml:space="preserve">Payment:
19-May-26= 22,583/-</t>
      </text>
    </comment>
    <comment authorId="0" ref="G23">
      <text>
        <t xml:space="preserve">Vallie Bassette:
18-May-26= 1,000/-
21-May-26= 16,566/-</t>
      </text>
    </comment>
    <comment authorId="0" ref="G21">
      <text>
        <t xml:space="preserve">Vallie Bassette:
02/05/26= 5,000/-
04/05/26= 500/-
19/05/26= 500/-
23-May-26= 23,750/-</t>
      </text>
    </comment>
    <comment authorId="0" ref="G19">
      <text>
        <t xml:space="preserve">Vallie Bassette:
04/05/26= 500/-
09/05/26= 2,000/-
27-May-26= 32,500/-</t>
      </text>
    </comment>
    <comment authorId="0" ref="F17">
      <text>
        <t xml:space="preserve">Vallie Bassette:
Loan 3rd Payment= 5,000</t>
      </text>
    </comment>
    <comment authorId="0" ref="G50">
      <text>
        <t xml:space="preserve">Vallie Bassette:
14-May-26= 12,467/-</t>
      </text>
    </comment>
    <comment authorId="0" ref="G17">
      <text>
        <t xml:space="preserve">Vallie Bassette:
20-May-26= 5,000/-
04-May-26= 500/-
14-May-26= 5000/-
21-May-26= 2,800/-
</t>
      </text>
    </comment>
    <comment authorId="0" ref="G48">
      <text>
        <t xml:space="preserve">21-May-26= 14,000/-</t>
      </text>
    </comment>
    <comment authorId="0" ref="G15">
      <text>
        <t xml:space="preserve">Vallie Bassette:
13/05/26= 5,000/-
19/05/26= 500/-
21-May-26= 14,333/-</t>
      </text>
    </comment>
    <comment authorId="0" ref="G46">
      <text>
        <t xml:space="preserve">21-May-26= 14,000/-</t>
      </text>
    </comment>
    <comment authorId="0" ref="G13">
      <text>
        <t xml:space="preserve">24-May-26= 46,466/-</t>
      </text>
    </comment>
    <comment authorId="0" ref="G44">
      <text>
        <t xml:space="preserve">Vallie Bassette:
14-May-26= 3000/-
24-May-26= 27,000/-</t>
      </text>
    </comment>
    <comment authorId="0" ref="G11">
      <text>
        <t xml:space="preserve">Paid on:
09-May-26= 3,000/-
14-May-26= 5,000/-
18-May-26= 2,000/-
02-Jul-26= 500/- (Fine)
09-July-26= 5,000/- Cash-AGM
20-July-26= 1,000/- Cash
26-July-26= 2,000/- (Baby Sickness)
27-July-26= 500/- (Fine)
04-Aug-26= 1,000/- (Cash)
06-Aug-26= 500/- (Fine)
12-Aug-26= 1,000/- (Cash)
18-Aug-26= 5,000/- (Cash)
20-Aug-26= 2,000/- (Cash)</t>
      </text>
    </comment>
    <comment authorId="0" ref="G9">
      <text>
        <t xml:space="preserve">27-May-26= 100,000/-
11-June-26= 10,000/-
25-June-26= 10,000/-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7">
      <text>
        <t xml:space="preserve">Vallie Bassette:
30-Mar-26= 30,000/-
13-Apr-26= 70,000/-
30-Apr-26= 100,000/-</t>
      </text>
    </comment>
    <comment authorId="0" ref="G38">
      <text>
        <t xml:space="preserve">Vallie Bassette:
27-Apr-26= 19,205/-</t>
      </text>
    </comment>
    <comment authorId="0" ref="G36">
      <text>
        <t xml:space="preserve">Vallie Bassette:
13-Apr-26= 1,000/-
22-Apr-26= 14,850/-
27-Apr-26= 34,000/-</t>
      </text>
    </comment>
    <comment authorId="0" ref="G32">
      <text>
        <t xml:space="preserve">Vallie Bassette:
21-Apr-26= 19,800/-</t>
      </text>
    </comment>
    <comment authorId="0" ref="G30">
      <text>
        <t xml:space="preserve">Vallie Bassette:
01-Apr-26= 5,000/-
11-Apr-26= 5,000/-
20-Apr-26= 10,000/-
25-Apr-26= 12,800/-</t>
      </text>
    </comment>
    <comment authorId="0" ref="G26">
      <text>
        <t xml:space="preserve">Vallie Bassette:
20-Apr-26= 19,850/-</t>
      </text>
    </comment>
    <comment authorId="0" ref="G24">
      <text>
        <t xml:space="preserve">Vallie Bassette:
21-Apr-26= 10,000/-
27-Apr-26= 25,000/-</t>
      </text>
    </comment>
    <comment authorId="0" ref="G55">
      <text>
        <t xml:space="preserve">Vallie Bassette:
27-Apr-26= 12,000/-</t>
      </text>
    </comment>
    <comment authorId="0" ref="G22">
      <text>
        <t xml:space="preserve">Vallie Bassette:
Loan Payment
2nd Payment= 10,000
11/04/26= 8,000/-
13/04/26= 1,000/-
16/04/26= 900/-</t>
      </text>
    </comment>
    <comment authorId="0" ref="G53">
      <text>
        <t xml:space="preserve">Vallie Bassette:
27-Apr-26= 20,000/-</t>
      </text>
    </comment>
    <comment authorId="0" ref="G20">
      <text>
        <t xml:space="preserve">Vallie Bassette:
27-Apr-26= 23,187/-</t>
      </text>
    </comment>
    <comment authorId="0" ref="G51">
      <text>
        <t xml:space="preserve">Vallie Bassette:
29-Apr-26= 7,000/-
30-Apr-26= 12,910/-
6-May-26= 30,000/-</t>
      </text>
    </comment>
    <comment authorId="0" ref="G49">
      <text>
        <t xml:space="preserve">Vallie Bassette:
27-Apr-26= 20,000/-</t>
      </text>
    </comment>
    <comment authorId="0" ref="G47">
      <text>
        <t xml:space="preserve">Vallie Bassette:
27-Apr-26= 25,000/-</t>
      </text>
    </comment>
    <comment authorId="0" ref="G14">
      <text>
        <t xml:space="preserve">Vallie Bassette:
27-Apr-26= 49,850/-</t>
      </text>
    </comment>
    <comment authorId="0" ref="G12">
      <text>
        <t xml:space="preserve">Vallie Bassette:
21-Apr-26= 50,000/-</t>
      </text>
    </comment>
    <comment authorId="0" ref="G10">
      <text>
        <t xml:space="preserve">Vallie Bassette:
27-Apr-26= 74,383/-</t>
      </text>
    </comment>
    <comment authorId="0" ref="G41">
      <text>
        <t xml:space="preserve">Vallie Bassette:
14/05/26= 23,237/-</t>
      </text>
    </comment>
    <comment authorId="0" ref="G39">
      <text>
        <t xml:space="preserve">Paid on:
27-May-26= 24,094/-</t>
      </text>
    </comment>
    <comment authorId="0" ref="G37">
      <text>
        <t xml:space="preserve">Vallie Bassette:
30-Apr-26= 15,000/-
6-May-26= 18,670/-</t>
      </text>
    </comment>
    <comment authorId="0" ref="G33">
      <text>
        <t xml:space="preserve">Vallie Bassette:
21-Apr-26= 63,026/-</t>
      </text>
    </comment>
    <comment authorId="0" ref="G31">
      <text>
        <t xml:space="preserve">Vallie Bassette:
11-Apr-26= 2,000/-
16/04/26= 2,000/-
20-Apr-26= 5,000/-23-23-Apr-26= 10,800/-</t>
      </text>
    </comment>
    <comment authorId="0" ref="G29">
      <text>
        <t xml:space="preserve">Vallie Bassette:
11-Apr-26= 4,000/-
21-Apr-26= 11,000/-
30-Apr-26= 25,000/-</t>
      </text>
    </comment>
    <comment authorId="0" ref="G25">
      <text>
        <t xml:space="preserve">Vallie Bassette:
11-Apr-26= 2,000/-
21-Apr-26= 17,800/-</t>
      </text>
    </comment>
    <comment authorId="0" ref="G56">
      <text>
        <t xml:space="preserve">Vallie Bassette:
22-Apr-26= 24,000/-</t>
      </text>
    </comment>
    <comment authorId="0" ref="G23">
      <text>
        <t xml:space="preserve">Vallie Bassette:
11-Apr-26= 5,000/-
20-Apr-26= 5,000/-
27-Apr-26= 9,850/-</t>
      </text>
    </comment>
    <comment authorId="0" ref="G54">
      <text>
        <t xml:space="preserve">Vallie Bassette:
27-Apr-26= 14,000/-</t>
      </text>
    </comment>
    <comment authorId="0" ref="G52">
      <text>
        <t xml:space="preserve">Vallie Bassette:
Head Office</t>
      </text>
    </comment>
    <comment authorId="0" ref="G19">
      <text>
        <t xml:space="preserve">Vallie Bassette:
14-Apr-26= 5,000/-
28-Apr-26= 19,800/-</t>
      </text>
    </comment>
    <comment authorId="0" ref="G50">
      <text>
        <t xml:space="preserve">Vallie Bassette:
30-Apr-26= 20,000/-
6-May-26= 20,000/-
10-May-26= 10,000/-
14-May-26= 24,820/-
25-May-26= 40,000/-</t>
      </text>
    </comment>
    <comment authorId="0" ref="G17">
      <text>
        <t xml:space="preserve">Vallie Bassette:
21-Apr-26= 60,000/-</t>
      </text>
    </comment>
    <comment authorId="0" ref="G48">
      <text>
        <t xml:space="preserve">Vallie Bassette:
09-May-26= 19,850/-</t>
      </text>
    </comment>
    <comment authorId="0" ref="G15">
      <text>
        <t xml:space="preserve">Vallie Bassette:
30-Mar-26= 5,000/-
11-Apr-26= 25,000/-
16-Apr-26= 10,000/-
22-Apr-26= 20,000/-</t>
      </text>
    </comment>
    <comment authorId="0" ref="G13">
      <text>
        <t xml:space="preserve">Vallie Bassette:
28-Mar-26= 10,000/-</t>
      </text>
    </comment>
    <comment authorId="0" ref="G44">
      <text>
        <t xml:space="preserve">Vallie Bassette:
11-Apr-26= 2,000/-
23-Apr-26= 25,000/-
27-Apr-26= 32,850/-</t>
      </text>
    </comment>
    <comment authorId="0" ref="G11">
      <text>
        <t xml:space="preserve">Vallie Bassette:
27-Apr-26= 49,800/-</t>
      </text>
    </comment>
    <comment authorId="0" ref="G42">
      <text>
        <t xml:space="preserve">Vallie Bassette:
25-Apr-26= 2,000/-
30-Apr-26= 22,800/-</t>
      </text>
    </comment>
    <comment authorId="0" ref="G9">
      <text>
        <t xml:space="preserve">24-May-26= 74,800/-</t>
      </text>
    </comment>
    <comment authorId="0" ref="G40">
      <text>
        <t xml:space="preserve">Vallie Bassette:
11-Apr-26= 3,000/-
12-Apr-26= 10,000/-
21-Apr-26= 10,994/-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33">
      <text>
        <t xml:space="preserve">Vallie Bassette:
4/2/26= 4000/-</t>
      </text>
    </comment>
    <comment authorId="0" ref="G9">
      <text>
        <t xml:space="preserve">Vallie Bassette:
Payment
16/04/2026= 10,000/-
21-Apr-26= 1,000/-
22-Apr-26= 15,000/-
27-Apr-26= 48,300/-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21">
      <text>
        <t xml:space="preserve">Vallie Bassette:
Loan Payment
1st Payment= 10,000
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7">
      <text>
        <t xml:space="preserve">Vallie Bassette:
</t>
      </text>
    </comment>
    <comment authorId="0" ref="G38">
      <text>
        <t xml:space="preserve">Vallie Bassette:
</t>
      </text>
    </comment>
    <comment authorId="0" ref="G36">
      <text>
        <t xml:space="preserve">Vallie Bassette:
</t>
      </text>
    </comment>
    <comment authorId="0" ref="G34">
      <text>
        <t xml:space="preserve">Vallie Bassette:
</t>
      </text>
    </comment>
    <comment authorId="0" ref="G28">
      <text>
        <t xml:space="preserve">Vallie Bassette:
</t>
      </text>
    </comment>
    <comment authorId="0" ref="G22">
      <text>
        <t xml:space="preserve">Vallie Bassette:
</t>
      </text>
    </comment>
    <comment authorId="0" ref="G20">
      <text>
        <t xml:space="preserve">Vallie Bassette:
</t>
      </text>
    </comment>
    <comment authorId="0" ref="G18">
      <text>
        <t xml:space="preserve">Vallie Bassette:
</t>
      </text>
    </comment>
    <comment authorId="0" ref="G16">
      <text>
        <t xml:space="preserve">Vallie Bassette:
</t>
      </text>
    </comment>
    <comment authorId="0" ref="G12">
      <text>
        <t xml:space="preserve">Vallie Bassette:
</t>
      </text>
    </comment>
    <comment authorId="0" ref="G8">
      <text>
        <t xml:space="preserve">Vallie Bassette:
</t>
      </text>
    </comment>
    <comment authorId="0" ref="G39">
      <text>
        <t xml:space="preserve">Vallie Bassette:
</t>
      </text>
    </comment>
    <comment authorId="0" ref="G6">
      <text>
        <t xml:space="preserve">Vallie Bassette:
</t>
      </text>
    </comment>
    <comment authorId="0" ref="G37">
      <text>
        <t xml:space="preserve">Vallie Bassette:
</t>
      </text>
    </comment>
    <comment authorId="0" ref="G33">
      <text>
        <t xml:space="preserve">Vallie Bassette:
</t>
      </text>
    </comment>
    <comment authorId="0" ref="G31">
      <text>
        <t xml:space="preserve">Vallie Bassette:
</t>
      </text>
    </comment>
    <comment authorId="0" ref="G29">
      <text>
        <t xml:space="preserve">Vallie Bassette:
</t>
      </text>
    </comment>
    <comment authorId="0" ref="G27">
      <text>
        <t xml:space="preserve">Vallie Bassette:
</t>
      </text>
    </comment>
    <comment authorId="0" ref="G23">
      <text>
        <t xml:space="preserve">Vallie Bassette:
</t>
      </text>
    </comment>
    <comment authorId="0" ref="G21">
      <text>
        <t xml:space="preserve">Vallie Bassette:
</t>
      </text>
    </comment>
    <comment authorId="0" ref="G19">
      <text>
        <t xml:space="preserve">Vallie Bassette:
</t>
      </text>
    </comment>
    <comment authorId="0" ref="G17">
      <text>
        <t xml:space="preserve">Vallie Bassette:
</t>
      </text>
    </comment>
    <comment authorId="0" ref="G15">
      <text>
        <t xml:space="preserve">Vallie Bassette:
</t>
      </text>
    </comment>
    <comment authorId="0" ref="G13">
      <text>
        <t xml:space="preserve">Vallie Bassette:
</t>
      </text>
    </comment>
    <comment authorId="0" ref="G11">
      <text>
        <t xml:space="preserve">Vallie Bassette:
</t>
      </text>
    </comment>
    <comment authorId="0" ref="G9">
      <text>
        <t xml:space="preserve">Vallie Bassette:
</t>
      </text>
    </comment>
    <comment authorId="0" ref="G40">
      <text>
        <t xml:space="preserve">Vallie Bassette:
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38">
      <text>
        <t xml:space="preserve">Vallie Bassette:
Nasir
22/09/25= 3,000/-
23/09/2025= 5410/-
</t>
      </text>
    </comment>
    <comment authorId="0" ref="G36">
      <text>
        <t xml:space="preserve">Vallie Bassette:
Nasir
21/09/25= 9,226/-</t>
      </text>
    </comment>
    <comment authorId="0" ref="G34">
      <text>
        <t xml:space="preserve">Vallie Bassette:
Nasir
21/09/25= 11,040/-</t>
      </text>
    </comment>
    <comment authorId="0" ref="G32">
      <text>
        <t xml:space="preserve">Vallie Bassette:
Nasir
11/09/25= 12,600/-
18/09/25= 642/-
</t>
      </text>
    </comment>
    <comment authorId="0" ref="G28">
      <text>
        <t xml:space="preserve">Vallie Bassette:
Nasir
21/09/2025= 17,558/-</t>
      </text>
    </comment>
    <comment authorId="0" ref="G26">
      <text>
        <t xml:space="preserve">Vallie Bassette:
Nasir
21/09/2025= 27,782/-</t>
      </text>
    </comment>
    <comment authorId="0" ref="G22">
      <text>
        <t xml:space="preserve">Vallie Bassette:
Nasir
11/09/2025= 10,000/-</t>
      </text>
    </comment>
    <comment authorId="0" ref="G20">
      <text>
        <t xml:space="preserve">Vallie Bassette:
</t>
      </text>
    </comment>
    <comment authorId="0" ref="G18">
      <text>
        <t xml:space="preserve">Vallie Bassette:
Nasir
22/09/2025= 5,000/-</t>
      </text>
    </comment>
    <comment authorId="0" ref="G16">
      <text>
        <t xml:space="preserve">Vallie Bassette:
Nasir
22/09/2025= 5,500/-</t>
      </text>
    </comment>
    <comment authorId="0" ref="G14">
      <text>
        <t xml:space="preserve">Vallie Bassette:
Nasir
22/09/2025= 5,000/-</t>
      </text>
    </comment>
    <comment authorId="0" ref="G12">
      <text>
        <t xml:space="preserve">Vallie Bassette:
07/08/2025= 47,237
</t>
      </text>
    </comment>
    <comment authorId="0" ref="G10">
      <text>
        <t xml:space="preserve">Vallie Bassette:
Nasir
22/09/2025= 10,000/-</t>
      </text>
    </comment>
    <comment authorId="0" ref="G8">
      <text>
        <t xml:space="preserve">Vallie Bassette:
Nasir
22/09/2025= 11,000/-</t>
      </text>
    </comment>
    <comment authorId="0" ref="G37">
      <text>
        <t xml:space="preserve">Vallie Bassette:
Nasir
18/09/25= 6,615/-
</t>
      </text>
    </comment>
    <comment authorId="0" ref="G33">
      <text>
        <t xml:space="preserve">Vallie Bassette:
Nasir
21/09/25= 16,840/-</t>
      </text>
    </comment>
    <comment authorId="0" ref="G31">
      <text>
        <t xml:space="preserve">Vallie Bassette:
Nasir
11/09/25= 8,000/-
21/09/2025= 12,874/-</t>
      </text>
    </comment>
    <comment authorId="0" ref="G29">
      <text>
        <t xml:space="preserve">Vallie Bassette:
Nasir
21/09/2025= 16,368/-</t>
      </text>
    </comment>
    <comment authorId="0" ref="G27">
      <text>
        <t xml:space="preserve">Vallie Bassette:
Nasir
21/09/2025= 17,508/-</t>
      </text>
    </comment>
    <comment authorId="0" ref="G25">
      <text>
        <t xml:space="preserve">Vallie Bassette:
</t>
      </text>
    </comment>
    <comment authorId="0" ref="G23">
      <text>
        <t xml:space="preserve">Vallie Bassette:
</t>
      </text>
    </comment>
    <comment authorId="0" ref="G21">
      <text>
        <t xml:space="preserve">Vallie Bassette:
Nasir
15/09/25= 5,000/-</t>
      </text>
    </comment>
    <comment authorId="0" ref="G19">
      <text>
        <t xml:space="preserve">Vallie Bassette:
Nasir
22/09/2025= 5,000/-</t>
      </text>
    </comment>
    <comment authorId="0" ref="G17">
      <text>
        <t xml:space="preserve">Vallie Bassette:
</t>
      </text>
    </comment>
    <comment authorId="0" ref="G15">
      <text>
        <t xml:space="preserve">Vallie Bassette:
Nasir
22/09/2025= 3,000/-</t>
      </text>
    </comment>
    <comment authorId="0" ref="G13">
      <text>
        <t xml:space="preserve">Vallie Bassette:
Nasir
23/09/2025= 10,000/-</t>
      </text>
    </comment>
    <comment authorId="0" ref="G11">
      <text>
        <t xml:space="preserve">Vallie Bassette:
</t>
      </text>
    </comment>
    <comment authorId="0" ref="G9">
      <text>
        <t xml:space="preserve">Vallie Bassette:
Nasir
22/09/2025= 10,000/-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27">
      <text>
        <t xml:space="preserve">Vallie Bassette:
24/08/2025= 6,052
</t>
      </text>
    </comment>
    <comment authorId="0" ref="G26">
      <text>
        <t xml:space="preserve">Vallie Bassette:
Nasir
24/08/2025= 6137
</t>
      </text>
    </comment>
    <comment authorId="0" ref="G25">
      <text>
        <t xml:space="preserve">Vallie Bassette:
Nasir
24/08/2025= 8,571
</t>
      </text>
    </comment>
    <comment authorId="0" ref="G24">
      <text>
        <t xml:space="preserve">Vallie Bassette:
Nasir
24/08/2025= 12,698
</t>
      </text>
    </comment>
    <comment authorId="0" ref="G23">
      <text>
        <t xml:space="preserve">Vallie Bassette:
Nasir
24/08/2025= 19,111
</t>
      </text>
    </comment>
    <comment authorId="0" ref="G22">
      <text>
        <t xml:space="preserve">Vallie Bassette:
Nasir
24/08/25= 27,832
</t>
      </text>
    </comment>
    <comment authorId="0" ref="G21">
      <text>
        <t xml:space="preserve">Vallie Bassette:
Nasir
24/08/2025= 20,090
</t>
      </text>
    </comment>
    <comment authorId="0" ref="G20">
      <text>
        <t xml:space="preserve">Vallie Bassette:
Nasir
24/08/2035= 18,900
</t>
      </text>
    </comment>
    <comment authorId="0" ref="G19">
      <text>
        <t xml:space="preserve">Vallie Bassette:
Nasir
24/08/25= 18,750
</t>
      </text>
    </comment>
    <comment authorId="0" ref="G18">
      <text>
        <t xml:space="preserve">Vallie Bassette:
Nasir
02/09/2025
</t>
      </text>
    </comment>
    <comment authorId="0" ref="G17">
      <text>
        <t xml:space="preserve">Vallie Bassette:
Nasir
09/09/25= 10,500/- 
11/09/2025= 7,010/-
</t>
      </text>
    </comment>
    <comment authorId="0" ref="G15">
      <text>
        <t xml:space="preserve">Vallie Bassette:
07/08/2025= 47,237
</t>
      </text>
    </comment>
    <comment authorId="0" ref="G14">
      <text>
        <t xml:space="preserve">Vallie Bassette:
26/09/2025= 40,000
</t>
      </text>
    </comment>
    <comment authorId="0" ref="G12">
      <text>
        <t xml:space="preserve">Vallie Bassette:
Nasir
01/09/2025= 47,137
</t>
      </text>
    </comment>
    <comment authorId="0" ref="G11">
      <text>
        <t xml:space="preserve">Vallie Bassette:
Nasir
07/09/2025= 71,290/-
</t>
      </text>
    </comment>
    <comment authorId="0" ref="G10">
      <text>
        <t xml:space="preserve">Vallie Bassette:
Nasir
08/09/2025= 20,000/-
08/09/2025= 50,000/-
11/09/2025= 73,750/-
</t>
      </text>
    </comment>
    <comment authorId="0" ref="G9">
      <text>
        <t xml:space="preserve">Vallie Bassette:
Nasir
08/09/2025= 50,000/-
10/09/2025= 15,000/-
11/09/2025= 63,750/-
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20">
      <text>
        <t xml:space="preserve">Vallie Bassette:
29/07/2025= 10667
</t>
      </text>
    </comment>
    <comment authorId="0" ref="G19">
      <text>
        <t xml:space="preserve">Vallie Bassette:
29/07/2025= 19333
</t>
      </text>
    </comment>
    <comment authorId="0" ref="G18">
      <text>
        <t xml:space="preserve">Vallie Bassette:
23/07/2025= 20000
From Head Office
</t>
      </text>
    </comment>
    <comment authorId="0" ref="G17">
      <text>
        <t xml:space="preserve">Vallie Bassette:
29/07/2025= 33833
</t>
      </text>
    </comment>
    <comment authorId="0" ref="G15">
      <text>
        <t xml:space="preserve">Vallie Bassette:
24/07/2025= 40000
</t>
      </text>
    </comment>
    <comment authorId="0" ref="G13">
      <text>
        <t xml:space="preserve">Vallie Bassette:
29/07/2025= 20,000
07/08/2025= 30,000
</t>
      </text>
    </comment>
    <comment authorId="0" ref="G12">
      <text>
        <t xml:space="preserve">Vallie Bassette:
29/07/2025= 12,167
07/08/2025= 70,000</t>
      </text>
    </comment>
    <comment authorId="0" ref="G11">
      <text>
        <t xml:space="preserve">Vallie Bassette:
From Head Office= 10000
06/08/2025= 15000
07/08/2025= 90,000
14/08/2025= 20,000
18/08/2025= 10,000
</t>
      </text>
    </comment>
    <comment authorId="0" ref="G10">
      <text>
        <t xml:space="preserve">Vallie Bassette:
07/08/2025= 121333
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4">
      <text>
        <t xml:space="preserve">Vallie Bassette:
Nasir
21/09/25= 16,840/-</t>
      </text>
    </comment>
    <comment authorId="0" ref="E32">
      <text>
        <t xml:space="preserve">Vallie Bassette:
Nasir
11/09/25= 8,000/-
21/09/2025= 12,874/-</t>
      </text>
    </comment>
    <comment authorId="0" ref="E30">
      <text>
        <t xml:space="preserve">Vallie Bassette:
Nasir
21/09/2025= 16,368/-</t>
      </text>
    </comment>
    <comment authorId="0" ref="E28">
      <text>
        <t xml:space="preserve">Vallie Bassette:
Nasir
21/09/2025= 17,508/-</t>
      </text>
    </comment>
    <comment authorId="0" ref="E26">
      <text>
        <t xml:space="preserve">Vallie Bassette:
Nasir
24/09/2025= 45,000/-</t>
      </text>
    </comment>
    <comment authorId="0" ref="D24">
      <text>
        <t xml:space="preserve">Vallie Bassette:
Nasir
24/08/2025= 6137
</t>
      </text>
    </comment>
    <comment authorId="0" ref="E24">
      <text>
        <t xml:space="preserve">Vallie Bassette:
Nasir
25/09/2025= 16,469/-</t>
      </text>
    </comment>
    <comment authorId="0" ref="D22">
      <text>
        <t xml:space="preserve">Vallie Bassette:
Nasir
24/08/2025= 12,698
</t>
      </text>
    </comment>
    <comment authorId="0" ref="E22">
      <text>
        <t xml:space="preserve">Vallie Bassette:
Nasir
15/09/25= 5,000/-</t>
      </text>
    </comment>
    <comment authorId="0" ref="D20">
      <text>
        <t xml:space="preserve">Vallie Bassette:
Nasir
24/08/25= 27,832
</t>
      </text>
    </comment>
    <comment authorId="0" ref="E20">
      <text>
        <t xml:space="preserve">Vallie Bassette:
Nasir
22/09/2025= 5,000/-</t>
      </text>
    </comment>
    <comment authorId="0" ref="D18">
      <text>
        <t xml:space="preserve">Vallie Bassette:
Nasir
24/08/2035= 18,900
</t>
      </text>
    </comment>
    <comment authorId="0" ref="E18">
      <text>
        <t xml:space="preserve">Vallie Bassette:
</t>
      </text>
    </comment>
    <comment authorId="0" ref="D16">
      <text>
        <t xml:space="preserve">Vallie Bassette:
Nasir
02/09/2025
</t>
      </text>
    </comment>
    <comment authorId="0" ref="E16">
      <text>
        <t xml:space="preserve">Vallie Bassette:
Nasir
22/09/2025= 3,000/-
25/09/2025= 15,055/-</t>
      </text>
    </comment>
    <comment authorId="0" ref="D14">
      <text>
        <t xml:space="preserve">Vallie Bassette:
07/08/2025= 47,237
</t>
      </text>
    </comment>
    <comment authorId="0" ref="E14">
      <text>
        <t xml:space="preserve">Vallie Bassette:
Nasir
23/09/2025= 10,000/-</t>
      </text>
    </comment>
    <comment authorId="0" ref="D12">
      <text>
        <t xml:space="preserve">Vallie Bassette:
Nasir
01/09/2025= 47,137
</t>
      </text>
    </comment>
    <comment authorId="0" ref="E12">
      <text>
        <t xml:space="preserve">Vallie Bassette:
Nasir
25/09/2025= 48,700/-</t>
      </text>
    </comment>
    <comment authorId="0" ref="D10">
      <text>
        <t xml:space="preserve">Vallie Bassette:
Nasir
08/09/2025= 20,000/-
08/09/2025= 50,000/-
11/09/2025= 73,750/-
</t>
      </text>
    </comment>
    <comment authorId="0" ref="E10">
      <text>
        <t xml:space="preserve">Vallie Bassette:
Nasir
22/09/2025= 10,000/-</t>
      </text>
    </comment>
    <comment authorId="0" ref="E39">
      <text>
        <t xml:space="preserve">Vallie Bassette:
Nasir
22/09/25= 3,000/-
23/09/2025= 5410/-
</t>
      </text>
    </comment>
    <comment authorId="0" ref="E37">
      <text>
        <t xml:space="preserve">Vallie Bassette:
Nasir
21/09/25= 9,226/-</t>
      </text>
    </comment>
    <comment authorId="0" ref="E35">
      <text>
        <t xml:space="preserve">Vallie Bassette:
Nasir
21/09/25= 11,040/-</t>
      </text>
    </comment>
    <comment authorId="0" ref="E33">
      <text>
        <t xml:space="preserve">Vallie Bassette:
Nasir
11/09/25= 12,600/-
18/09/25= 642/-
</t>
      </text>
    </comment>
    <comment authorId="0" ref="E29">
      <text>
        <t xml:space="preserve">Vallie Bassette:
Nasir
21/09/2025= 17,558/-</t>
      </text>
    </comment>
    <comment authorId="0" ref="E27">
      <text>
        <t xml:space="preserve">Vallie Bassette:
Nasir
21/09/2025= 27,782/-</t>
      </text>
    </comment>
    <comment authorId="0" ref="D25">
      <text>
        <t xml:space="preserve">Vallie Bassette:
24/08/2025= 6,052
</t>
      </text>
    </comment>
    <comment authorId="0" ref="D23">
      <text>
        <t xml:space="preserve">Vallie Bassette:
Nasir
24/08/2025= 8,571
</t>
      </text>
    </comment>
    <comment authorId="0" ref="E23">
      <text>
        <t xml:space="preserve">Vallie Bassette:
Nasir
11/09/2025= 10,000/-
25/09/2025= 13,700/-</t>
      </text>
    </comment>
    <comment authorId="0" ref="D21">
      <text>
        <t xml:space="preserve">Vallie Bassette:
Nasir
24/08/2025= 19,111
</t>
      </text>
    </comment>
    <comment authorId="0" ref="E21">
      <text>
        <t xml:space="preserve">Vallie Bassette:
Nasir
25/09/2025= 22,387/-</t>
      </text>
    </comment>
    <comment authorId="0" ref="D19">
      <text>
        <t xml:space="preserve">Vallie Bassette:
Nasir
24/08/2025= 20,090
</t>
      </text>
    </comment>
    <comment authorId="0" ref="E19">
      <text>
        <t xml:space="preserve">Vallie Bassette:
Nasir
22/09/2025= 5,000/-
25/09/2025= 15,700/-</t>
      </text>
    </comment>
    <comment authorId="0" ref="D17">
      <text>
        <t xml:space="preserve">Vallie Bassette:
Nasir
24/08/25= 18,750
</t>
      </text>
    </comment>
    <comment authorId="0" ref="E17">
      <text>
        <t xml:space="preserve">Vallie Bassette:
Nasir
22/09/2025= 5,500/-</t>
      </text>
    </comment>
    <comment authorId="0" ref="D15">
      <text>
        <t xml:space="preserve">Vallie Bassette:
Nasir
09/09/25= 10,500/- 
11/09/2025= 7,010/-
</t>
      </text>
    </comment>
    <comment authorId="0" ref="E15">
      <text>
        <t xml:space="preserve">Vallie Bassette:
Nasir
22/09/2025= 5,000/-</t>
      </text>
    </comment>
    <comment authorId="0" ref="D13">
      <text>
        <t xml:space="preserve">Vallie Bassette:
26/09/2025= 40,000
</t>
      </text>
    </comment>
    <comment authorId="0" ref="E13">
      <text>
        <t xml:space="preserve">Vallie Bassette:
07/08/2025= 47,237
</t>
      </text>
    </comment>
    <comment authorId="0" ref="D11">
      <text>
        <t xml:space="preserve">Vallie Bassette:
</t>
      </text>
    </comment>
    <comment authorId="0" ref="E11">
      <text>
        <t xml:space="preserve">Vallie Bassette:
Nasir
22/09/2025= 10,000/-</t>
      </text>
    </comment>
    <comment authorId="0" ref="D9">
      <text>
        <t xml:space="preserve">Vallie Bassette:
Nasir
08/09/2025= 50,000/-
10/09/2025= 15,000/-
11/09/2025= 63,750/-
</t>
      </text>
    </comment>
    <comment authorId="0" ref="E9">
      <text>
        <t xml:space="preserve">Vallie Bassette:
Nasir
22/09/2025= 11,000/-</t>
      </text>
    </comment>
    <comment authorId="0" ref="E38">
      <text>
        <t xml:space="preserve">Vallie Bassette:
Nasir
18/09/25= 6,615/-
</t>
      </text>
    </comment>
  </commentList>
</comments>
</file>

<file path=xl/sharedStrings.xml><?xml version="1.0" encoding="utf-8"?>
<sst xmlns="http://schemas.openxmlformats.org/spreadsheetml/2006/main" count="1952" uniqueCount="236">
  <si>
    <t>One City Developers Ltd.</t>
  </si>
  <si>
    <t>OCDL Sales Office</t>
  </si>
  <si>
    <t>Commercial Cove, House: 56/C, Road: 132, Gulshan-1, Dhaka-1212.</t>
  </si>
  <si>
    <t>SL.</t>
  </si>
  <si>
    <t xml:space="preserve">Employee </t>
  </si>
  <si>
    <t>Joining Date:</t>
  </si>
  <si>
    <t>O.D.</t>
  </si>
  <si>
    <t>Gross Salary</t>
  </si>
  <si>
    <t>W.D.</t>
  </si>
  <si>
    <t>Payable Salary</t>
  </si>
  <si>
    <t>Paid Tk.</t>
  </si>
  <si>
    <t>Due Salary</t>
  </si>
  <si>
    <t>Designation</t>
  </si>
  <si>
    <t>CRM Department</t>
  </si>
  <si>
    <t>01</t>
  </si>
  <si>
    <t>Abu Sufian Shohag</t>
  </si>
  <si>
    <t>GM</t>
  </si>
  <si>
    <t>Sr. DGM</t>
  </si>
  <si>
    <t>02</t>
  </si>
  <si>
    <t>Masud Sahariar</t>
  </si>
  <si>
    <t>AGM</t>
  </si>
  <si>
    <t>Sr. Manager</t>
  </si>
  <si>
    <t>03</t>
  </si>
  <si>
    <t>Md. Safiqul Islam</t>
  </si>
  <si>
    <t>Manager</t>
  </si>
  <si>
    <t>04</t>
  </si>
  <si>
    <t>Omar Sharif Arman</t>
  </si>
  <si>
    <t>05</t>
  </si>
  <si>
    <t>Md. Manir Sikder</t>
  </si>
  <si>
    <t>Sr. Dep. Manager</t>
  </si>
  <si>
    <t>06</t>
  </si>
  <si>
    <t>Most. Liza Akter</t>
  </si>
  <si>
    <t>Dep. Manager</t>
  </si>
  <si>
    <t>Sharowar Hossain</t>
  </si>
  <si>
    <t>07</t>
  </si>
  <si>
    <t>Labonno Shikder</t>
  </si>
  <si>
    <t>Sr. Executive</t>
  </si>
  <si>
    <t>08</t>
  </si>
  <si>
    <t>Anowar Hossain</t>
  </si>
  <si>
    <t>Jenat Jahan Bhuiyan</t>
  </si>
  <si>
    <t>Asst. Manager</t>
  </si>
  <si>
    <t>09</t>
  </si>
  <si>
    <t>Abrarul Haque Emon</t>
  </si>
  <si>
    <t>Executive</t>
  </si>
  <si>
    <t>10</t>
  </si>
  <si>
    <t>Md. Mehedi Hasan SE</t>
  </si>
  <si>
    <t>Afsar Uddin</t>
  </si>
  <si>
    <t>11</t>
  </si>
  <si>
    <t>Md. Shahinul Islam (CRM)</t>
  </si>
  <si>
    <t>12</t>
  </si>
  <si>
    <t>Md. Jahid Hasan</t>
  </si>
  <si>
    <t>13</t>
  </si>
  <si>
    <t>Md. Yeasin Rasel</t>
  </si>
  <si>
    <t>14</t>
  </si>
  <si>
    <t>Jakir Ahammed Noor</t>
  </si>
  <si>
    <t>15</t>
  </si>
  <si>
    <t>Md. Estiak Mahbub</t>
  </si>
  <si>
    <t>19</t>
  </si>
  <si>
    <t>Mst. Sharmin Akter Nabila</t>
  </si>
  <si>
    <t>Md. Altahid Hossain Ashik</t>
  </si>
  <si>
    <t>16</t>
  </si>
  <si>
    <t>Md. Minhazul Abedin</t>
  </si>
  <si>
    <t>20</t>
  </si>
  <si>
    <t>Afroza Yeasmin Rumi</t>
  </si>
  <si>
    <t>21</t>
  </si>
  <si>
    <t>17</t>
  </si>
  <si>
    <t>Maria Akter Mim</t>
  </si>
  <si>
    <t>Most. Falguni Ather Rupsha</t>
  </si>
  <si>
    <t>18</t>
  </si>
  <si>
    <t>Hafiza Khanam</t>
  </si>
  <si>
    <t>22</t>
  </si>
  <si>
    <t>Nurul Islam Ripon</t>
  </si>
  <si>
    <t>23</t>
  </si>
  <si>
    <t>Touhidul Islam</t>
  </si>
  <si>
    <t>Sr. AGM</t>
  </si>
  <si>
    <t>24</t>
  </si>
  <si>
    <t>Farjana Tanjila</t>
  </si>
  <si>
    <t>Kazi Mizanur Rahman</t>
  </si>
  <si>
    <t>Total =</t>
  </si>
  <si>
    <t>Mehedi Hasan Tahsan</t>
  </si>
  <si>
    <t>Others Department</t>
  </si>
  <si>
    <t>Nasiruddin Chowdury</t>
  </si>
  <si>
    <t>Hridoy Kumar Das</t>
  </si>
  <si>
    <t>Mohammad Rayhan Gafur</t>
  </si>
  <si>
    <t>DGM</t>
  </si>
  <si>
    <t>Nazmul Hossain</t>
  </si>
  <si>
    <t>Md. Salahuddin</t>
  </si>
  <si>
    <t>Samia Akter</t>
  </si>
  <si>
    <t>Md Harunur Rashid</t>
  </si>
  <si>
    <t>25</t>
  </si>
  <si>
    <t>Executive-CSR</t>
  </si>
  <si>
    <t>26</t>
  </si>
  <si>
    <t>Md. Sadek Mia</t>
  </si>
  <si>
    <t>27</t>
  </si>
  <si>
    <t>Tasfin Sadaf Khondaker</t>
  </si>
  <si>
    <t>Supervisor</t>
  </si>
  <si>
    <t>Md. Ariful Islam</t>
  </si>
  <si>
    <t>28</t>
  </si>
  <si>
    <t>Muntasir Alom Khan</t>
  </si>
  <si>
    <t>29</t>
  </si>
  <si>
    <t>30</t>
  </si>
  <si>
    <t>31</t>
  </si>
  <si>
    <t>Off. Assistant</t>
  </si>
  <si>
    <t>Al amin</t>
  </si>
  <si>
    <t>32</t>
  </si>
  <si>
    <t>Abdullah Biswas</t>
  </si>
  <si>
    <t>Md. Ibrahim</t>
  </si>
  <si>
    <t>33</t>
  </si>
  <si>
    <t>34</t>
  </si>
  <si>
    <t>Driver</t>
  </si>
  <si>
    <t>Md. Anower Hossain (Sohel)</t>
  </si>
  <si>
    <t>Md Jashim Uddin (Ripon)</t>
  </si>
  <si>
    <t>Md. Abdul Aziz</t>
  </si>
  <si>
    <t>Md Shohag Madbar</t>
  </si>
  <si>
    <t>Md. Parvez Kamal</t>
  </si>
  <si>
    <t>D.D.</t>
  </si>
  <si>
    <t>Fixed Salary</t>
  </si>
  <si>
    <t>Feb-26 Salary</t>
  </si>
  <si>
    <t>Payment Details:</t>
  </si>
  <si>
    <t xml:space="preserve"> Remarks</t>
  </si>
  <si>
    <t>Md. Ridoy Khan</t>
  </si>
  <si>
    <t>Akhi Akter Urmi</t>
  </si>
  <si>
    <t>Md. Noman Islam</t>
  </si>
  <si>
    <t>Ananna Ahmed</t>
  </si>
  <si>
    <t>Surma Akter</t>
  </si>
  <si>
    <t>Sourav Kundu</t>
  </si>
  <si>
    <t>Md Atiful Haque</t>
  </si>
  <si>
    <t>Rabiul Islam</t>
  </si>
  <si>
    <t>Shahinul Islam Shahin (Finance)</t>
  </si>
  <si>
    <t>Sr. Asst. Manager</t>
  </si>
  <si>
    <t>Joy Chandra Dey</t>
  </si>
  <si>
    <t>Md. Omar Faruk Mridul</t>
  </si>
  <si>
    <t>Md. Abu Sayam Bhuiyan</t>
  </si>
  <si>
    <t>Debosree Shaha Chowdhury</t>
  </si>
  <si>
    <t>Tanver Hossain</t>
  </si>
  <si>
    <t>35</t>
  </si>
  <si>
    <t>Md Fahad Hasan Oney</t>
  </si>
  <si>
    <t>36</t>
  </si>
  <si>
    <t>37</t>
  </si>
  <si>
    <t>Minhaz Mohammed Ratul</t>
  </si>
  <si>
    <t>38</t>
  </si>
  <si>
    <t>Jan-26 Salary</t>
  </si>
  <si>
    <t>39</t>
  </si>
  <si>
    <t>Md. Abdullah Al Mamun</t>
  </si>
  <si>
    <t>Abu Sufian Sohag</t>
  </si>
  <si>
    <t>40</t>
  </si>
  <si>
    <t>Samir Al Hossain</t>
  </si>
  <si>
    <t>41</t>
  </si>
  <si>
    <t>Jannatul Ferdaus</t>
  </si>
  <si>
    <t>42</t>
  </si>
  <si>
    <t>Akbar Hossain Bhuiyan</t>
  </si>
  <si>
    <t>43</t>
  </si>
  <si>
    <t>Farzana Akter Purnima</t>
  </si>
  <si>
    <t>44</t>
  </si>
  <si>
    <t>45</t>
  </si>
  <si>
    <t>46</t>
  </si>
  <si>
    <t>47</t>
  </si>
  <si>
    <t>CSR-Executive</t>
  </si>
  <si>
    <t>48</t>
  </si>
  <si>
    <t>49</t>
  </si>
  <si>
    <t>Ranzan Kumar Das</t>
  </si>
  <si>
    <t>COX- Executive</t>
  </si>
  <si>
    <t>50</t>
  </si>
  <si>
    <t>Md. Mehedi Hasan</t>
  </si>
  <si>
    <t>Md. Shahinul Islam  (CRM)</t>
  </si>
  <si>
    <t>Md. Ibrahim (Driver)</t>
  </si>
  <si>
    <t>Office Asst. Salary</t>
  </si>
  <si>
    <t>Dec-25 Salary</t>
  </si>
  <si>
    <t>Md. Abdul Kaium Sohag</t>
  </si>
  <si>
    <t>Bashir Ahmed</t>
  </si>
  <si>
    <t>Md. Altahid Hossain</t>
  </si>
  <si>
    <t>Amiya Islam Shamrin</t>
  </si>
  <si>
    <t>Mst. Umme Afja Limu</t>
  </si>
  <si>
    <t>Mehedi Hasan Pritom</t>
  </si>
  <si>
    <t>Md. Siam Ashrafi Sumon</t>
  </si>
  <si>
    <t>Shahinul Islam Shahin</t>
  </si>
  <si>
    <t>Md. Shahinul Islam</t>
  </si>
  <si>
    <t>Agnes Modhu Nodi</t>
  </si>
  <si>
    <t>Nov-25 Salary</t>
  </si>
  <si>
    <t>Md. Jahir Rayhan</t>
  </si>
  <si>
    <t>H M Owaliullah Farhad</t>
  </si>
  <si>
    <t>Nurunnahar Popy</t>
  </si>
  <si>
    <t>Oct-25 Salary</t>
  </si>
  <si>
    <t>To Pay:</t>
  </si>
  <si>
    <t>Sept-25 Salary</t>
  </si>
  <si>
    <t>Md. Shahriar Arafat</t>
  </si>
  <si>
    <t>Vacant</t>
  </si>
  <si>
    <t>Farhan Tanvirul Islam</t>
  </si>
  <si>
    <t>Mobarak Hossain Rakib</t>
  </si>
  <si>
    <t>Md. Tareq Hasan</t>
  </si>
  <si>
    <t>Tanvir Ahmed</t>
  </si>
  <si>
    <t>Sumaiya Akter Anjoli</t>
  </si>
  <si>
    <t>Bebe Khadija Happy</t>
  </si>
  <si>
    <t>Md. Mamun Jomadder</t>
  </si>
  <si>
    <t>Hadia</t>
  </si>
  <si>
    <t>Kazi Naeem Hossain</t>
  </si>
  <si>
    <t>Md. Masud Hosen</t>
  </si>
  <si>
    <t>Afroza Akter</t>
  </si>
  <si>
    <t>Aug-25 Salary</t>
  </si>
  <si>
    <t>14/5/2025</t>
  </si>
  <si>
    <t>16/2/2025</t>
  </si>
  <si>
    <t>15/5/2025</t>
  </si>
  <si>
    <t>22/2/2025</t>
  </si>
  <si>
    <t>15/6/2025</t>
  </si>
  <si>
    <t>01/7/2025</t>
  </si>
  <si>
    <t>02/7/2025</t>
  </si>
  <si>
    <t>07/7/2025</t>
  </si>
  <si>
    <t>Maksudul Hasan Rabby</t>
  </si>
  <si>
    <t>09/7/2025</t>
  </si>
  <si>
    <t>21/7/2025</t>
  </si>
  <si>
    <t>Musarrat Maliha</t>
  </si>
  <si>
    <t>22/7/2025</t>
  </si>
  <si>
    <t>02/8/2025</t>
  </si>
  <si>
    <t>Firoz Mahmud</t>
  </si>
  <si>
    <t>04/8/2025</t>
  </si>
  <si>
    <t>10/8/2025</t>
  </si>
  <si>
    <t>17/8/2025</t>
  </si>
  <si>
    <t>20/8/2025</t>
  </si>
  <si>
    <t>Hold</t>
  </si>
  <si>
    <t>21/8/2025</t>
  </si>
  <si>
    <t>SL No.</t>
  </si>
  <si>
    <t>July-25 Salary</t>
  </si>
  <si>
    <t>Md. Iqbal Hussain</t>
  </si>
  <si>
    <t>SAM</t>
  </si>
  <si>
    <t>Md. Salauddin (Saif)</t>
  </si>
  <si>
    <t>WD.</t>
  </si>
  <si>
    <t>Net Salary</t>
  </si>
  <si>
    <t>SM</t>
  </si>
  <si>
    <t>DM</t>
  </si>
  <si>
    <t>Left</t>
  </si>
  <si>
    <t>Sr. AM</t>
  </si>
  <si>
    <t>AM</t>
  </si>
  <si>
    <t>Fahmida Akter</t>
  </si>
  <si>
    <t>Muhib Ahmed</t>
  </si>
  <si>
    <t>Eid Ul Azha Bonus</t>
  </si>
  <si>
    <t>Total Salary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</si>
</sst>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-409]d\-mmm\-yy"/>
    <numFmt numFmtId="165" formatCode="_(* #,##0_);_(* \(#,##0\);_(* &quot;-&quot;??_);_(@_)"/>
    <numFmt numFmtId="166" formatCode="[$-409]d\-mmm\-yyyy"/>
  </numFmts>
  <fonts count="31">
    <font>
      <sz val="11.0"/>
      <color theme="1"/>
      <name val="Calibri"/>
      <scheme val="minor"/>
    </font>
    <font>
      <b/>
      <u/>
      <sz val="25.0"/>
      <color theme="1"/>
      <name val="Times New Roman"/>
    </font>
    <font>
      <b/>
      <u/>
      <sz val="25.0"/>
      <color theme="1"/>
      <name val="Times New Roman"/>
    </font>
    <font/>
    <font>
      <sz val="11.0"/>
      <color theme="1"/>
      <name val="Times New Roman"/>
    </font>
    <font>
      <u/>
      <sz val="11.0"/>
      <color theme="1"/>
      <name val="Times New Roman"/>
    </font>
    <font>
      <b/>
      <sz val="11.0"/>
      <color theme="1"/>
      <name val="Times New Roman"/>
    </font>
    <font>
      <sz val="13.0"/>
      <color theme="1"/>
      <name val="Times New Roman"/>
    </font>
    <font>
      <sz val="15.0"/>
      <color theme="1"/>
      <name val="Times New Roman"/>
    </font>
    <font>
      <b/>
      <u/>
      <sz val="11.0"/>
      <color theme="1"/>
      <name val="Times New Roman"/>
    </font>
    <font>
      <b/>
      <u/>
      <sz val="11.0"/>
      <color theme="1"/>
      <name val="Times New Roman"/>
    </font>
    <font>
      <b/>
      <u/>
      <sz val="11.0"/>
      <color theme="1"/>
      <name val="Times New Roman"/>
    </font>
    <font>
      <b/>
      <u/>
      <sz val="11.0"/>
      <color theme="1"/>
      <name val="Times New Roman"/>
    </font>
    <font>
      <b/>
      <u/>
      <sz val="11.0"/>
      <color theme="1"/>
      <name val="Times New Roman"/>
    </font>
    <font>
      <b/>
      <u/>
      <sz val="11.0"/>
      <color theme="1"/>
      <name val="Times New Roman"/>
    </font>
    <font>
      <b/>
      <u/>
      <sz val="13.0"/>
      <color theme="1"/>
      <name val="Times New Roman"/>
    </font>
    <font>
      <b/>
      <sz val="14.0"/>
      <color theme="1"/>
      <name val="Times New Roman"/>
    </font>
    <font>
      <sz val="10.0"/>
      <color theme="1"/>
      <name val="Times New Roman"/>
    </font>
    <font>
      <b/>
      <sz val="10.0"/>
      <color theme="1"/>
      <name val="Times New Roman"/>
    </font>
    <font>
      <b/>
      <sz val="13.0"/>
      <color theme="1"/>
      <name val="Times New Roman"/>
    </font>
    <font>
      <b/>
      <u/>
      <sz val="11.0"/>
      <color theme="1"/>
      <name val="Times New Roman"/>
    </font>
    <font>
      <b/>
      <u/>
      <sz val="11.0"/>
      <color theme="1"/>
      <name val="Times New Roman"/>
    </font>
    <font>
      <b/>
      <u/>
      <sz val="13.0"/>
      <color theme="1"/>
      <name val="Times New Roman"/>
    </font>
    <font>
      <b/>
      <u/>
      <sz val="13.0"/>
      <color theme="1"/>
      <name val="Times New Roman"/>
    </font>
    <font>
      <b/>
      <u/>
      <sz val="13.0"/>
      <color theme="1"/>
      <name val="Times New Roman"/>
    </font>
    <font>
      <b/>
      <u/>
      <sz val="13.0"/>
      <color theme="1"/>
      <name val="Times New Roman"/>
    </font>
    <font>
      <sz val="12.0"/>
      <color theme="1"/>
      <name val="Times New Roman"/>
    </font>
    <font>
      <b/>
      <u/>
      <sz val="13.0"/>
      <color theme="1"/>
      <name val="Times New Roman"/>
    </font>
    <font>
      <b/>
      <u/>
      <sz val="13.0"/>
      <color theme="1"/>
      <name val="Times New Roman"/>
    </font>
    <font>
      <b/>
      <sz val="13.0"/>
      <color rgb="FFFF0000"/>
      <name val="Times New Roman"/>
    </font>
    <font>
      <b/>
      <u/>
      <sz val="13.0"/>
      <color theme="1"/>
      <name val="Times New Roman"/>
    </font>
  </fonts>
  <fills count="16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BDD6EE"/>
        <bgColor rgb="FFBDD6EE"/>
      </patternFill>
    </fill>
    <fill>
      <patternFill patternType="solid">
        <fgColor rgb="FFD8D8D8"/>
        <bgColor rgb="FFD8D8D8"/>
      </patternFill>
    </fill>
    <fill>
      <patternFill patternType="solid">
        <fgColor rgb="FF92D050"/>
        <bgColor rgb="FF92D050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FF0000"/>
      </patternFill>
    </fill>
    <fill>
      <patternFill patternType="solid">
        <fgColor rgb="FFECECEC"/>
        <bgColor rgb="FFECECEC"/>
      </patternFill>
    </fill>
    <fill>
      <patternFill patternType="solid">
        <fgColor rgb="FFFBE4D5"/>
        <bgColor rgb="FFFBE4D5"/>
      </patternFill>
    </fill>
    <fill>
      <patternFill patternType="solid">
        <fgColor rgb="FFFFFF00"/>
        <bgColor rgb="FFFFFF00"/>
      </patternFill>
    </fill>
    <fill>
      <patternFill patternType="solid">
        <fgColor rgb="FFC5E0B3"/>
        <bgColor rgb="FFC5E0B3"/>
      </patternFill>
    </fill>
    <fill>
      <patternFill patternType="solid">
        <fgColor rgb="FFDEEAF6"/>
        <bgColor rgb="FFDEEAF6"/>
      </patternFill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7CAAC"/>
        <bgColor rgb="FFF7CAAC"/>
      </patternFill>
    </fill>
  </fills>
  <borders count="41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26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2" fillId="0" fontId="3" numFmtId="0" xfId="0" applyBorder="1" applyFont="1"/>
    <xf borderId="3" fillId="0" fontId="3" numFmtId="0" xfId="0" applyBorder="1" applyFont="1"/>
    <xf borderId="4" fillId="2" fontId="4" numFmtId="0" xfId="0" applyBorder="1" applyFill="1" applyFont="1"/>
    <xf borderId="1" fillId="2" fontId="5" numFmtId="0" xfId="0" applyAlignment="1" applyBorder="1" applyFill="1" applyFont="1">
      <alignment horizontal="center"/>
    </xf>
    <xf borderId="4" fillId="2" fontId="4" numFmtId="0" xfId="0" applyAlignment="1" applyBorder="1" applyFill="1" applyFont="1">
      <alignment vertical="center"/>
    </xf>
    <xf borderId="4" fillId="2" fontId="4" numFmtId="0" xfId="0" applyAlignment="1" applyBorder="1" applyFill="1" applyFont="1">
      <alignment horizontal="center" vertical="center"/>
    </xf>
    <xf borderId="4" fillId="2" fontId="6" numFmtId="0" xfId="0" applyAlignment="1" applyBorder="1" applyFill="1" applyFont="1">
      <alignment vertical="center"/>
    </xf>
    <xf borderId="4" fillId="2" fontId="6" numFmtId="0" xfId="0" applyAlignment="1" applyBorder="1" applyFill="1" applyFont="1">
      <alignment horizontal="center" vertical="center"/>
    </xf>
    <xf borderId="4" fillId="2" fontId="7" numFmtId="0" xfId="0" applyAlignment="1" applyBorder="1" applyFill="1" applyFont="1">
      <alignment horizontal="center" vertical="center"/>
    </xf>
    <xf borderId="1" fillId="2" fontId="8" numFmtId="0" xfId="0" applyAlignment="1" applyBorder="1" applyFill="1" applyFont="1">
      <alignment horizontal="center"/>
    </xf>
    <xf borderId="5" fillId="3" fontId="9" numFmtId="0" xfId="0" applyAlignment="1" applyBorder="1" applyFill="1" applyFont="1">
      <alignment horizontal="left" vertical="center"/>
    </xf>
    <xf borderId="5" fillId="3" fontId="10" numFmtId="0" xfId="0" applyAlignment="1" applyBorder="1" applyFill="1" applyFont="1">
      <alignment horizontal="center" vertical="center"/>
    </xf>
    <xf borderId="6" fillId="3" fontId="11" numFmtId="0" xfId="0" applyAlignment="1" applyBorder="1" applyFill="1" applyFont="1">
      <alignment horizontal="center" vertical="center"/>
    </xf>
    <xf borderId="6" fillId="3" fontId="12" numFmtId="0" xfId="0" applyAlignment="1" applyBorder="1" applyFill="1" applyFont="1">
      <alignment horizontal="center" shrinkToFit="0" vertical="center" wrapText="1"/>
    </xf>
    <xf borderId="6" fillId="3" fontId="13" numFmtId="0" xfId="0" applyAlignment="1" applyBorder="1" applyFill="1" applyFont="1">
      <alignment horizontal="left" readingOrder="0" vertical="center"/>
    </xf>
    <xf borderId="7" fillId="3" fontId="14" numFmtId="0" xfId="0" applyAlignment="1" applyBorder="1" applyFill="1" applyFont="1">
      <alignment horizontal="center" vertical="center"/>
    </xf>
    <xf borderId="4" fillId="2" fontId="15" numFmtId="0" xfId="0" applyAlignment="1" applyBorder="1" applyFill="1" applyFont="1">
      <alignment horizontal="center"/>
    </xf>
    <xf quotePrefix="1" borderId="8" fillId="4" fontId="16" numFmtId="0" xfId="0" applyAlignment="1" applyBorder="1" applyFill="1" applyFont="1">
      <alignment horizontal="center" vertical="center"/>
    </xf>
    <xf borderId="9" fillId="0" fontId="3" numFmtId="0" xfId="0" applyBorder="1" applyFont="1"/>
    <xf borderId="10" fillId="0" fontId="3" numFmtId="0" xfId="0" applyBorder="1" applyFont="1"/>
    <xf quotePrefix="1" borderId="11" fillId="2" fontId="17" numFmtId="0" xfId="0" applyAlignment="1" applyBorder="1" applyFill="1" applyFont="1">
      <alignment horizontal="center" vertical="center"/>
    </xf>
    <xf borderId="12" fillId="0" fontId="17" numFmtId="0" xfId="0" applyAlignment="1" applyBorder="1" applyFont="1">
      <alignment vertical="center"/>
    </xf>
    <xf borderId="12" fillId="0" fontId="17" numFmtId="164" xfId="0" applyAlignment="1" applyBorder="1" applyFont="1" applyNumberFormat="1">
      <alignment horizontal="right" vertical="center"/>
    </xf>
    <xf borderId="12" fillId="2" fontId="17" numFmtId="0" xfId="0" applyAlignment="1" applyBorder="1" applyFill="1" applyFont="1">
      <alignment horizontal="center" readingOrder="0" vertical="center"/>
    </xf>
    <xf borderId="12" fillId="2" fontId="18" numFmtId="165" xfId="0" applyAlignment="1" applyBorder="1" applyFill="1" applyFont="1" applyNumberFormat="1">
      <alignment vertical="center"/>
    </xf>
    <xf borderId="12" fillId="5" fontId="18" numFmtId="165" xfId="0" applyAlignment="1" applyBorder="1" applyFill="1" applyFont="1" applyNumberFormat="1">
      <alignment vertical="center"/>
    </xf>
    <xf borderId="12" fillId="3" fontId="18" numFmtId="165" xfId="0" applyAlignment="1" applyBorder="1" applyFill="1" applyFont="1" applyNumberFormat="1">
      <alignment horizontal="center" vertical="center"/>
    </xf>
    <xf borderId="12" fillId="6" fontId="18" numFmtId="165" xfId="0" applyAlignment="1" applyBorder="1" applyFill="1" applyFont="1" applyNumberFormat="1">
      <alignment horizontal="center" vertical="center"/>
    </xf>
    <xf borderId="13" fillId="2" fontId="17" numFmtId="0" xfId="0" applyAlignment="1" applyBorder="1" applyFill="1" applyFont="1">
      <alignment horizontal="center" readingOrder="0" vertical="center"/>
    </xf>
    <xf borderId="13" fillId="2" fontId="17" numFmtId="0" xfId="0" applyAlignment="1" applyBorder="1" applyFill="1" applyFont="1">
      <alignment horizontal="center" vertical="center"/>
    </xf>
    <xf quotePrefix="1" borderId="14" fillId="2" fontId="17" numFmtId="0" xfId="0" applyAlignment="1" applyBorder="1" applyFill="1" applyFont="1">
      <alignment horizontal="center" readingOrder="0" vertical="center"/>
    </xf>
    <xf borderId="14" fillId="2" fontId="17" numFmtId="0" xfId="0" applyAlignment="1" applyBorder="1" applyFill="1" applyFont="1">
      <alignment horizontal="center" vertical="center"/>
    </xf>
    <xf borderId="14" fillId="0" fontId="17" numFmtId="0" xfId="0" applyAlignment="1" applyBorder="1" applyFont="1">
      <alignment vertical="center"/>
    </xf>
    <xf borderId="14" fillId="0" fontId="17" numFmtId="164" xfId="0" applyAlignment="1" applyBorder="1" applyFont="1" applyNumberFormat="1">
      <alignment horizontal="right" vertical="center"/>
    </xf>
    <xf borderId="14" fillId="2" fontId="17" numFmtId="0" xfId="0" applyAlignment="1" applyBorder="1" applyFill="1" applyFont="1">
      <alignment horizontal="center" readingOrder="0" vertical="center"/>
    </xf>
    <xf borderId="14" fillId="2" fontId="18" numFmtId="165" xfId="0" applyAlignment="1" applyBorder="1" applyFill="1" applyFont="1" applyNumberFormat="1">
      <alignment vertical="center"/>
    </xf>
    <xf borderId="14" fillId="5" fontId="18" numFmtId="165" xfId="0" applyAlignment="1" applyBorder="1" applyFill="1" applyFont="1" applyNumberFormat="1">
      <alignment vertical="center"/>
    </xf>
    <xf borderId="14" fillId="3" fontId="18" numFmtId="165" xfId="0" applyAlignment="1" applyBorder="1" applyFill="1" applyFont="1" applyNumberFormat="1">
      <alignment horizontal="center" vertical="center"/>
    </xf>
    <xf borderId="14" fillId="6" fontId="18" numFmtId="165" xfId="0" applyAlignment="1" applyBorder="1" applyFill="1" applyFont="1" applyNumberFormat="1">
      <alignment horizontal="center" vertical="center"/>
    </xf>
    <xf borderId="15" fillId="2" fontId="17" numFmtId="0" xfId="0" applyAlignment="1" applyBorder="1" applyFill="1" applyFont="1">
      <alignment horizontal="center" readingOrder="0" vertical="center"/>
    </xf>
    <xf borderId="15" fillId="2" fontId="17" numFmtId="0" xfId="0" applyAlignment="1" applyBorder="1" applyFill="1" applyFont="1">
      <alignment horizontal="center" vertical="center"/>
    </xf>
    <xf borderId="16" fillId="0" fontId="17" numFmtId="0" xfId="0" applyAlignment="1" applyBorder="1" applyFont="1">
      <alignment horizontal="center" shrinkToFit="0" vertical="center" wrapText="1"/>
    </xf>
    <xf borderId="16" fillId="2" fontId="17" numFmtId="0" xfId="0" applyAlignment="1" applyBorder="1" applyFill="1" applyFont="1">
      <alignment horizontal="center" readingOrder="0" vertical="center"/>
    </xf>
    <xf borderId="14" fillId="0" fontId="17" numFmtId="0" xfId="0" applyAlignment="1" applyBorder="1" applyFont="1">
      <alignment shrinkToFit="0" vertical="center" wrapText="1"/>
    </xf>
    <xf borderId="14" fillId="0" fontId="18" numFmtId="165" xfId="0" applyAlignment="1" applyBorder="1" applyFont="1" applyNumberFormat="1">
      <alignment vertical="center"/>
    </xf>
    <xf borderId="16" fillId="2" fontId="17" numFmtId="0" xfId="0" applyAlignment="1" applyBorder="1" applyFill="1" applyFont="1">
      <alignment horizontal="center" vertical="center"/>
    </xf>
    <xf borderId="14" fillId="7" fontId="17" numFmtId="0" xfId="0" applyAlignment="1" applyBorder="1" applyFill="1" applyFont="1">
      <alignment shrinkToFit="0" vertical="center" wrapText="1"/>
    </xf>
    <xf quotePrefix="1" borderId="14" fillId="0" fontId="17" numFmtId="0" xfId="0" applyAlignment="1" applyBorder="1" applyFont="1">
      <alignment vertical="center"/>
    </xf>
    <xf borderId="4" fillId="2" fontId="4" numFmtId="165" xfId="0" applyBorder="1" applyFill="1" applyFont="1" applyNumberFormat="1"/>
    <xf borderId="14" fillId="7" fontId="18" numFmtId="165" xfId="0" applyAlignment="1" applyBorder="1" applyFill="1" applyFont="1" applyNumberFormat="1">
      <alignment vertical="center"/>
    </xf>
    <xf borderId="14" fillId="2" fontId="17" numFmtId="164" xfId="0" applyAlignment="1" applyBorder="1" applyFill="1" applyFont="1" applyNumberFormat="1">
      <alignment horizontal="right" vertical="center"/>
    </xf>
    <xf borderId="14" fillId="7" fontId="18" numFmtId="165" xfId="0" applyAlignment="1" applyBorder="1" applyFill="1" applyFont="1" applyNumberFormat="1">
      <alignment horizontal="center" vertical="center"/>
    </xf>
    <xf borderId="14" fillId="7" fontId="17" numFmtId="0" xfId="0" applyAlignment="1" applyBorder="1" applyFill="1" applyFont="1">
      <alignment vertical="center"/>
    </xf>
    <xf borderId="14" fillId="0" fontId="17" numFmtId="166" xfId="0" applyAlignment="1" applyBorder="1" applyFont="1" applyNumberFormat="1">
      <alignment horizontal="right" shrinkToFit="0" vertical="center" wrapText="1"/>
    </xf>
    <xf borderId="14" fillId="2" fontId="17" numFmtId="0" xfId="0" applyAlignment="1" applyBorder="1" applyFill="1" applyFont="1">
      <alignment vertical="center"/>
    </xf>
    <xf borderId="14" fillId="3" fontId="18" numFmtId="165" xfId="0" applyAlignment="1" applyBorder="1" applyFill="1" applyFont="1" applyNumberFormat="1">
      <alignment horizontal="center" readingOrder="0" vertical="center"/>
    </xf>
    <xf borderId="14" fillId="0" fontId="17" numFmtId="0" xfId="0" applyAlignment="1" applyBorder="1" applyFont="1">
      <alignment readingOrder="0" vertical="center"/>
    </xf>
    <xf borderId="14" fillId="0" fontId="17" numFmtId="166" xfId="0" applyAlignment="1" applyBorder="1" applyFont="1" applyNumberFormat="1">
      <alignment horizontal="right" readingOrder="0" shrinkToFit="0" vertical="center" wrapText="1"/>
    </xf>
    <xf borderId="14" fillId="2" fontId="18" numFmtId="165" xfId="0" applyAlignment="1" applyBorder="1" applyFill="1" applyFont="1" applyNumberFormat="1">
      <alignment readingOrder="0" vertical="center"/>
    </xf>
    <xf borderId="17" fillId="2" fontId="17" numFmtId="0" xfId="0" applyAlignment="1" applyBorder="1" applyFill="1" applyFont="1">
      <alignment horizontal="center" vertical="center"/>
    </xf>
    <xf borderId="14" fillId="2" fontId="17" numFmtId="0" xfId="0" applyAlignment="1" applyBorder="1" applyFill="1" applyFont="1">
      <alignment readingOrder="0" vertical="center"/>
    </xf>
    <xf borderId="18" fillId="2" fontId="17" numFmtId="0" xfId="0" applyAlignment="1" applyBorder="1" applyFill="1" applyFont="1">
      <alignment horizontal="center" vertical="center"/>
    </xf>
    <xf borderId="19" fillId="2" fontId="17" numFmtId="0" xfId="0" applyAlignment="1" applyBorder="1" applyFill="1" applyFont="1">
      <alignment horizontal="center" vertical="center"/>
    </xf>
    <xf borderId="8" fillId="3" fontId="6" numFmtId="0" xfId="0" applyAlignment="1" applyBorder="1" applyFill="1" applyFont="1">
      <alignment horizontal="right" vertical="center"/>
    </xf>
    <xf borderId="20" fillId="0" fontId="3" numFmtId="0" xfId="0" applyBorder="1" applyFont="1"/>
    <xf borderId="21" fillId="3" fontId="6" numFmtId="165" xfId="0" applyAlignment="1" applyBorder="1" applyFill="1" applyFont="1" applyNumberFormat="1">
      <alignment vertical="center"/>
    </xf>
    <xf borderId="22" fillId="3" fontId="4" numFmtId="0" xfId="0" applyAlignment="1" applyBorder="1" applyFill="1" applyFont="1">
      <alignment horizontal="center" vertical="center"/>
    </xf>
    <xf quotePrefix="1" borderId="23" fillId="4" fontId="16" numFmtId="0" xfId="0" applyAlignment="1" applyBorder="1" applyFill="1" applyFont="1">
      <alignment horizontal="center" vertical="center"/>
    </xf>
    <xf borderId="24" fillId="0" fontId="3" numFmtId="0" xfId="0" applyBorder="1" applyFont="1"/>
    <xf borderId="18" fillId="0" fontId="3" numFmtId="0" xfId="0" applyBorder="1" applyFont="1"/>
    <xf quotePrefix="1" borderId="19" fillId="2" fontId="17" numFmtId="0" xfId="0" applyAlignment="1" applyBorder="1" applyFill="1" applyFont="1">
      <alignment horizontal="center" vertical="center"/>
    </xf>
    <xf borderId="14" fillId="8" fontId="17" numFmtId="0" xfId="0" applyAlignment="1" applyBorder="1" applyFill="1" applyFont="1">
      <alignment vertical="center"/>
    </xf>
    <xf borderId="14" fillId="8" fontId="17" numFmtId="164" xfId="0" applyAlignment="1" applyBorder="1" applyFill="1" applyFont="1" applyNumberFormat="1">
      <alignment horizontal="right" vertical="center"/>
    </xf>
    <xf borderId="14" fillId="8" fontId="17" numFmtId="0" xfId="0" applyAlignment="1" applyBorder="1" applyFill="1" applyFont="1">
      <alignment horizontal="center" readingOrder="0" vertical="center"/>
    </xf>
    <xf borderId="14" fillId="8" fontId="18" numFmtId="165" xfId="0" applyAlignment="1" applyBorder="1" applyFill="1" applyFont="1" applyNumberFormat="1">
      <alignment vertical="center"/>
    </xf>
    <xf borderId="14" fillId="8" fontId="18" numFmtId="165" xfId="0" applyAlignment="1" applyBorder="1" applyFill="1" applyFont="1" applyNumberFormat="1">
      <alignment horizontal="center" vertical="center"/>
    </xf>
    <xf borderId="18" fillId="0" fontId="17" numFmtId="0" xfId="0" applyAlignment="1" applyBorder="1" applyFont="1">
      <alignment horizontal="center" shrinkToFit="0" vertical="center" wrapText="1"/>
    </xf>
    <xf borderId="16" fillId="8" fontId="17" numFmtId="0" xfId="0" applyAlignment="1" applyBorder="1" applyFill="1" applyFont="1">
      <alignment horizontal="center" vertical="center"/>
    </xf>
    <xf borderId="14" fillId="8" fontId="17" numFmtId="0" xfId="0" applyAlignment="1" applyBorder="1" applyFill="1" applyFont="1">
      <alignment shrinkToFit="0" vertical="center" wrapText="1"/>
    </xf>
    <xf borderId="14" fillId="3" fontId="17" numFmtId="0" xfId="0" applyAlignment="1" applyBorder="1" applyFill="1" applyFont="1">
      <alignment vertical="center"/>
    </xf>
    <xf borderId="14" fillId="3" fontId="17" numFmtId="164" xfId="0" applyAlignment="1" applyBorder="1" applyFill="1" applyFont="1" applyNumberFormat="1">
      <alignment horizontal="right" vertical="center"/>
    </xf>
    <xf borderId="14" fillId="3" fontId="17" numFmtId="0" xfId="0" applyAlignment="1" applyBorder="1" applyFill="1" applyFont="1">
      <alignment horizontal="center" readingOrder="0" vertical="center"/>
    </xf>
    <xf borderId="14" fillId="3" fontId="18" numFmtId="165" xfId="0" applyAlignment="1" applyBorder="1" applyFill="1" applyFont="1" applyNumberFormat="1">
      <alignment vertical="center"/>
    </xf>
    <xf borderId="15" fillId="3" fontId="17" numFmtId="0" xfId="0" applyAlignment="1" applyBorder="1" applyFill="1" applyFont="1">
      <alignment horizontal="center" shrinkToFit="0" vertical="center" wrapText="1"/>
    </xf>
    <xf borderId="14" fillId="9" fontId="17" numFmtId="0" xfId="0" applyAlignment="1" applyBorder="1" applyFill="1" applyFont="1">
      <alignment vertical="center"/>
    </xf>
    <xf borderId="14" fillId="9" fontId="17" numFmtId="164" xfId="0" applyAlignment="1" applyBorder="1" applyFill="1" applyFont="1" applyNumberFormat="1">
      <alignment horizontal="right" vertical="center"/>
    </xf>
    <xf borderId="14" fillId="9" fontId="17" numFmtId="0" xfId="0" applyAlignment="1" applyBorder="1" applyFill="1" applyFont="1">
      <alignment horizontal="center" readingOrder="0" vertical="center"/>
    </xf>
    <xf borderId="14" fillId="9" fontId="18" numFmtId="165" xfId="0" applyAlignment="1" applyBorder="1" applyFill="1" applyFont="1" applyNumberFormat="1">
      <alignment vertical="center"/>
    </xf>
    <xf borderId="14" fillId="9" fontId="18" numFmtId="165" xfId="0" applyAlignment="1" applyBorder="1" applyFill="1" applyFont="1" applyNumberFormat="1">
      <alignment horizontal="center" vertical="center"/>
    </xf>
    <xf borderId="14" fillId="10" fontId="17" numFmtId="0" xfId="0" applyAlignment="1" applyBorder="1" applyFill="1" applyFont="1">
      <alignment vertical="center"/>
    </xf>
    <xf borderId="15" fillId="9" fontId="17" numFmtId="0" xfId="0" applyAlignment="1" applyBorder="1" applyFill="1" applyFont="1">
      <alignment horizontal="center" shrinkToFit="0" vertical="center" wrapText="1"/>
    </xf>
    <xf borderId="14" fillId="9" fontId="17" numFmtId="0" xfId="0" applyAlignment="1" applyBorder="1" applyFill="1" applyFont="1">
      <alignment readingOrder="0" vertical="center"/>
    </xf>
    <xf borderId="14" fillId="10" fontId="18" numFmtId="165" xfId="0" applyAlignment="1" applyBorder="1" applyFill="1" applyFont="1" applyNumberFormat="1">
      <alignment vertical="center"/>
    </xf>
    <xf borderId="14" fillId="9" fontId="17" numFmtId="164" xfId="0" applyAlignment="1" applyBorder="1" applyFill="1" applyFont="1" applyNumberFormat="1">
      <alignment horizontal="right" readingOrder="0" vertical="center"/>
    </xf>
    <xf borderId="25" fillId="2" fontId="17" numFmtId="0" xfId="0" applyAlignment="1" applyBorder="1" applyFill="1" applyFont="1">
      <alignment horizontal="center" vertical="center"/>
    </xf>
    <xf borderId="14" fillId="9" fontId="18" numFmtId="165" xfId="0" applyAlignment="1" applyBorder="1" applyFill="1" applyFont="1" applyNumberFormat="1">
      <alignment horizontal="center" readingOrder="0" vertical="center"/>
    </xf>
    <xf borderId="16" fillId="9" fontId="17" numFmtId="0" xfId="0" applyAlignment="1" applyBorder="1" applyFill="1" applyFont="1">
      <alignment horizontal="center" shrinkToFit="0" vertical="center" wrapText="1"/>
    </xf>
    <xf borderId="25" fillId="2" fontId="17" numFmtId="0" xfId="0" applyAlignment="1" applyBorder="1" applyFill="1" applyFont="1">
      <alignment horizontal="center" readingOrder="0" vertical="center"/>
    </xf>
    <xf borderId="14" fillId="11" fontId="17" numFmtId="0" xfId="0" applyAlignment="1" applyBorder="1" applyFill="1" applyFont="1">
      <alignment vertical="center"/>
    </xf>
    <xf borderId="14" fillId="11" fontId="17" numFmtId="164" xfId="0" applyAlignment="1" applyBorder="1" applyFill="1" applyFont="1" applyNumberFormat="1">
      <alignment horizontal="right" vertical="center"/>
    </xf>
    <xf borderId="14" fillId="11" fontId="17" numFmtId="0" xfId="0" applyAlignment="1" applyBorder="1" applyFill="1" applyFont="1">
      <alignment horizontal="center" readingOrder="0" vertical="center"/>
    </xf>
    <xf borderId="14" fillId="11" fontId="18" numFmtId="165" xfId="0" applyAlignment="1" applyBorder="1" applyFill="1" applyFont="1" applyNumberFormat="1">
      <alignment vertical="center"/>
    </xf>
    <xf borderId="14" fillId="11" fontId="18" numFmtId="165" xfId="0" applyAlignment="1" applyBorder="1" applyFill="1" applyFont="1" applyNumberFormat="1">
      <alignment horizontal="center" vertical="center"/>
    </xf>
    <xf borderId="16" fillId="11" fontId="17" numFmtId="0" xfId="0" applyAlignment="1" applyBorder="1" applyFill="1" applyFont="1">
      <alignment horizontal="center" shrinkToFit="0" vertical="center" wrapText="1"/>
    </xf>
    <xf borderId="14" fillId="10" fontId="17" numFmtId="0" xfId="0" applyAlignment="1" applyBorder="1" applyFill="1" applyFont="1">
      <alignment readingOrder="0" vertical="center"/>
    </xf>
    <xf borderId="14" fillId="11" fontId="17" numFmtId="0" xfId="0" applyAlignment="1" applyBorder="1" applyFill="1" applyFont="1">
      <alignment readingOrder="0" vertical="center"/>
    </xf>
    <xf borderId="14" fillId="11" fontId="17" numFmtId="164" xfId="0" applyAlignment="1" applyBorder="1" applyFill="1" applyFont="1" applyNumberFormat="1">
      <alignment horizontal="right" readingOrder="0" vertical="center"/>
    </xf>
    <xf borderId="19" fillId="0" fontId="4" numFmtId="0" xfId="0" applyAlignment="1" applyBorder="1" applyFont="1">
      <alignment horizontal="center" vertical="center"/>
    </xf>
    <xf borderId="14" fillId="0" fontId="4" numFmtId="0" xfId="0" applyAlignment="1" applyBorder="1" applyFont="1">
      <alignment vertical="center"/>
    </xf>
    <xf borderId="14" fillId="0" fontId="4" numFmtId="164" xfId="0" applyAlignment="1" applyBorder="1" applyFont="1" applyNumberFormat="1">
      <alignment horizontal="right" vertical="center"/>
    </xf>
    <xf borderId="14" fillId="0" fontId="4" numFmtId="0" xfId="0" applyAlignment="1" applyBorder="1" applyFont="1">
      <alignment horizontal="center" vertical="center"/>
    </xf>
    <xf borderId="14" fillId="0" fontId="6" numFmtId="165" xfId="0" applyAlignment="1" applyBorder="1" applyFont="1" applyNumberFormat="1">
      <alignment vertical="center"/>
    </xf>
    <xf borderId="14" fillId="0" fontId="6" numFmtId="165" xfId="0" applyAlignment="1" applyBorder="1" applyFont="1" applyNumberFormat="1">
      <alignment horizontal="center" vertical="center"/>
    </xf>
    <xf borderId="16" fillId="0" fontId="4" numFmtId="0" xfId="0" applyAlignment="1" applyBorder="1" applyFont="1">
      <alignment horizontal="center" shrinkToFit="0" vertical="center" wrapText="1"/>
    </xf>
    <xf borderId="8" fillId="5" fontId="6" numFmtId="0" xfId="0" applyAlignment="1" applyBorder="1" applyFill="1" applyFont="1">
      <alignment horizontal="right" vertical="center"/>
    </xf>
    <xf borderId="21" fillId="5" fontId="6" numFmtId="165" xfId="0" applyAlignment="1" applyBorder="1" applyFill="1" applyFont="1" applyNumberFormat="1">
      <alignment vertical="center"/>
    </xf>
    <xf borderId="22" fillId="5" fontId="4" numFmtId="0" xfId="0" applyAlignment="1" applyBorder="1" applyFill="1" applyFont="1">
      <alignment horizontal="center" vertical="center"/>
    </xf>
    <xf borderId="4" fillId="2" fontId="7" numFmtId="0" xfId="0" applyAlignment="1" applyBorder="1" applyFill="1" applyFont="1">
      <alignment vertical="center"/>
    </xf>
    <xf borderId="4" fillId="2" fontId="7" numFmtId="0" xfId="0" applyBorder="1" applyFill="1" applyFont="1"/>
    <xf borderId="4" fillId="2" fontId="19" numFmtId="0" xfId="0" applyAlignment="1" applyBorder="1" applyFill="1" applyFont="1">
      <alignment vertical="center"/>
    </xf>
    <xf borderId="4" fillId="2" fontId="19" numFmtId="0" xfId="0" applyAlignment="1" applyBorder="1" applyFill="1" applyFont="1">
      <alignment horizontal="center" vertical="center"/>
    </xf>
    <xf borderId="14" fillId="3" fontId="17" numFmtId="0" xfId="0" applyAlignment="1" applyBorder="1" applyFill="1" applyFont="1">
      <alignment horizontal="center" vertical="center"/>
    </xf>
    <xf borderId="14" fillId="9" fontId="17" numFmtId="0" xfId="0" applyAlignment="1" applyBorder="1" applyFill="1" applyFont="1">
      <alignment horizontal="center" vertical="center"/>
    </xf>
    <xf borderId="14" fillId="11" fontId="17" numFmtId="0" xfId="0" applyAlignment="1" applyBorder="1" applyFill="1" applyFont="1">
      <alignment horizontal="center" vertical="center"/>
    </xf>
    <xf quotePrefix="1" borderId="26" fillId="2" fontId="17" numFmtId="0" xfId="0" applyAlignment="1" applyBorder="1" applyFill="1" applyFont="1">
      <alignment horizontal="center" vertical="center"/>
    </xf>
    <xf borderId="27" fillId="2" fontId="8" numFmtId="0" xfId="0" applyAlignment="1" applyBorder="1" applyFill="1" applyFont="1">
      <alignment horizontal="center"/>
    </xf>
    <xf borderId="28" fillId="0" fontId="3" numFmtId="0" xfId="0" applyBorder="1" applyFont="1"/>
    <xf borderId="25" fillId="0" fontId="17" numFmtId="0" xfId="0" applyAlignment="1" applyBorder="1" applyFont="1">
      <alignment vertical="center"/>
    </xf>
    <xf borderId="29" fillId="0" fontId="3" numFmtId="0" xfId="0" applyBorder="1" applyFont="1"/>
    <xf borderId="25" fillId="0" fontId="17" numFmtId="164" xfId="0" applyAlignment="1" applyBorder="1" applyFont="1" applyNumberFormat="1">
      <alignment horizontal="right" vertical="center"/>
    </xf>
    <xf borderId="30" fillId="2" fontId="17" numFmtId="0" xfId="0" applyAlignment="1" applyBorder="1" applyFill="1" applyFont="1">
      <alignment horizontal="center" vertical="center"/>
    </xf>
    <xf borderId="14" fillId="12" fontId="20" numFmtId="0" xfId="0" applyAlignment="1" applyBorder="1" applyFill="1" applyFont="1">
      <alignment horizontal="center" vertical="center"/>
    </xf>
    <xf borderId="14" fillId="12" fontId="21" numFmtId="0" xfId="0" applyAlignment="1" applyBorder="1" applyFill="1" applyFont="1">
      <alignment horizontal="center" shrinkToFit="0" vertical="center" wrapText="1"/>
    </xf>
    <xf borderId="30" fillId="2" fontId="18" numFmtId="165" xfId="0" applyAlignment="1" applyBorder="1" applyFill="1" applyFont="1" applyNumberFormat="1">
      <alignment vertical="center"/>
    </xf>
    <xf quotePrefix="1" borderId="14" fillId="2" fontId="17" numFmtId="0" xfId="0" applyAlignment="1" applyBorder="1" applyFill="1" applyFont="1">
      <alignment horizontal="center" vertical="center"/>
    </xf>
    <xf borderId="30" fillId="5" fontId="18" numFmtId="165" xfId="0" applyAlignment="1" applyBorder="1" applyFill="1" applyFont="1" applyNumberFormat="1">
      <alignment vertical="center"/>
    </xf>
    <xf borderId="30" fillId="3" fontId="18" numFmtId="165" xfId="0" applyAlignment="1" applyBorder="1" applyFill="1" applyFont="1" applyNumberFormat="1">
      <alignment horizontal="center" vertical="center"/>
    </xf>
    <xf borderId="30" fillId="6" fontId="18" numFmtId="165" xfId="0" applyAlignment="1" applyBorder="1" applyFill="1" applyFont="1" applyNumberFormat="1">
      <alignment horizontal="center" vertical="center"/>
    </xf>
    <xf borderId="31" fillId="2" fontId="17" numFmtId="0" xfId="0" applyAlignment="1" applyBorder="1" applyFill="1" applyFont="1">
      <alignment horizontal="center" vertical="center"/>
    </xf>
    <xf borderId="26" fillId="2" fontId="17" numFmtId="0" xfId="0" applyAlignment="1" applyBorder="1" applyFill="1" applyFont="1">
      <alignment horizontal="center" vertical="center"/>
    </xf>
    <xf borderId="14" fillId="13" fontId="22" numFmtId="0" xfId="0" applyAlignment="1" applyBorder="1" applyFill="1" applyFont="1">
      <alignment horizontal="center" vertical="center"/>
    </xf>
    <xf borderId="14" fillId="13" fontId="23" numFmtId="0" xfId="0" applyAlignment="1" applyBorder="1" applyFill="1" applyFont="1">
      <alignment horizontal="center" shrinkToFit="0" wrapText="1"/>
    </xf>
    <xf borderId="32" fillId="2" fontId="17" numFmtId="0" xfId="0" applyAlignment="1" applyBorder="1" applyFill="1" applyFont="1">
      <alignment horizontal="center" vertical="center"/>
    </xf>
    <xf borderId="14" fillId="13" fontId="24" numFmtId="0" xfId="0" applyAlignment="1" applyBorder="1" applyFill="1" applyFont="1">
      <alignment horizontal="center"/>
    </xf>
    <xf borderId="14" fillId="13" fontId="25" numFmtId="0" xfId="0" applyAlignment="1" applyBorder="1" applyFill="1" applyFont="1">
      <alignment horizontal="center" shrinkToFit="0" vertical="center" wrapText="1"/>
    </xf>
    <xf quotePrefix="1" borderId="14" fillId="2" fontId="7" numFmtId="0" xfId="0" applyAlignment="1" applyBorder="1" applyFill="1" applyFont="1">
      <alignment horizontal="center" vertical="center"/>
    </xf>
    <xf borderId="14" fillId="0" fontId="7" numFmtId="0" xfId="0" applyAlignment="1" applyBorder="1" applyFont="1">
      <alignment vertical="center"/>
    </xf>
    <xf borderId="14" fillId="0" fontId="7" numFmtId="164" xfId="0" applyAlignment="1" applyBorder="1" applyFont="1" applyNumberFormat="1">
      <alignment horizontal="right" vertical="center"/>
    </xf>
    <xf borderId="14" fillId="2" fontId="7" numFmtId="0" xfId="0" applyAlignment="1" applyBorder="1" applyFill="1" applyFont="1">
      <alignment horizontal="right" vertical="center"/>
    </xf>
    <xf borderId="14" fillId="2" fontId="19" numFmtId="165" xfId="0" applyAlignment="1" applyBorder="1" applyFill="1" applyFont="1" applyNumberFormat="1">
      <alignment vertical="center"/>
    </xf>
    <xf borderId="14" fillId="0" fontId="19" numFmtId="165" xfId="0" applyAlignment="1" applyBorder="1" applyFont="1" applyNumberFormat="1">
      <alignment horizontal="center" vertical="center"/>
    </xf>
    <xf borderId="14" fillId="2" fontId="7" numFmtId="0" xfId="0" applyAlignment="1" applyBorder="1" applyFill="1" applyFont="1">
      <alignment horizontal="center" vertical="center"/>
    </xf>
    <xf quotePrefix="1" borderId="14" fillId="7" fontId="17" numFmtId="0" xfId="0" applyAlignment="1" applyBorder="1" applyFill="1" applyFont="1">
      <alignment vertical="center"/>
    </xf>
    <xf borderId="32" fillId="2" fontId="7" numFmtId="0" xfId="0" applyAlignment="1" applyBorder="1" applyFill="1" applyFont="1">
      <alignment horizontal="center" vertical="center"/>
    </xf>
    <xf borderId="14" fillId="10" fontId="19" numFmtId="165" xfId="0" applyAlignment="1" applyBorder="1" applyFill="1" applyFont="1" applyNumberFormat="1">
      <alignment horizontal="center" vertical="center"/>
    </xf>
    <xf borderId="14" fillId="0" fontId="17" numFmtId="0" xfId="0" applyAlignment="1" applyBorder="1" applyFont="1">
      <alignment horizontal="center" shrinkToFit="0" vertical="center" wrapText="1"/>
    </xf>
    <xf quotePrefix="1" borderId="14" fillId="0" fontId="7" numFmtId="0" xfId="0" applyAlignment="1" applyBorder="1" applyFont="1">
      <alignment vertical="center"/>
    </xf>
    <xf borderId="14" fillId="0" fontId="17" numFmtId="0" xfId="0" applyAlignment="1" applyBorder="1" applyFont="1">
      <alignment horizontal="center" vertical="center"/>
    </xf>
    <xf borderId="14" fillId="0" fontId="7" numFmtId="0" xfId="0" applyAlignment="1" applyBorder="1" applyFont="1">
      <alignment shrinkToFit="0" vertical="center" wrapText="1"/>
    </xf>
    <xf borderId="14" fillId="0" fontId="19" numFmtId="165" xfId="0" applyAlignment="1" applyBorder="1" applyFont="1" applyNumberFormat="1">
      <alignment vertical="center"/>
    </xf>
    <xf borderId="14" fillId="2" fontId="7" numFmtId="164" xfId="0" applyAlignment="1" applyBorder="1" applyFill="1" applyFont="1" applyNumberFormat="1">
      <alignment horizontal="right" vertical="center"/>
    </xf>
    <xf borderId="14" fillId="0" fontId="7" numFmtId="0" xfId="0" applyAlignment="1" applyBorder="1" applyFont="1">
      <alignment horizontal="center" shrinkToFit="0" vertical="center" wrapText="1"/>
    </xf>
    <xf borderId="17" fillId="0" fontId="17" numFmtId="0" xfId="0" applyAlignment="1" applyBorder="1" applyFont="1">
      <alignment horizontal="center" shrinkToFit="0" vertical="center" wrapText="1"/>
    </xf>
    <xf borderId="14" fillId="7" fontId="19" numFmtId="165" xfId="0" applyAlignment="1" applyBorder="1" applyFill="1" applyFont="1" applyNumberFormat="1">
      <alignment horizontal="center" vertical="center"/>
    </xf>
    <xf borderId="14" fillId="0" fontId="26" numFmtId="166" xfId="0" applyAlignment="1" applyBorder="1" applyFont="1" applyNumberFormat="1">
      <alignment horizontal="right" shrinkToFit="0" vertical="center" wrapText="1"/>
    </xf>
    <xf borderId="25" fillId="5" fontId="18" numFmtId="165" xfId="0" applyAlignment="1" applyBorder="1" applyFill="1" applyFont="1" applyNumberFormat="1">
      <alignment readingOrder="0" vertical="center"/>
    </xf>
    <xf borderId="14" fillId="14" fontId="7" numFmtId="0" xfId="0" applyAlignment="1" applyBorder="1" applyFill="1" applyFont="1">
      <alignment vertical="center"/>
    </xf>
    <xf borderId="14" fillId="14" fontId="26" numFmtId="166" xfId="0" applyAlignment="1" applyBorder="1" applyFill="1" applyFont="1" applyNumberFormat="1">
      <alignment horizontal="right" shrinkToFit="0" vertical="center" wrapText="1"/>
    </xf>
    <xf borderId="14" fillId="14" fontId="7" numFmtId="0" xfId="0" applyAlignment="1" applyBorder="1" applyFill="1" applyFont="1">
      <alignment horizontal="right" vertical="center"/>
    </xf>
    <xf borderId="14" fillId="14" fontId="19" numFmtId="165" xfId="0" applyAlignment="1" applyBorder="1" applyFill="1" applyFont="1" applyNumberFormat="1">
      <alignment vertical="center"/>
    </xf>
    <xf borderId="33" fillId="13" fontId="27" numFmtId="0" xfId="0" applyAlignment="1" applyBorder="1" applyFill="1" applyFont="1">
      <alignment horizontal="center" shrinkToFit="0" vertical="center" wrapText="1"/>
    </xf>
    <xf borderId="34" fillId="2" fontId="19" numFmtId="165" xfId="0" applyAlignment="1" applyBorder="1" applyFill="1" applyFont="1" applyNumberFormat="1">
      <alignment vertical="center"/>
    </xf>
    <xf borderId="14" fillId="8" fontId="17" numFmtId="0" xfId="0" applyAlignment="1" applyBorder="1" applyFill="1" applyFont="1">
      <alignment horizontal="center" vertical="center"/>
    </xf>
    <xf borderId="17" fillId="0" fontId="7" numFmtId="0" xfId="0" applyAlignment="1" applyBorder="1" applyFont="1">
      <alignment horizontal="center" shrinkToFit="0" vertical="center" wrapText="1"/>
    </xf>
    <xf borderId="35" fillId="10" fontId="19" numFmtId="165" xfId="0" applyAlignment="1" applyBorder="1" applyFill="1" applyFont="1" applyNumberFormat="1">
      <alignment horizontal="center" vertical="center"/>
    </xf>
    <xf borderId="14" fillId="10" fontId="7" numFmtId="0" xfId="0" applyAlignment="1" applyBorder="1" applyFill="1" applyFont="1">
      <alignment horizontal="right" vertical="center"/>
    </xf>
    <xf borderId="36" fillId="0" fontId="19" numFmtId="165" xfId="0" applyAlignment="1" applyBorder="1" applyFont="1" applyNumberFormat="1">
      <alignment horizontal="center" vertical="center"/>
    </xf>
    <xf borderId="14" fillId="9" fontId="7" numFmtId="0" xfId="0" applyAlignment="1" applyBorder="1" applyFill="1" applyFont="1">
      <alignment vertical="center"/>
    </xf>
    <xf borderId="14" fillId="9" fontId="7" numFmtId="164" xfId="0" applyAlignment="1" applyBorder="1" applyFill="1" applyFont="1" applyNumberFormat="1">
      <alignment horizontal="right" vertical="center"/>
    </xf>
    <xf borderId="14" fillId="9" fontId="7" numFmtId="0" xfId="0" applyAlignment="1" applyBorder="1" applyFill="1" applyFont="1">
      <alignment horizontal="right" vertical="center"/>
    </xf>
    <xf borderId="14" fillId="9" fontId="19" numFmtId="165" xfId="0" applyAlignment="1" applyBorder="1" applyFill="1" applyFont="1" applyNumberFormat="1">
      <alignment vertical="center"/>
    </xf>
    <xf borderId="32" fillId="9" fontId="7" numFmtId="0" xfId="0" applyAlignment="1" applyBorder="1" applyFill="1" applyFont="1">
      <alignment horizontal="center" shrinkToFit="0" vertical="center" wrapText="1"/>
    </xf>
    <xf borderId="14" fillId="9" fontId="7" numFmtId="0" xfId="0" applyAlignment="1" applyBorder="1" applyFill="1" applyFont="1">
      <alignment horizontal="center" shrinkToFit="0" vertical="center" wrapText="1"/>
    </xf>
    <xf borderId="14" fillId="0" fontId="7" numFmtId="0" xfId="0" applyAlignment="1" applyBorder="1" applyFont="1">
      <alignment horizontal="center" vertical="center"/>
    </xf>
    <xf borderId="14" fillId="0" fontId="7" numFmtId="0" xfId="0" applyAlignment="1" applyBorder="1" applyFont="1">
      <alignment horizontal="right" vertical="center"/>
    </xf>
    <xf borderId="14" fillId="9" fontId="26" numFmtId="166" xfId="0" applyAlignment="1" applyBorder="1" applyFill="1" applyFont="1" applyNumberFormat="1">
      <alignment horizontal="right" shrinkToFit="0" vertical="center" wrapText="1"/>
    </xf>
    <xf borderId="37" fillId="2" fontId="19" numFmtId="0" xfId="0" applyAlignment="1" applyBorder="1" applyFill="1" applyFont="1">
      <alignment horizontal="right" vertical="center"/>
    </xf>
    <xf borderId="17" fillId="0" fontId="3" numFmtId="0" xfId="0" applyBorder="1" applyFont="1"/>
    <xf borderId="32" fillId="2" fontId="19" numFmtId="0" xfId="0" applyAlignment="1" applyBorder="1" applyFill="1" applyFont="1">
      <alignment horizontal="right" vertical="center"/>
    </xf>
    <xf borderId="38" fillId="0" fontId="4" numFmtId="0" xfId="0" applyAlignment="1" applyBorder="1" applyFont="1">
      <alignment horizontal="center" vertical="center"/>
    </xf>
    <xf borderId="38" fillId="0" fontId="4" numFmtId="0" xfId="0" applyAlignment="1" applyBorder="1" applyFont="1">
      <alignment vertical="center"/>
    </xf>
    <xf borderId="38" fillId="0" fontId="4" numFmtId="164" xfId="0" applyAlignment="1" applyBorder="1" applyFont="1" applyNumberFormat="1">
      <alignment horizontal="right" vertical="center"/>
    </xf>
    <xf borderId="38" fillId="0" fontId="6" numFmtId="165" xfId="0" applyAlignment="1" applyBorder="1" applyFont="1" applyNumberFormat="1">
      <alignment vertical="center"/>
    </xf>
    <xf borderId="38" fillId="0" fontId="6" numFmtId="165" xfId="0" applyAlignment="1" applyBorder="1" applyFont="1" applyNumberFormat="1">
      <alignment horizontal="center" vertical="center"/>
    </xf>
    <xf borderId="38" fillId="0" fontId="4" numFmtId="0" xfId="0" applyAlignment="1" applyBorder="1" applyFont="1">
      <alignment horizontal="center" shrinkToFit="0" vertical="center" wrapText="1"/>
    </xf>
    <xf borderId="8" fillId="12" fontId="6" numFmtId="0" xfId="0" applyAlignment="1" applyBorder="1" applyFill="1" applyFont="1">
      <alignment horizontal="right" vertical="center"/>
    </xf>
    <xf borderId="39" fillId="12" fontId="6" numFmtId="0" xfId="0" applyAlignment="1" applyBorder="1" applyFill="1" applyFont="1">
      <alignment horizontal="right" vertical="center"/>
    </xf>
    <xf borderId="39" fillId="12" fontId="6" numFmtId="0" xfId="0" applyAlignment="1" applyBorder="1" applyFill="1" applyFont="1">
      <alignment horizontal="center" vertical="center"/>
    </xf>
    <xf borderId="21" fillId="12" fontId="6" numFmtId="165" xfId="0" applyAlignment="1" applyBorder="1" applyFill="1" applyFont="1" applyNumberFormat="1">
      <alignment vertical="center"/>
    </xf>
    <xf borderId="22" fillId="12" fontId="4" numFmtId="0" xfId="0" applyAlignment="1" applyBorder="1" applyFill="1" applyFont="1">
      <alignment horizontal="center" vertical="center"/>
    </xf>
    <xf borderId="0" fillId="0" fontId="19" numFmtId="0" xfId="0" applyAlignment="1" applyFont="1">
      <alignment horizontal="center" vertical="center"/>
    </xf>
    <xf borderId="36" fillId="10" fontId="19" numFmtId="165" xfId="0" applyAlignment="1" applyBorder="1" applyFill="1" applyFont="1" applyNumberFormat="1">
      <alignment horizontal="center" vertical="center"/>
    </xf>
    <xf borderId="36" fillId="5" fontId="19" numFmtId="165" xfId="0" applyAlignment="1" applyBorder="1" applyFill="1" applyFont="1" applyNumberFormat="1">
      <alignment horizontal="center" vertical="center"/>
    </xf>
    <xf borderId="14" fillId="14" fontId="7" numFmtId="164" xfId="0" applyAlignment="1" applyBorder="1" applyFill="1" applyFont="1" applyNumberFormat="1">
      <alignment horizontal="right" vertical="center"/>
    </xf>
    <xf borderId="17" fillId="0" fontId="7" numFmtId="0" xfId="0" applyAlignment="1" applyBorder="1" applyFont="1">
      <alignment horizontal="left" shrinkToFit="0" vertical="center" wrapText="1"/>
    </xf>
    <xf quotePrefix="1" borderId="14" fillId="14" fontId="7" numFmtId="0" xfId="0" applyAlignment="1" applyBorder="1" applyFill="1" applyFont="1">
      <alignment vertical="center"/>
    </xf>
    <xf borderId="40" fillId="0" fontId="19" numFmtId="165" xfId="0" applyAlignment="1" applyBorder="1" applyFont="1" applyNumberFormat="1">
      <alignment horizontal="center" vertical="center"/>
    </xf>
    <xf borderId="25" fillId="0" fontId="19" numFmtId="165" xfId="0" applyAlignment="1" applyBorder="1" applyFont="1" applyNumberFormat="1">
      <alignment horizontal="center" vertical="center"/>
    </xf>
    <xf borderId="14" fillId="2" fontId="7" numFmtId="0" xfId="0" applyAlignment="1" applyBorder="1" applyFill="1" applyFont="1">
      <alignment vertical="center"/>
    </xf>
    <xf borderId="14" fillId="10" fontId="19" numFmtId="165" xfId="0" applyAlignment="1" applyBorder="1" applyFill="1" applyFont="1" applyNumberFormat="1">
      <alignment vertical="center"/>
    </xf>
    <xf borderId="14" fillId="2" fontId="19" numFmtId="165" xfId="0" applyAlignment="1" applyBorder="1" applyFill="1" applyFont="1" applyNumberFormat="1">
      <alignment horizontal="center" vertical="center"/>
    </xf>
    <xf borderId="14" fillId="5" fontId="19" numFmtId="165" xfId="0" applyAlignment="1" applyBorder="1" applyFill="1" applyFont="1" applyNumberFormat="1">
      <alignment horizontal="center" vertical="center"/>
    </xf>
    <xf borderId="14" fillId="0" fontId="7" numFmtId="0" xfId="0" applyAlignment="1" applyBorder="1" applyFont="1">
      <alignment horizontal="left" shrinkToFit="0" vertical="center" wrapText="1"/>
    </xf>
    <xf borderId="14" fillId="15" fontId="7" numFmtId="0" xfId="0" applyAlignment="1" applyBorder="1" applyFill="1" applyFont="1">
      <alignment vertical="center"/>
    </xf>
    <xf borderId="14" fillId="15" fontId="7" numFmtId="164" xfId="0" applyAlignment="1" applyBorder="1" applyFill="1" applyFont="1" applyNumberFormat="1">
      <alignment horizontal="right" vertical="center"/>
    </xf>
    <xf borderId="14" fillId="15" fontId="7" numFmtId="0" xfId="0" applyAlignment="1" applyBorder="1" applyFill="1" applyFont="1">
      <alignment horizontal="right" vertical="center"/>
    </xf>
    <xf borderId="14" fillId="15" fontId="19" numFmtId="165" xfId="0" applyAlignment="1" applyBorder="1" applyFill="1" applyFont="1" applyNumberFormat="1">
      <alignment vertical="center"/>
    </xf>
    <xf borderId="14" fillId="15" fontId="19" numFmtId="165" xfId="0" applyAlignment="1" applyBorder="1" applyFill="1" applyFont="1" applyNumberFormat="1">
      <alignment horizontal="center" vertical="center"/>
    </xf>
    <xf borderId="14" fillId="2" fontId="6" numFmtId="165" xfId="0" applyAlignment="1" applyBorder="1" applyFill="1" applyFont="1" applyNumberFormat="1">
      <alignment vertical="center"/>
    </xf>
    <xf quotePrefix="1" borderId="14" fillId="2" fontId="7" numFmtId="0" xfId="0" applyAlignment="1" applyBorder="1" applyFill="1" applyFont="1">
      <alignment vertical="center"/>
    </xf>
    <xf borderId="4" fillId="2" fontId="6" numFmtId="0" xfId="0" applyBorder="1" applyFill="1" applyFont="1"/>
    <xf borderId="4" fillId="2" fontId="7" numFmtId="0" xfId="0" applyAlignment="1" applyBorder="1" applyFill="1" applyFont="1">
      <alignment horizontal="center"/>
    </xf>
    <xf borderId="4" fillId="2" fontId="28" numFmtId="0" xfId="0" applyAlignment="1" applyBorder="1" applyFill="1" applyFont="1">
      <alignment horizontal="center" vertical="center"/>
    </xf>
    <xf borderId="32" fillId="2" fontId="19" numFmtId="165" xfId="0" applyAlignment="1" applyBorder="1" applyFill="1" applyFont="1" applyNumberFormat="1">
      <alignment vertical="center"/>
    </xf>
    <xf quotePrefix="1" borderId="14" fillId="5" fontId="7" numFmtId="0" xfId="0" applyAlignment="1" applyBorder="1" applyFill="1" applyFont="1">
      <alignment horizontal="center" vertical="center"/>
    </xf>
    <xf borderId="14" fillId="5" fontId="7" numFmtId="0" xfId="0" applyAlignment="1" applyBorder="1" applyFill="1" applyFont="1">
      <alignment shrinkToFit="0" vertical="center" wrapText="1"/>
    </xf>
    <xf borderId="14" fillId="5" fontId="7" numFmtId="164" xfId="0" applyAlignment="1" applyBorder="1" applyFill="1" applyFont="1" applyNumberFormat="1">
      <alignment horizontal="right" vertical="center"/>
    </xf>
    <xf borderId="14" fillId="5" fontId="7" numFmtId="0" xfId="0" applyAlignment="1" applyBorder="1" applyFill="1" applyFont="1">
      <alignment horizontal="right" vertical="center"/>
    </xf>
    <xf borderId="14" fillId="5" fontId="19" numFmtId="165" xfId="0" applyAlignment="1" applyBorder="1" applyFill="1" applyFont="1" applyNumberFormat="1">
      <alignment vertical="center"/>
    </xf>
    <xf borderId="14" fillId="2" fontId="7" numFmtId="14" xfId="0" applyAlignment="1" applyBorder="1" applyFill="1" applyFont="1" applyNumberFormat="1">
      <alignment horizontal="right" vertical="center"/>
    </xf>
    <xf borderId="14" fillId="5" fontId="7" numFmtId="0" xfId="0" applyAlignment="1" applyBorder="1" applyFill="1" applyFont="1">
      <alignment horizontal="center" shrinkToFit="0" vertical="center" wrapText="1"/>
    </xf>
    <xf borderId="14" fillId="7" fontId="19" numFmtId="165" xfId="0" applyAlignment="1" applyBorder="1" applyFill="1" applyFont="1" applyNumberFormat="1">
      <alignment vertical="center"/>
    </xf>
    <xf borderId="14" fillId="10" fontId="29" numFmtId="165" xfId="0" applyAlignment="1" applyBorder="1" applyFill="1" applyFont="1" applyNumberFormat="1">
      <alignment horizontal="center" vertical="center"/>
    </xf>
    <xf borderId="14" fillId="5" fontId="7" numFmtId="0" xfId="0" applyAlignment="1" applyBorder="1" applyFill="1" applyFont="1">
      <alignment vertical="center"/>
    </xf>
    <xf borderId="14" fillId="11" fontId="7" numFmtId="0" xfId="0" applyAlignment="1" applyBorder="1" applyFill="1" applyFont="1">
      <alignment horizontal="left" shrinkToFit="0" vertical="center" wrapText="1"/>
    </xf>
    <xf borderId="14" fillId="11" fontId="7" numFmtId="0" xfId="0" applyAlignment="1" applyBorder="1" applyFill="1" applyFont="1">
      <alignment vertical="center"/>
    </xf>
    <xf borderId="14" fillId="10" fontId="7" numFmtId="0" xfId="0" applyAlignment="1" applyBorder="1" applyFill="1" applyFont="1">
      <alignment shrinkToFit="0" vertical="center" wrapText="1"/>
    </xf>
    <xf borderId="14" fillId="10" fontId="7" numFmtId="14" xfId="0" applyAlignment="1" applyBorder="1" applyFill="1" applyFont="1" applyNumberFormat="1">
      <alignment horizontal="right" vertical="center"/>
    </xf>
    <xf borderId="14" fillId="10" fontId="7" numFmtId="0" xfId="0" applyAlignment="1" applyBorder="1" applyFill="1" applyFont="1">
      <alignment horizontal="center" vertical="center"/>
    </xf>
    <xf borderId="14" fillId="10" fontId="7" numFmtId="0" xfId="0" applyAlignment="1" applyBorder="1" applyFill="1" applyFont="1">
      <alignment vertical="center"/>
    </xf>
    <xf borderId="14" fillId="0" fontId="7" numFmtId="14" xfId="0" applyAlignment="1" applyBorder="1" applyFont="1" applyNumberFormat="1">
      <alignment horizontal="right" vertical="center"/>
    </xf>
    <xf quotePrefix="1" borderId="14" fillId="10" fontId="7" numFmtId="0" xfId="0" applyAlignment="1" applyBorder="1" applyFill="1" applyFont="1">
      <alignment vertical="center"/>
    </xf>
    <xf quotePrefix="1" borderId="14" fillId="2" fontId="7" numFmtId="14" xfId="0" applyAlignment="1" applyBorder="1" applyFill="1" applyFont="1" applyNumberFormat="1">
      <alignment horizontal="right" vertical="center"/>
    </xf>
    <xf borderId="14" fillId="2" fontId="29" numFmtId="165" xfId="0" applyAlignment="1" applyBorder="1" applyFill="1" applyFont="1" applyNumberFormat="1">
      <alignment horizontal="center" vertical="center"/>
    </xf>
    <xf quotePrefix="1" borderId="14" fillId="0" fontId="7" numFmtId="14" xfId="0" applyAlignment="1" applyBorder="1" applyFont="1" applyNumberFormat="1">
      <alignment horizontal="right" vertical="center"/>
    </xf>
    <xf borderId="14" fillId="0" fontId="29" numFmtId="165" xfId="0" applyAlignment="1" applyBorder="1" applyFont="1" applyNumberFormat="1">
      <alignment horizontal="center" vertical="center"/>
    </xf>
    <xf borderId="14" fillId="2" fontId="29" numFmtId="165" xfId="0" applyAlignment="1" applyBorder="1" applyFill="1" applyFont="1" applyNumberFormat="1">
      <alignment vertical="center"/>
    </xf>
    <xf borderId="4" fillId="2" fontId="19" numFmtId="0" xfId="0" applyBorder="1" applyFill="1" applyFont="1"/>
    <xf quotePrefix="1" borderId="14" fillId="2" fontId="7" numFmtId="0" xfId="0" applyAlignment="1" applyBorder="1" applyFill="1" applyFont="1">
      <alignment horizontal="center"/>
    </xf>
    <xf borderId="14" fillId="2" fontId="7" numFmtId="0" xfId="0" applyBorder="1" applyFill="1" applyFont="1"/>
    <xf borderId="14" fillId="2" fontId="19" numFmtId="165" xfId="0" applyBorder="1" applyFill="1" applyFont="1" applyNumberFormat="1"/>
    <xf borderId="32" fillId="2" fontId="19" numFmtId="165" xfId="0" applyBorder="1" applyFill="1" applyFont="1" applyNumberFormat="1"/>
    <xf borderId="32" fillId="2" fontId="7" numFmtId="0" xfId="0" applyAlignment="1" applyBorder="1" applyFill="1" applyFont="1">
      <alignment horizontal="center"/>
    </xf>
    <xf borderId="14" fillId="2" fontId="7" numFmtId="0" xfId="0" applyAlignment="1" applyBorder="1" applyFill="1" applyFont="1">
      <alignment horizontal="center"/>
    </xf>
    <xf quotePrefix="1" borderId="14" fillId="2" fontId="7" numFmtId="0" xfId="0" applyBorder="1" applyFill="1" applyFont="1"/>
    <xf borderId="14" fillId="2" fontId="19" numFmtId="0" xfId="0" applyBorder="1" applyFill="1" applyFont="1"/>
    <xf borderId="14" fillId="13" fontId="30" numFmtId="17" xfId="0" applyAlignment="1" applyBorder="1" applyFill="1" applyFont="1" applyNumberFormat="1">
      <alignment horizontal="center"/>
    </xf>
    <xf borderId="14" fillId="5" fontId="7" numFmtId="0" xfId="0" applyAlignment="1" applyBorder="1" applyFill="1" applyFont="1">
      <alignment horizontal="center" vertical="center"/>
    </xf>
    <xf borderId="34" fillId="5" fontId="19" numFmtId="0" xfId="0" applyAlignment="1" applyBorder="1" applyFill="1" applyFont="1">
      <alignment horizontal="right" vertical="center"/>
    </xf>
    <xf borderId="32" fillId="5" fontId="19" numFmtId="0" xfId="0" applyAlignment="1" applyBorder="1" applyFill="1" applyFont="1">
      <alignment horizontal="right" vertic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38100</xdr:colOff>
      <xdr:row>2</xdr:row>
      <xdr:rowOff>38100</xdr:rowOff>
    </xdr:from>
    <xdr:ext cx="3267075" cy="352425"/>
    <xdr:sp>
      <xdr:nvSpPr>
        <xdr:cNvPr id="3" name="Shape 3"/>
        <xdr:cNvSpPr txBox="1"/>
      </xdr:nvSpPr>
      <xdr:spPr>
        <a:xfrm>
          <a:off x="3788676" y="3613325"/>
          <a:ext cx="3248400" cy="33330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Sheet: </a:t>
          </a: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August</a:t>
          </a: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-26 </a:t>
          </a:r>
          <a:endParaRPr b="1" sz="16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485775</xdr:colOff>
      <xdr:row>0</xdr:row>
      <xdr:rowOff>190500</xdr:rowOff>
    </xdr:from>
    <xdr:ext cx="942975" cy="7620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304800</xdr:colOff>
      <xdr:row>0</xdr:row>
      <xdr:rowOff>161925</xdr:rowOff>
    </xdr:from>
    <xdr:ext cx="638175" cy="4572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123825</xdr:colOff>
      <xdr:row>2</xdr:row>
      <xdr:rowOff>38100</xdr:rowOff>
    </xdr:from>
    <xdr:ext cx="3133725" cy="352425"/>
    <xdr:sp>
      <xdr:nvSpPr>
        <xdr:cNvPr id="3" name="Shape 3"/>
        <xdr:cNvSpPr txBox="1"/>
      </xdr:nvSpPr>
      <xdr:spPr>
        <a:xfrm>
          <a:off x="3788663" y="3613313"/>
          <a:ext cx="3114675" cy="3333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Sheet: </a:t>
          </a: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July</a:t>
          </a: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-26 </a:t>
          </a:r>
          <a:endParaRPr b="1" sz="16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485775</xdr:colOff>
      <xdr:row>0</xdr:row>
      <xdr:rowOff>190500</xdr:rowOff>
    </xdr:from>
    <xdr:ext cx="942975" cy="7620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304800</xdr:colOff>
      <xdr:row>0</xdr:row>
      <xdr:rowOff>161925</xdr:rowOff>
    </xdr:from>
    <xdr:ext cx="638175" cy="4572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123825</xdr:colOff>
      <xdr:row>2</xdr:row>
      <xdr:rowOff>38100</xdr:rowOff>
    </xdr:from>
    <xdr:ext cx="3133725" cy="352425"/>
    <xdr:sp>
      <xdr:nvSpPr>
        <xdr:cNvPr id="3" name="Shape 3"/>
        <xdr:cNvSpPr txBox="1"/>
      </xdr:nvSpPr>
      <xdr:spPr>
        <a:xfrm>
          <a:off x="3788663" y="3613313"/>
          <a:ext cx="3114675" cy="3333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Sheet: </a:t>
          </a: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June</a:t>
          </a: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-26 </a:t>
          </a:r>
          <a:endParaRPr b="1" sz="16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485775</xdr:colOff>
      <xdr:row>0</xdr:row>
      <xdr:rowOff>190500</xdr:rowOff>
    </xdr:from>
    <xdr:ext cx="942975" cy="7620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304800</xdr:colOff>
      <xdr:row>0</xdr:row>
      <xdr:rowOff>161925</xdr:rowOff>
    </xdr:from>
    <xdr:ext cx="638175" cy="4572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1514475</xdr:colOff>
      <xdr:row>2</xdr:row>
      <xdr:rowOff>28575</xdr:rowOff>
    </xdr:from>
    <xdr:ext cx="3124200" cy="342900"/>
    <xdr:sp>
      <xdr:nvSpPr>
        <xdr:cNvPr id="3" name="Shape 3"/>
        <xdr:cNvSpPr txBox="1"/>
      </xdr:nvSpPr>
      <xdr:spPr>
        <a:xfrm>
          <a:off x="3788663" y="3613313"/>
          <a:ext cx="3114675" cy="3333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Sheet: May-26 </a:t>
          </a:r>
          <a:endParaRPr b="1" sz="16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485775</xdr:colOff>
      <xdr:row>0</xdr:row>
      <xdr:rowOff>190500</xdr:rowOff>
    </xdr:from>
    <xdr:ext cx="942975" cy="7620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304800</xdr:colOff>
      <xdr:row>0</xdr:row>
      <xdr:rowOff>161925</xdr:rowOff>
    </xdr:from>
    <xdr:ext cx="638175" cy="4572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1514475</xdr:colOff>
      <xdr:row>2</xdr:row>
      <xdr:rowOff>28575</xdr:rowOff>
    </xdr:from>
    <xdr:ext cx="3076575" cy="342900"/>
    <xdr:sp>
      <xdr:nvSpPr>
        <xdr:cNvPr id="4" name="Shape 4"/>
        <xdr:cNvSpPr txBox="1"/>
      </xdr:nvSpPr>
      <xdr:spPr>
        <a:xfrm>
          <a:off x="3812475" y="3613313"/>
          <a:ext cx="3067050" cy="3333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Sheet: April-26 </a:t>
          </a:r>
          <a:endParaRPr b="1" sz="16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485775</xdr:colOff>
      <xdr:row>0</xdr:row>
      <xdr:rowOff>190500</xdr:rowOff>
    </xdr:from>
    <xdr:ext cx="942975" cy="7620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304800</xdr:colOff>
      <xdr:row>0</xdr:row>
      <xdr:rowOff>161925</xdr:rowOff>
    </xdr:from>
    <xdr:ext cx="638175" cy="4572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1514475</xdr:colOff>
      <xdr:row>2</xdr:row>
      <xdr:rowOff>28575</xdr:rowOff>
    </xdr:from>
    <xdr:ext cx="3181350" cy="342900"/>
    <xdr:sp>
      <xdr:nvSpPr>
        <xdr:cNvPr id="5" name="Shape 5"/>
        <xdr:cNvSpPr txBox="1"/>
      </xdr:nvSpPr>
      <xdr:spPr>
        <a:xfrm>
          <a:off x="3760088" y="3613313"/>
          <a:ext cx="3171825" cy="3333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Sheet: March-26 </a:t>
          </a:r>
          <a:endParaRPr b="1" sz="16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485775</xdr:colOff>
      <xdr:row>0</xdr:row>
      <xdr:rowOff>190500</xdr:rowOff>
    </xdr:from>
    <xdr:ext cx="942975" cy="7620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304800</xdr:colOff>
      <xdr:row>0</xdr:row>
      <xdr:rowOff>161925</xdr:rowOff>
    </xdr:from>
    <xdr:ext cx="638175" cy="4572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57150</xdr:colOff>
      <xdr:row>2</xdr:row>
      <xdr:rowOff>47625</xdr:rowOff>
    </xdr:from>
    <xdr:ext cx="2809875" cy="333375"/>
    <xdr:sp>
      <xdr:nvSpPr>
        <xdr:cNvPr id="6" name="Shape 6"/>
        <xdr:cNvSpPr txBox="1"/>
      </xdr:nvSpPr>
      <xdr:spPr>
        <a:xfrm>
          <a:off x="3945825" y="3618075"/>
          <a:ext cx="2800350" cy="32385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371475</xdr:colOff>
      <xdr:row>0</xdr:row>
      <xdr:rowOff>85725</xdr:rowOff>
    </xdr:from>
    <xdr:ext cx="1066800" cy="8572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142875</xdr:colOff>
      <xdr:row>2</xdr:row>
      <xdr:rowOff>38100</xdr:rowOff>
    </xdr:from>
    <xdr:ext cx="2809875" cy="333375"/>
    <xdr:sp>
      <xdr:nvSpPr>
        <xdr:cNvPr id="7" name="Shape 7"/>
        <xdr:cNvSpPr txBox="1"/>
      </xdr:nvSpPr>
      <xdr:spPr>
        <a:xfrm>
          <a:off x="3945825" y="3618075"/>
          <a:ext cx="2800350" cy="32385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323850</xdr:colOff>
      <xdr:row>0</xdr:row>
      <xdr:rowOff>85725</xdr:rowOff>
    </xdr:from>
    <xdr:ext cx="1066800" cy="8572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38100</xdr:colOff>
      <xdr:row>2</xdr:row>
      <xdr:rowOff>38100</xdr:rowOff>
    </xdr:from>
    <xdr:ext cx="2781300" cy="333375"/>
    <xdr:sp>
      <xdr:nvSpPr>
        <xdr:cNvPr id="8" name="Shape 8"/>
        <xdr:cNvSpPr txBox="1"/>
      </xdr:nvSpPr>
      <xdr:spPr>
        <a:xfrm>
          <a:off x="3960113" y="3618075"/>
          <a:ext cx="2771775" cy="32385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323850</xdr:colOff>
      <xdr:row>0</xdr:row>
      <xdr:rowOff>85725</xdr:rowOff>
    </xdr:from>
    <xdr:ext cx="1066800" cy="8572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1485900</xdr:colOff>
      <xdr:row>2</xdr:row>
      <xdr:rowOff>19050</xdr:rowOff>
    </xdr:from>
    <xdr:ext cx="2752725" cy="333375"/>
    <xdr:sp>
      <xdr:nvSpPr>
        <xdr:cNvPr id="9" name="Shape 9"/>
        <xdr:cNvSpPr txBox="1"/>
      </xdr:nvSpPr>
      <xdr:spPr>
        <a:xfrm>
          <a:off x="3974400" y="3618075"/>
          <a:ext cx="2743200" cy="32385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323850</xdr:colOff>
      <xdr:row>0</xdr:row>
      <xdr:rowOff>85725</xdr:rowOff>
    </xdr:from>
    <xdr:ext cx="1066800" cy="8572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1409700</xdr:colOff>
      <xdr:row>2</xdr:row>
      <xdr:rowOff>38100</xdr:rowOff>
    </xdr:from>
    <xdr:ext cx="3638550" cy="333375"/>
    <xdr:sp>
      <xdr:nvSpPr>
        <xdr:cNvPr id="10" name="Shape 10"/>
        <xdr:cNvSpPr txBox="1"/>
      </xdr:nvSpPr>
      <xdr:spPr>
        <a:xfrm>
          <a:off x="3531488" y="3618075"/>
          <a:ext cx="3629025" cy="32385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of October'25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323850</xdr:colOff>
      <xdr:row>0</xdr:row>
      <xdr:rowOff>85725</xdr:rowOff>
    </xdr:from>
    <xdr:ext cx="1066800" cy="8572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2</xdr:row>
      <xdr:rowOff>19050</xdr:rowOff>
    </xdr:from>
    <xdr:ext cx="4143375" cy="323850"/>
    <xdr:sp>
      <xdr:nvSpPr>
        <xdr:cNvPr id="11" name="Shape 11"/>
        <xdr:cNvSpPr txBox="1"/>
      </xdr:nvSpPr>
      <xdr:spPr>
        <a:xfrm>
          <a:off x="3279075" y="3622838"/>
          <a:ext cx="4133850" cy="31432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8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 September-2025</a:t>
          </a:r>
          <a:endParaRPr b="1" sz="18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38100</xdr:colOff>
      <xdr:row>0</xdr:row>
      <xdr:rowOff>95250</xdr:rowOff>
    </xdr:from>
    <xdr:ext cx="1066800" cy="8667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1171575</xdr:colOff>
      <xdr:row>4</xdr:row>
      <xdr:rowOff>19050</xdr:rowOff>
    </xdr:from>
    <xdr:ext cx="3219450" cy="323850"/>
    <xdr:sp>
      <xdr:nvSpPr>
        <xdr:cNvPr id="12" name="Shape 12"/>
        <xdr:cNvSpPr txBox="1"/>
      </xdr:nvSpPr>
      <xdr:spPr>
        <a:xfrm>
          <a:off x="3741038" y="3622838"/>
          <a:ext cx="3209925" cy="31432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Salary: August'25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38100</xdr:colOff>
      <xdr:row>2</xdr:row>
      <xdr:rowOff>28575</xdr:rowOff>
    </xdr:from>
    <xdr:ext cx="1123950" cy="9048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1238250</xdr:colOff>
      <xdr:row>4</xdr:row>
      <xdr:rowOff>19050</xdr:rowOff>
    </xdr:from>
    <xdr:ext cx="3314700" cy="476250"/>
    <xdr:sp>
      <xdr:nvSpPr>
        <xdr:cNvPr id="13" name="Shape 13"/>
        <xdr:cNvSpPr txBox="1"/>
      </xdr:nvSpPr>
      <xdr:spPr>
        <a:xfrm>
          <a:off x="3693413" y="3541875"/>
          <a:ext cx="3305175" cy="47625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Sheet: July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104775</xdr:colOff>
      <xdr:row>2</xdr:row>
      <xdr:rowOff>95250</xdr:rowOff>
    </xdr:from>
    <xdr:ext cx="1295400" cy="10477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1019175</xdr:colOff>
      <xdr:row>4</xdr:row>
      <xdr:rowOff>19050</xdr:rowOff>
    </xdr:from>
    <xdr:ext cx="3886200" cy="419100"/>
    <xdr:sp>
      <xdr:nvSpPr>
        <xdr:cNvPr id="14" name="Shape 14"/>
        <xdr:cNvSpPr txBox="1"/>
      </xdr:nvSpPr>
      <xdr:spPr>
        <a:xfrm>
          <a:off x="3407663" y="3575213"/>
          <a:ext cx="3876675" cy="4095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 June-2025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104775</xdr:colOff>
      <xdr:row>2</xdr:row>
      <xdr:rowOff>104775</xdr:rowOff>
    </xdr:from>
    <xdr:ext cx="1352550" cy="9239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1457325</xdr:colOff>
      <xdr:row>4</xdr:row>
      <xdr:rowOff>38100</xdr:rowOff>
    </xdr:from>
    <xdr:ext cx="2886075" cy="476250"/>
    <xdr:sp>
      <xdr:nvSpPr>
        <xdr:cNvPr id="15" name="Shape 15"/>
        <xdr:cNvSpPr txBox="1"/>
      </xdr:nvSpPr>
      <xdr:spPr>
        <a:xfrm>
          <a:off x="3907725" y="3541875"/>
          <a:ext cx="2876550" cy="47625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104775</xdr:colOff>
      <xdr:row>2</xdr:row>
      <xdr:rowOff>209550</xdr:rowOff>
    </xdr:from>
    <xdr:ext cx="1295400" cy="10477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1095375</xdr:colOff>
      <xdr:row>4</xdr:row>
      <xdr:rowOff>28575</xdr:rowOff>
    </xdr:from>
    <xdr:ext cx="2952750" cy="390525"/>
    <xdr:sp>
      <xdr:nvSpPr>
        <xdr:cNvPr id="16" name="Shape 16"/>
        <xdr:cNvSpPr txBox="1"/>
      </xdr:nvSpPr>
      <xdr:spPr>
        <a:xfrm>
          <a:off x="3874388" y="3589500"/>
          <a:ext cx="2943225" cy="38100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Till July-2025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19050</xdr:colOff>
      <xdr:row>2</xdr:row>
      <xdr:rowOff>114300</xdr:rowOff>
    </xdr:from>
    <xdr:ext cx="1266825" cy="8572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9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0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11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12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4.71"/>
    <col customWidth="1" min="2" max="2" width="21.71"/>
    <col customWidth="1" min="3" max="3" width="10.57"/>
    <col customWidth="1" min="4" max="4" width="6.43"/>
    <col customWidth="1" min="5" max="8" width="11.29"/>
    <col customWidth="1" min="9" max="9" width="15.14"/>
    <col customWidth="1" min="10" max="12" width="9.14"/>
    <col customWidth="1" min="13" max="26" width="8.71"/>
  </cols>
  <sheetData>
    <row r="1" ht="16.5" customHeight="1">
      <c r="A1" s="1" t="s">
        <v>1</v>
      </c>
      <c r="B1" s="3"/>
      <c r="C1" s="3"/>
      <c r="D1" s="3"/>
      <c r="E1" s="3"/>
      <c r="F1" s="3"/>
      <c r="G1" s="3"/>
      <c r="H1" s="3"/>
      <c r="I1" s="4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6" t="s">
        <v>2</v>
      </c>
      <c r="B2" s="3"/>
      <c r="C2" s="3"/>
      <c r="D2" s="3"/>
      <c r="E2" s="3"/>
      <c r="F2" s="3"/>
      <c r="G2" s="3"/>
      <c r="H2" s="3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7"/>
      <c r="B3" s="7"/>
      <c r="C3" s="5"/>
      <c r="D3" s="8"/>
      <c r="E3" s="9"/>
      <c r="F3" s="9"/>
      <c r="G3" s="10"/>
      <c r="H3" s="10"/>
      <c r="I3" s="11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7"/>
      <c r="B4" s="7"/>
      <c r="C4" s="5"/>
      <c r="D4" s="8"/>
      <c r="E4" s="9"/>
      <c r="F4" s="9"/>
      <c r="G4" s="10"/>
      <c r="H4" s="10"/>
      <c r="I4" s="11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9.0" customHeight="1">
      <c r="A5" s="12"/>
      <c r="B5" s="3"/>
      <c r="C5" s="3"/>
      <c r="D5" s="3"/>
      <c r="E5" s="3"/>
      <c r="F5" s="3"/>
      <c r="G5" s="3"/>
      <c r="H5" s="3"/>
      <c r="I5" s="4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13" t="s">
        <v>3</v>
      </c>
      <c r="B6" s="15" t="s">
        <v>4</v>
      </c>
      <c r="C6" s="16" t="s">
        <v>5</v>
      </c>
      <c r="D6" s="17" t="s">
        <v>8</v>
      </c>
      <c r="E6" s="16" t="s">
        <v>7</v>
      </c>
      <c r="F6" s="16" t="s">
        <v>9</v>
      </c>
      <c r="G6" s="16" t="s">
        <v>10</v>
      </c>
      <c r="H6" s="16" t="s">
        <v>11</v>
      </c>
      <c r="I6" s="18" t="s">
        <v>12</v>
      </c>
      <c r="J6" s="19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9.5" customHeight="1">
      <c r="A7" s="20" t="s">
        <v>13</v>
      </c>
      <c r="B7" s="21"/>
      <c r="C7" s="21"/>
      <c r="D7" s="21"/>
      <c r="E7" s="21"/>
      <c r="F7" s="21"/>
      <c r="G7" s="21"/>
      <c r="H7" s="21"/>
      <c r="I7" s="22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6.5" customHeight="1">
      <c r="A8" s="23" t="s">
        <v>14</v>
      </c>
      <c r="B8" s="24" t="s">
        <v>15</v>
      </c>
      <c r="C8" s="25">
        <v>45791.0</v>
      </c>
      <c r="D8" s="26">
        <f t="shared" ref="D8:D28" si="1">31</f>
        <v>31</v>
      </c>
      <c r="E8" s="27">
        <f>145000+55000+100000</f>
        <v>300000</v>
      </c>
      <c r="F8" s="28">
        <f t="shared" ref="F8:F10" si="2">E8/31*D8</f>
        <v>300000</v>
      </c>
      <c r="G8" s="29"/>
      <c r="H8" s="30">
        <f t="shared" ref="H8:H16" si="3">F8-G8</f>
        <v>300000</v>
      </c>
      <c r="I8" s="31" t="s">
        <v>16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33" t="s">
        <v>18</v>
      </c>
      <c r="B9" s="35" t="s">
        <v>19</v>
      </c>
      <c r="C9" s="36">
        <v>43822.0</v>
      </c>
      <c r="D9" s="37">
        <f t="shared" si="1"/>
        <v>31</v>
      </c>
      <c r="E9" s="38">
        <f>120000+30000</f>
        <v>150000</v>
      </c>
      <c r="F9" s="39">
        <f t="shared" si="2"/>
        <v>150000</v>
      </c>
      <c r="G9" s="40"/>
      <c r="H9" s="41">
        <f t="shared" si="3"/>
        <v>150000</v>
      </c>
      <c r="I9" s="42" t="s">
        <v>20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6.5" customHeight="1">
      <c r="A10" s="37" t="s">
        <v>22</v>
      </c>
      <c r="B10" s="35" t="s">
        <v>23</v>
      </c>
      <c r="C10" s="36">
        <v>45787.0</v>
      </c>
      <c r="D10" s="37">
        <f t="shared" si="1"/>
        <v>31</v>
      </c>
      <c r="E10" s="38">
        <v>75000.0</v>
      </c>
      <c r="F10" s="39">
        <f t="shared" si="2"/>
        <v>75000</v>
      </c>
      <c r="G10" s="40"/>
      <c r="H10" s="41">
        <f t="shared" si="3"/>
        <v>75000</v>
      </c>
      <c r="I10" s="44" t="s">
        <v>24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6.5" customHeight="1">
      <c r="A11" s="37" t="s">
        <v>25</v>
      </c>
      <c r="B11" s="35" t="s">
        <v>26</v>
      </c>
      <c r="C11" s="36">
        <v>44251.0</v>
      </c>
      <c r="D11" s="37">
        <f t="shared" si="1"/>
        <v>31</v>
      </c>
      <c r="E11" s="38">
        <f>75000+25000</f>
        <v>100000</v>
      </c>
      <c r="F11" s="39">
        <f>E11/31*D11-417</f>
        <v>99583</v>
      </c>
      <c r="G11" s="40"/>
      <c r="H11" s="41">
        <f t="shared" si="3"/>
        <v>99583</v>
      </c>
      <c r="I11" s="42" t="s">
        <v>21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6.5" customHeight="1">
      <c r="A12" s="37" t="s">
        <v>27</v>
      </c>
      <c r="B12" s="35" t="s">
        <v>28</v>
      </c>
      <c r="C12" s="36">
        <v>45792.0</v>
      </c>
      <c r="D12" s="37">
        <f t="shared" si="1"/>
        <v>31</v>
      </c>
      <c r="E12" s="38">
        <f>50000+10000</f>
        <v>60000</v>
      </c>
      <c r="F12" s="39">
        <f t="shared" ref="F12:F14" si="4">E12/31*D12</f>
        <v>60000</v>
      </c>
      <c r="G12" s="40"/>
      <c r="H12" s="41">
        <f t="shared" si="3"/>
        <v>60000</v>
      </c>
      <c r="I12" s="45" t="s">
        <v>29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6.5" customHeight="1">
      <c r="A13" s="37" t="s">
        <v>30</v>
      </c>
      <c r="B13" s="46" t="s">
        <v>31</v>
      </c>
      <c r="C13" s="36">
        <v>45871.0</v>
      </c>
      <c r="D13" s="37">
        <f t="shared" si="1"/>
        <v>31</v>
      </c>
      <c r="E13" s="47">
        <f>60000+5000</f>
        <v>65000</v>
      </c>
      <c r="F13" s="39">
        <f t="shared" si="4"/>
        <v>65000</v>
      </c>
      <c r="G13" s="40"/>
      <c r="H13" s="41">
        <f t="shared" si="3"/>
        <v>65000</v>
      </c>
      <c r="I13" s="45" t="s">
        <v>29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6.5" customHeight="1">
      <c r="A14" s="37" t="s">
        <v>34</v>
      </c>
      <c r="B14" s="46" t="s">
        <v>35</v>
      </c>
      <c r="C14" s="36">
        <v>45886.0</v>
      </c>
      <c r="D14" s="37">
        <f t="shared" si="1"/>
        <v>31</v>
      </c>
      <c r="E14" s="47">
        <f>25000+1000</f>
        <v>26000</v>
      </c>
      <c r="F14" s="39">
        <f t="shared" si="4"/>
        <v>26000</v>
      </c>
      <c r="G14" s="40"/>
      <c r="H14" s="41">
        <f t="shared" si="3"/>
        <v>26000</v>
      </c>
      <c r="I14" s="44" t="s">
        <v>36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6.5" customHeight="1">
      <c r="A15" s="37" t="s">
        <v>37</v>
      </c>
      <c r="B15" s="50" t="s">
        <v>38</v>
      </c>
      <c r="C15" s="53">
        <v>45787.0</v>
      </c>
      <c r="D15" s="37">
        <f t="shared" si="1"/>
        <v>31</v>
      </c>
      <c r="E15" s="38">
        <f>20000+20000</f>
        <v>40000</v>
      </c>
      <c r="F15" s="39">
        <f>E15/31*D15-5000</f>
        <v>35000</v>
      </c>
      <c r="G15" s="40"/>
      <c r="H15" s="41">
        <f t="shared" si="3"/>
        <v>35000</v>
      </c>
      <c r="I15" s="48" t="s">
        <v>40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6.5" customHeight="1">
      <c r="A16" s="37" t="s">
        <v>41</v>
      </c>
      <c r="B16" s="50" t="s">
        <v>42</v>
      </c>
      <c r="C16" s="53">
        <v>45823.0</v>
      </c>
      <c r="D16" s="37">
        <f t="shared" si="1"/>
        <v>31</v>
      </c>
      <c r="E16" s="38">
        <f>20000+15000</f>
        <v>35000</v>
      </c>
      <c r="F16" s="39">
        <f t="shared" ref="F16:F26" si="5">E16/31*D16</f>
        <v>35000</v>
      </c>
      <c r="G16" s="40"/>
      <c r="H16" s="41">
        <f t="shared" si="3"/>
        <v>35000</v>
      </c>
      <c r="I16" s="48" t="s">
        <v>40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6.5" customHeight="1">
      <c r="A17" s="37" t="s">
        <v>44</v>
      </c>
      <c r="B17" s="55" t="s">
        <v>46</v>
      </c>
      <c r="C17" s="56">
        <v>45846.0</v>
      </c>
      <c r="D17" s="37">
        <f t="shared" si="1"/>
        <v>31</v>
      </c>
      <c r="E17" s="47">
        <v>35000.0</v>
      </c>
      <c r="F17" s="52">
        <f t="shared" si="5"/>
        <v>35000</v>
      </c>
      <c r="G17" s="40"/>
      <c r="H17" s="54"/>
      <c r="I17" s="48" t="s">
        <v>40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6.5" customHeight="1">
      <c r="A18" s="37" t="s">
        <v>47</v>
      </c>
      <c r="B18" s="35" t="s">
        <v>48</v>
      </c>
      <c r="C18" s="36">
        <v>45972.0</v>
      </c>
      <c r="D18" s="37">
        <f t="shared" si="1"/>
        <v>31</v>
      </c>
      <c r="E18" s="47">
        <f>35000+5000</f>
        <v>40000</v>
      </c>
      <c r="F18" s="39">
        <f t="shared" si="5"/>
        <v>40000</v>
      </c>
      <c r="G18" s="40"/>
      <c r="H18" s="41">
        <f t="shared" ref="H18:H28" si="6">F18-G18</f>
        <v>40000</v>
      </c>
      <c r="I18" s="48" t="s">
        <v>40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6.5" customHeight="1">
      <c r="A19" s="37" t="s">
        <v>49</v>
      </c>
      <c r="B19" s="35" t="s">
        <v>50</v>
      </c>
      <c r="C19" s="36">
        <v>45972.0</v>
      </c>
      <c r="D19" s="37">
        <f t="shared" si="1"/>
        <v>31</v>
      </c>
      <c r="E19" s="47">
        <f t="shared" ref="E19:E20" si="7">20000+2000</f>
        <v>22000</v>
      </c>
      <c r="F19" s="39">
        <f t="shared" si="5"/>
        <v>22000</v>
      </c>
      <c r="G19" s="58"/>
      <c r="H19" s="41">
        <f t="shared" si="6"/>
        <v>22000</v>
      </c>
      <c r="I19" s="44" t="s">
        <v>36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6.5" customHeight="1">
      <c r="A20" s="37" t="s">
        <v>51</v>
      </c>
      <c r="B20" s="35" t="s">
        <v>52</v>
      </c>
      <c r="C20" s="36">
        <v>45997.0</v>
      </c>
      <c r="D20" s="37">
        <f t="shared" si="1"/>
        <v>31</v>
      </c>
      <c r="E20" s="47">
        <f t="shared" si="7"/>
        <v>22000</v>
      </c>
      <c r="F20" s="39">
        <f t="shared" si="5"/>
        <v>22000</v>
      </c>
      <c r="G20" s="40"/>
      <c r="H20" s="41">
        <f t="shared" si="6"/>
        <v>22000</v>
      </c>
      <c r="I20" s="44" t="s">
        <v>36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6.5" customHeight="1">
      <c r="A21" s="37" t="s">
        <v>53</v>
      </c>
      <c r="B21" s="35" t="s">
        <v>54</v>
      </c>
      <c r="C21" s="36">
        <v>46023.0</v>
      </c>
      <c r="D21" s="37">
        <f t="shared" si="1"/>
        <v>31</v>
      </c>
      <c r="E21" s="47">
        <f>50000+5000</f>
        <v>55000</v>
      </c>
      <c r="F21" s="39">
        <f t="shared" si="5"/>
        <v>55000</v>
      </c>
      <c r="G21" s="58"/>
      <c r="H21" s="41">
        <f t="shared" si="6"/>
        <v>55000</v>
      </c>
      <c r="I21" s="48" t="s">
        <v>32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6.5" customHeight="1">
      <c r="A22" s="37" t="s">
        <v>55</v>
      </c>
      <c r="B22" s="50" t="s">
        <v>56</v>
      </c>
      <c r="C22" s="56">
        <v>46032.0</v>
      </c>
      <c r="D22" s="37">
        <f t="shared" si="1"/>
        <v>31</v>
      </c>
      <c r="E22" s="47">
        <f>25000+15000</f>
        <v>40000</v>
      </c>
      <c r="F22" s="39">
        <f t="shared" si="5"/>
        <v>40000</v>
      </c>
      <c r="G22" s="40"/>
      <c r="H22" s="41">
        <f t="shared" si="6"/>
        <v>40000</v>
      </c>
      <c r="I22" s="48" t="s">
        <v>40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6.5" customHeight="1">
      <c r="A23" s="37" t="s">
        <v>57</v>
      </c>
      <c r="B23" s="59" t="s">
        <v>58</v>
      </c>
      <c r="C23" s="60">
        <v>45854.0</v>
      </c>
      <c r="D23" s="37">
        <f t="shared" si="1"/>
        <v>31</v>
      </c>
      <c r="E23" s="38">
        <f t="shared" ref="E23:E24" si="8">25000+10000</f>
        <v>35000</v>
      </c>
      <c r="F23" s="39">
        <f t="shared" si="5"/>
        <v>35000</v>
      </c>
      <c r="G23" s="40"/>
      <c r="H23" s="41">
        <f t="shared" si="6"/>
        <v>35000</v>
      </c>
      <c r="I23" s="48" t="s">
        <v>40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6.5" customHeight="1">
      <c r="A24" s="37" t="s">
        <v>62</v>
      </c>
      <c r="B24" s="59" t="s">
        <v>63</v>
      </c>
      <c r="C24" s="60">
        <v>45910.0</v>
      </c>
      <c r="D24" s="37">
        <f t="shared" si="1"/>
        <v>31</v>
      </c>
      <c r="E24" s="38">
        <f t="shared" si="8"/>
        <v>35000</v>
      </c>
      <c r="F24" s="39">
        <f t="shared" si="5"/>
        <v>35000</v>
      </c>
      <c r="G24" s="40"/>
      <c r="H24" s="41">
        <f t="shared" si="6"/>
        <v>35000</v>
      </c>
      <c r="I24" s="48" t="s">
        <v>40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6.5" customHeight="1">
      <c r="A25" s="37" t="s">
        <v>64</v>
      </c>
      <c r="B25" s="59" t="s">
        <v>66</v>
      </c>
      <c r="C25" s="60">
        <v>45857.0</v>
      </c>
      <c r="D25" s="37">
        <f t="shared" si="1"/>
        <v>31</v>
      </c>
      <c r="E25" s="61">
        <v>20000.0</v>
      </c>
      <c r="F25" s="39">
        <f t="shared" si="5"/>
        <v>20000</v>
      </c>
      <c r="G25" s="40"/>
      <c r="H25" s="41">
        <f t="shared" si="6"/>
        <v>20000</v>
      </c>
      <c r="I25" s="43" t="s">
        <v>43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6.5" customHeight="1">
      <c r="A26" s="37" t="s">
        <v>70</v>
      </c>
      <c r="B26" s="59" t="s">
        <v>71</v>
      </c>
      <c r="C26" s="60">
        <v>45945.0</v>
      </c>
      <c r="D26" s="37">
        <f t="shared" si="1"/>
        <v>31</v>
      </c>
      <c r="E26" s="61">
        <v>150000.0</v>
      </c>
      <c r="F26" s="39">
        <f t="shared" si="5"/>
        <v>150000</v>
      </c>
      <c r="G26" s="40"/>
      <c r="H26" s="41">
        <f t="shared" si="6"/>
        <v>150000</v>
      </c>
      <c r="I26" s="45" t="s">
        <v>16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6.5" customHeight="1">
      <c r="A27" s="37" t="s">
        <v>72</v>
      </c>
      <c r="B27" s="59" t="s">
        <v>73</v>
      </c>
      <c r="C27" s="60">
        <v>45931.0</v>
      </c>
      <c r="D27" s="37">
        <f t="shared" si="1"/>
        <v>31</v>
      </c>
      <c r="E27" s="61">
        <f>120000+20000</f>
        <v>140000</v>
      </c>
      <c r="F27" s="39">
        <f>E27/31*D27-1100</f>
        <v>138900</v>
      </c>
      <c r="G27" s="40"/>
      <c r="H27" s="41">
        <f t="shared" si="6"/>
        <v>138900</v>
      </c>
      <c r="I27" s="42" t="s">
        <v>74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6.5" customHeight="1">
      <c r="A28" s="37" t="s">
        <v>75</v>
      </c>
      <c r="B28" s="59" t="s">
        <v>76</v>
      </c>
      <c r="C28" s="60">
        <v>46204.0</v>
      </c>
      <c r="D28" s="37">
        <f t="shared" si="1"/>
        <v>31</v>
      </c>
      <c r="E28" s="38">
        <f>30000</f>
        <v>30000</v>
      </c>
      <c r="F28" s="39">
        <f>E28/31*D28</f>
        <v>30000</v>
      </c>
      <c r="G28" s="40"/>
      <c r="H28" s="41">
        <f t="shared" si="6"/>
        <v>30000</v>
      </c>
      <c r="I28" s="44" t="s">
        <v>36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6.5" customHeight="1">
      <c r="A29" s="62"/>
      <c r="B29" s="35"/>
      <c r="C29" s="56"/>
      <c r="D29" s="34"/>
      <c r="E29" s="38"/>
      <c r="F29" s="39"/>
      <c r="G29" s="40"/>
      <c r="H29" s="41"/>
      <c r="I29" s="64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6.5" customHeight="1">
      <c r="A30" s="62"/>
      <c r="B30" s="35"/>
      <c r="C30" s="56"/>
      <c r="D30" s="34"/>
      <c r="E30" s="38"/>
      <c r="F30" s="39"/>
      <c r="G30" s="40"/>
      <c r="H30" s="41"/>
      <c r="I30" s="64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6.5" customHeight="1">
      <c r="A31" s="65"/>
      <c r="B31" s="35"/>
      <c r="C31" s="56"/>
      <c r="D31" s="34"/>
      <c r="E31" s="38"/>
      <c r="F31" s="39"/>
      <c r="G31" s="40"/>
      <c r="H31" s="41"/>
      <c r="I31" s="48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9.5" customHeight="1">
      <c r="A32" s="66" t="s">
        <v>78</v>
      </c>
      <c r="B32" s="21"/>
      <c r="C32" s="21"/>
      <c r="D32" s="67"/>
      <c r="E32" s="68">
        <f t="shared" ref="E32:H32" si="9">SUM(E8:E31)</f>
        <v>1475000</v>
      </c>
      <c r="F32" s="68">
        <f t="shared" si="9"/>
        <v>1468483</v>
      </c>
      <c r="G32" s="68">
        <f t="shared" si="9"/>
        <v>0</v>
      </c>
      <c r="H32" s="68">
        <f t="shared" si="9"/>
        <v>1433483</v>
      </c>
      <c r="I32" s="69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9.5" customHeight="1">
      <c r="A33" s="70" t="s">
        <v>80</v>
      </c>
      <c r="B33" s="71"/>
      <c r="C33" s="71"/>
      <c r="D33" s="71"/>
      <c r="E33" s="71"/>
      <c r="F33" s="71"/>
      <c r="G33" s="71"/>
      <c r="H33" s="71"/>
      <c r="I33" s="72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73" t="s">
        <v>14</v>
      </c>
      <c r="B34" s="74" t="s">
        <v>81</v>
      </c>
      <c r="C34" s="75">
        <v>45783.0</v>
      </c>
      <c r="D34" s="76">
        <f t="shared" ref="D34:D43" si="10">31</f>
        <v>31</v>
      </c>
      <c r="E34" s="77">
        <f>60000+10000</f>
        <v>70000</v>
      </c>
      <c r="F34" s="77">
        <f t="shared" ref="F34:F43" si="11">E34/31*D34</f>
        <v>70000</v>
      </c>
      <c r="G34" s="78"/>
      <c r="H34" s="78">
        <f t="shared" ref="H34:H43" si="12">F34-G34</f>
        <v>70000</v>
      </c>
      <c r="I34" s="80" t="s">
        <v>32</v>
      </c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65" t="s">
        <v>18</v>
      </c>
      <c r="B35" s="74" t="s">
        <v>86</v>
      </c>
      <c r="C35" s="75">
        <v>46023.0</v>
      </c>
      <c r="D35" s="76">
        <f t="shared" si="10"/>
        <v>31</v>
      </c>
      <c r="E35" s="77">
        <v>35000.0</v>
      </c>
      <c r="F35" s="77">
        <f t="shared" si="11"/>
        <v>35000</v>
      </c>
      <c r="G35" s="78"/>
      <c r="H35" s="78">
        <f t="shared" si="12"/>
        <v>35000</v>
      </c>
      <c r="I35" s="80" t="s">
        <v>40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65" t="s">
        <v>22</v>
      </c>
      <c r="B36" s="81" t="s">
        <v>87</v>
      </c>
      <c r="C36" s="75">
        <v>45934.0</v>
      </c>
      <c r="D36" s="76">
        <f t="shared" si="10"/>
        <v>31</v>
      </c>
      <c r="E36" s="77">
        <f>20000+5000</f>
        <v>25000</v>
      </c>
      <c r="F36" s="77">
        <f t="shared" si="11"/>
        <v>25000</v>
      </c>
      <c r="G36" s="78"/>
      <c r="H36" s="78">
        <f t="shared" si="12"/>
        <v>25000</v>
      </c>
      <c r="I36" s="80" t="s">
        <v>43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65" t="s">
        <v>25</v>
      </c>
      <c r="B37" s="82" t="s">
        <v>88</v>
      </c>
      <c r="C37" s="83">
        <v>46033.0</v>
      </c>
      <c r="D37" s="84">
        <f t="shared" si="10"/>
        <v>31</v>
      </c>
      <c r="E37" s="85">
        <f>30000</f>
        <v>30000</v>
      </c>
      <c r="F37" s="85">
        <f t="shared" si="11"/>
        <v>30000</v>
      </c>
      <c r="G37" s="40"/>
      <c r="H37" s="40">
        <f t="shared" si="12"/>
        <v>30000</v>
      </c>
      <c r="I37" s="86" t="s">
        <v>90</v>
      </c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65" t="s">
        <v>27</v>
      </c>
      <c r="B38" s="87" t="s">
        <v>92</v>
      </c>
      <c r="C38" s="88">
        <v>45783.0</v>
      </c>
      <c r="D38" s="89">
        <f t="shared" si="10"/>
        <v>31</v>
      </c>
      <c r="E38" s="90">
        <f>20000+7000</f>
        <v>27000</v>
      </c>
      <c r="F38" s="90">
        <f t="shared" si="11"/>
        <v>27000</v>
      </c>
      <c r="G38" s="91"/>
      <c r="H38" s="91">
        <f t="shared" si="12"/>
        <v>27000</v>
      </c>
      <c r="I38" s="93" t="s">
        <v>95</v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6.5" customHeight="1">
      <c r="A39" s="65" t="s">
        <v>30</v>
      </c>
      <c r="B39" s="94" t="s">
        <v>96</v>
      </c>
      <c r="C39" s="96">
        <v>45322.0</v>
      </c>
      <c r="D39" s="89">
        <f t="shared" si="10"/>
        <v>31</v>
      </c>
      <c r="E39" s="90">
        <f t="shared" ref="E39:E40" si="13">14000+4000</f>
        <v>18000</v>
      </c>
      <c r="F39" s="90">
        <f t="shared" si="11"/>
        <v>18000</v>
      </c>
      <c r="G39" s="98"/>
      <c r="H39" s="91">
        <f t="shared" si="12"/>
        <v>18000</v>
      </c>
      <c r="I39" s="99" t="s">
        <v>102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6.5" customHeight="1">
      <c r="A40" s="65" t="s">
        <v>34</v>
      </c>
      <c r="B40" s="94" t="s">
        <v>103</v>
      </c>
      <c r="C40" s="96">
        <v>45322.0</v>
      </c>
      <c r="D40" s="89">
        <f t="shared" si="10"/>
        <v>31</v>
      </c>
      <c r="E40" s="90">
        <f t="shared" si="13"/>
        <v>18000</v>
      </c>
      <c r="F40" s="90">
        <f t="shared" si="11"/>
        <v>18000</v>
      </c>
      <c r="G40" s="98"/>
      <c r="H40" s="91">
        <f t="shared" si="12"/>
        <v>18000</v>
      </c>
      <c r="I40" s="99" t="s">
        <v>102</v>
      </c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6.5" customHeight="1">
      <c r="A41" s="65" t="s">
        <v>37</v>
      </c>
      <c r="B41" s="87" t="s">
        <v>105</v>
      </c>
      <c r="C41" s="88">
        <v>45773.0</v>
      </c>
      <c r="D41" s="89">
        <f t="shared" si="10"/>
        <v>31</v>
      </c>
      <c r="E41" s="90">
        <f>12000+4000</f>
        <v>16000</v>
      </c>
      <c r="F41" s="90">
        <f t="shared" si="11"/>
        <v>16000</v>
      </c>
      <c r="G41" s="98"/>
      <c r="H41" s="91">
        <f t="shared" si="12"/>
        <v>16000</v>
      </c>
      <c r="I41" s="99" t="s">
        <v>102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65" t="s">
        <v>41</v>
      </c>
      <c r="B42" s="101" t="s">
        <v>106</v>
      </c>
      <c r="C42" s="102">
        <v>44992.0</v>
      </c>
      <c r="D42" s="103">
        <f t="shared" si="10"/>
        <v>31</v>
      </c>
      <c r="E42" s="104">
        <f>24000+2000</f>
        <v>26000</v>
      </c>
      <c r="F42" s="104">
        <f t="shared" si="11"/>
        <v>26000</v>
      </c>
      <c r="G42" s="105"/>
      <c r="H42" s="105">
        <f t="shared" si="12"/>
        <v>26000</v>
      </c>
      <c r="I42" s="106" t="s">
        <v>109</v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65" t="s">
        <v>44</v>
      </c>
      <c r="B43" s="108" t="s">
        <v>110</v>
      </c>
      <c r="C43" s="109">
        <v>46204.0</v>
      </c>
      <c r="D43" s="103">
        <f t="shared" si="10"/>
        <v>31</v>
      </c>
      <c r="E43" s="104">
        <f>23000</f>
        <v>23000</v>
      </c>
      <c r="F43" s="104">
        <f t="shared" si="11"/>
        <v>23000</v>
      </c>
      <c r="G43" s="105"/>
      <c r="H43" s="105">
        <f t="shared" si="12"/>
        <v>23000</v>
      </c>
      <c r="I43" s="106" t="s">
        <v>109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110"/>
      <c r="B44" s="111"/>
      <c r="C44" s="112"/>
      <c r="D44" s="113"/>
      <c r="E44" s="114"/>
      <c r="F44" s="114"/>
      <c r="G44" s="115"/>
      <c r="H44" s="115"/>
      <c r="I44" s="11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9.5" customHeight="1">
      <c r="A45" s="66" t="s">
        <v>78</v>
      </c>
      <c r="B45" s="21"/>
      <c r="C45" s="21"/>
      <c r="D45" s="67"/>
      <c r="E45" s="68">
        <f t="shared" ref="E45:H45" si="14">SUM(E34:E44)</f>
        <v>288000</v>
      </c>
      <c r="F45" s="68">
        <f t="shared" si="14"/>
        <v>288000</v>
      </c>
      <c r="G45" s="68">
        <f t="shared" si="14"/>
        <v>0</v>
      </c>
      <c r="H45" s="68">
        <f t="shared" si="14"/>
        <v>288000</v>
      </c>
      <c r="I45" s="69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24.75" customHeight="1">
      <c r="A46" s="117" t="s">
        <v>78</v>
      </c>
      <c r="B46" s="21"/>
      <c r="C46" s="21"/>
      <c r="D46" s="67"/>
      <c r="E46" s="118">
        <f t="shared" ref="E46:H46" si="15">E32+E45</f>
        <v>1763000</v>
      </c>
      <c r="F46" s="118">
        <f t="shared" si="15"/>
        <v>1756483</v>
      </c>
      <c r="G46" s="118">
        <f t="shared" si="15"/>
        <v>0</v>
      </c>
      <c r="H46" s="118">
        <f t="shared" si="15"/>
        <v>1721483</v>
      </c>
      <c r="I46" s="119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120"/>
      <c r="B47" s="120"/>
      <c r="C47" s="121"/>
      <c r="D47" s="11"/>
      <c r="E47" s="122"/>
      <c r="F47" s="122"/>
      <c r="G47" s="123"/>
      <c r="H47" s="123"/>
      <c r="I47" s="11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120"/>
      <c r="B48" s="120"/>
      <c r="C48" s="121"/>
      <c r="D48" s="11"/>
      <c r="E48" s="122"/>
      <c r="F48" s="122"/>
      <c r="G48" s="123"/>
      <c r="H48" s="123"/>
      <c r="I48" s="11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120"/>
      <c r="B49" s="120"/>
      <c r="C49" s="121"/>
      <c r="D49" s="11"/>
      <c r="E49" s="122"/>
      <c r="F49" s="122"/>
      <c r="G49" s="123"/>
      <c r="H49" s="123"/>
      <c r="I49" s="11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120"/>
      <c r="B50" s="120"/>
      <c r="C50" s="121"/>
      <c r="D50" s="11"/>
      <c r="E50" s="122"/>
      <c r="F50" s="122"/>
      <c r="G50" s="123"/>
      <c r="H50" s="123"/>
      <c r="I50" s="11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120"/>
      <c r="B51" s="120"/>
      <c r="C51" s="121"/>
      <c r="D51" s="11"/>
      <c r="E51" s="122"/>
      <c r="F51" s="122"/>
      <c r="G51" s="123"/>
      <c r="H51" s="123"/>
      <c r="I51" s="11"/>
      <c r="J51" s="5"/>
      <c r="K51" s="5"/>
      <c r="L51" s="5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6.5" customHeight="1">
      <c r="A52" s="120"/>
      <c r="B52" s="120"/>
      <c r="C52" s="121"/>
      <c r="D52" s="11"/>
      <c r="E52" s="122"/>
      <c r="F52" s="122"/>
      <c r="G52" s="123"/>
      <c r="H52" s="123"/>
      <c r="I52" s="11"/>
      <c r="J52" s="5"/>
      <c r="K52" s="5"/>
      <c r="L52" s="5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6.5" customHeight="1">
      <c r="A53" s="120"/>
      <c r="B53" s="120"/>
      <c r="C53" s="121"/>
      <c r="D53" s="11"/>
      <c r="E53" s="122"/>
      <c r="F53" s="122"/>
      <c r="G53" s="123"/>
      <c r="H53" s="123"/>
      <c r="I53" s="11"/>
      <c r="J53" s="5"/>
      <c r="K53" s="5"/>
      <c r="L53" s="5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6.5" customHeight="1">
      <c r="A54" s="120"/>
      <c r="B54" s="120"/>
      <c r="C54" s="121"/>
      <c r="D54" s="11"/>
      <c r="E54" s="122"/>
      <c r="F54" s="122"/>
      <c r="G54" s="123"/>
      <c r="H54" s="123"/>
      <c r="I54" s="11"/>
      <c r="J54" s="5"/>
      <c r="K54" s="5"/>
      <c r="L54" s="5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6.5" customHeight="1">
      <c r="A55" s="120"/>
      <c r="B55" s="120"/>
      <c r="C55" s="121"/>
      <c r="D55" s="11"/>
      <c r="E55" s="122"/>
      <c r="F55" s="122"/>
      <c r="G55" s="123"/>
      <c r="H55" s="123"/>
      <c r="I55" s="11"/>
      <c r="J55" s="5"/>
      <c r="K55" s="5"/>
      <c r="L55" s="5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6.5" customHeight="1">
      <c r="A56" s="7"/>
      <c r="B56" s="7"/>
      <c r="C56" s="5"/>
      <c r="D56" s="8"/>
      <c r="E56" s="9"/>
      <c r="F56" s="9"/>
      <c r="G56" s="10"/>
      <c r="H56" s="10"/>
      <c r="I56" s="11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6.5" customHeight="1">
      <c r="A57" s="7"/>
      <c r="B57" s="7"/>
      <c r="C57" s="5"/>
      <c r="D57" s="8"/>
      <c r="E57" s="9"/>
      <c r="F57" s="9"/>
      <c r="G57" s="10"/>
      <c r="H57" s="10"/>
      <c r="I57" s="11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7"/>
      <c r="B58" s="7"/>
      <c r="C58" s="5"/>
      <c r="D58" s="8"/>
      <c r="E58" s="9"/>
      <c r="F58" s="9"/>
      <c r="G58" s="10"/>
      <c r="H58" s="10"/>
      <c r="I58" s="11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7"/>
      <c r="B59" s="7"/>
      <c r="C59" s="5"/>
      <c r="D59" s="8"/>
      <c r="E59" s="9"/>
      <c r="F59" s="9"/>
      <c r="G59" s="10"/>
      <c r="H59" s="10"/>
      <c r="I59" s="11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7"/>
      <c r="B60" s="7"/>
      <c r="C60" s="5"/>
      <c r="D60" s="8"/>
      <c r="E60" s="9"/>
      <c r="F60" s="9"/>
      <c r="G60" s="10"/>
      <c r="H60" s="10"/>
      <c r="I60" s="11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7"/>
      <c r="B61" s="7"/>
      <c r="C61" s="5"/>
      <c r="D61" s="8"/>
      <c r="E61" s="9"/>
      <c r="F61" s="9"/>
      <c r="G61" s="10"/>
      <c r="H61" s="10"/>
      <c r="I61" s="11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7"/>
      <c r="B62" s="7"/>
      <c r="C62" s="5"/>
      <c r="D62" s="8"/>
      <c r="E62" s="9"/>
      <c r="F62" s="9"/>
      <c r="G62" s="10"/>
      <c r="H62" s="10"/>
      <c r="I62" s="11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7"/>
      <c r="B63" s="7"/>
      <c r="C63" s="5"/>
      <c r="D63" s="8"/>
      <c r="E63" s="9"/>
      <c r="F63" s="9"/>
      <c r="G63" s="10"/>
      <c r="H63" s="10"/>
      <c r="I63" s="11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7"/>
      <c r="B64" s="7"/>
      <c r="C64" s="5"/>
      <c r="D64" s="8"/>
      <c r="E64" s="9"/>
      <c r="F64" s="9"/>
      <c r="G64" s="10"/>
      <c r="H64" s="10"/>
      <c r="I64" s="11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7"/>
      <c r="B65" s="7"/>
      <c r="C65" s="5"/>
      <c r="D65" s="8"/>
      <c r="E65" s="9"/>
      <c r="F65" s="9"/>
      <c r="G65" s="10"/>
      <c r="H65" s="10"/>
      <c r="I65" s="11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7"/>
      <c r="B66" s="7"/>
      <c r="C66" s="5"/>
      <c r="D66" s="8"/>
      <c r="E66" s="9"/>
      <c r="F66" s="9"/>
      <c r="G66" s="10"/>
      <c r="H66" s="10"/>
      <c r="I66" s="11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7"/>
      <c r="B67" s="7"/>
      <c r="C67" s="5"/>
      <c r="D67" s="8"/>
      <c r="E67" s="9"/>
      <c r="F67" s="9"/>
      <c r="G67" s="10"/>
      <c r="H67" s="10"/>
      <c r="I67" s="11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7"/>
      <c r="B68" s="7"/>
      <c r="C68" s="5"/>
      <c r="D68" s="8"/>
      <c r="E68" s="9"/>
      <c r="F68" s="9"/>
      <c r="G68" s="10"/>
      <c r="H68" s="10"/>
      <c r="I68" s="11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7"/>
      <c r="B69" s="7"/>
      <c r="C69" s="5"/>
      <c r="D69" s="8"/>
      <c r="E69" s="9"/>
      <c r="F69" s="9"/>
      <c r="G69" s="10"/>
      <c r="H69" s="10"/>
      <c r="I69" s="11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7"/>
      <c r="B70" s="7"/>
      <c r="C70" s="5"/>
      <c r="D70" s="8"/>
      <c r="E70" s="9"/>
      <c r="F70" s="9"/>
      <c r="G70" s="10"/>
      <c r="H70" s="10"/>
      <c r="I70" s="11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7"/>
      <c r="B71" s="7"/>
      <c r="C71" s="5"/>
      <c r="D71" s="8"/>
      <c r="E71" s="9"/>
      <c r="F71" s="9"/>
      <c r="G71" s="10"/>
      <c r="H71" s="10"/>
      <c r="I71" s="11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7"/>
      <c r="B72" s="7"/>
      <c r="C72" s="5"/>
      <c r="D72" s="8"/>
      <c r="E72" s="9"/>
      <c r="F72" s="9"/>
      <c r="G72" s="10"/>
      <c r="H72" s="10"/>
      <c r="I72" s="11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7"/>
      <c r="B73" s="7"/>
      <c r="C73" s="5"/>
      <c r="D73" s="8"/>
      <c r="E73" s="9"/>
      <c r="F73" s="9"/>
      <c r="G73" s="10"/>
      <c r="H73" s="10"/>
      <c r="I73" s="11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7"/>
      <c r="B74" s="7"/>
      <c r="C74" s="5"/>
      <c r="D74" s="8"/>
      <c r="E74" s="9"/>
      <c r="F74" s="9"/>
      <c r="G74" s="10"/>
      <c r="H74" s="10"/>
      <c r="I74" s="11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7"/>
      <c r="B75" s="7"/>
      <c r="C75" s="5"/>
      <c r="D75" s="8"/>
      <c r="E75" s="9"/>
      <c r="F75" s="9"/>
      <c r="G75" s="10"/>
      <c r="H75" s="10"/>
      <c r="I75" s="11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7"/>
      <c r="B76" s="7"/>
      <c r="C76" s="5"/>
      <c r="D76" s="8"/>
      <c r="E76" s="9"/>
      <c r="F76" s="9"/>
      <c r="G76" s="10"/>
      <c r="H76" s="10"/>
      <c r="I76" s="11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7"/>
      <c r="B77" s="7"/>
      <c r="C77" s="5"/>
      <c r="D77" s="8"/>
      <c r="E77" s="9"/>
      <c r="F77" s="9"/>
      <c r="G77" s="10"/>
      <c r="H77" s="10"/>
      <c r="I77" s="11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7"/>
      <c r="B78" s="7"/>
      <c r="C78" s="5"/>
      <c r="D78" s="8"/>
      <c r="E78" s="9"/>
      <c r="F78" s="9"/>
      <c r="G78" s="10"/>
      <c r="H78" s="10"/>
      <c r="I78" s="11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7"/>
      <c r="B79" s="7"/>
      <c r="C79" s="5"/>
      <c r="D79" s="8"/>
      <c r="E79" s="9"/>
      <c r="F79" s="9"/>
      <c r="G79" s="10"/>
      <c r="H79" s="10"/>
      <c r="I79" s="11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7"/>
      <c r="B80" s="7"/>
      <c r="C80" s="5"/>
      <c r="D80" s="8"/>
      <c r="E80" s="9"/>
      <c r="F80" s="9"/>
      <c r="G80" s="10"/>
      <c r="H80" s="10"/>
      <c r="I80" s="11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7"/>
      <c r="B81" s="7"/>
      <c r="C81" s="5"/>
      <c r="D81" s="8"/>
      <c r="E81" s="9"/>
      <c r="F81" s="9"/>
      <c r="G81" s="10"/>
      <c r="H81" s="10"/>
      <c r="I81" s="11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7"/>
      <c r="B82" s="7"/>
      <c r="C82" s="5"/>
      <c r="D82" s="8"/>
      <c r="E82" s="9"/>
      <c r="F82" s="9"/>
      <c r="G82" s="10"/>
      <c r="H82" s="10"/>
      <c r="I82" s="11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7"/>
      <c r="B83" s="7"/>
      <c r="C83" s="5"/>
      <c r="D83" s="8"/>
      <c r="E83" s="9"/>
      <c r="F83" s="9"/>
      <c r="G83" s="10"/>
      <c r="H83" s="10"/>
      <c r="I83" s="11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7"/>
      <c r="B84" s="7"/>
      <c r="C84" s="5"/>
      <c r="D84" s="8"/>
      <c r="E84" s="9"/>
      <c r="F84" s="9"/>
      <c r="G84" s="10"/>
      <c r="H84" s="10"/>
      <c r="I84" s="11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7"/>
      <c r="B85" s="7"/>
      <c r="C85" s="5"/>
      <c r="D85" s="8"/>
      <c r="E85" s="9"/>
      <c r="F85" s="9"/>
      <c r="G85" s="10"/>
      <c r="H85" s="10"/>
      <c r="I85" s="11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7"/>
      <c r="B86" s="7"/>
      <c r="C86" s="5"/>
      <c r="D86" s="8"/>
      <c r="E86" s="9"/>
      <c r="F86" s="9"/>
      <c r="G86" s="10"/>
      <c r="H86" s="10"/>
      <c r="I86" s="11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7"/>
      <c r="B87" s="7"/>
      <c r="C87" s="5"/>
      <c r="D87" s="8"/>
      <c r="E87" s="9"/>
      <c r="F87" s="9"/>
      <c r="G87" s="10"/>
      <c r="H87" s="10"/>
      <c r="I87" s="11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7"/>
      <c r="B88" s="7"/>
      <c r="C88" s="5"/>
      <c r="D88" s="8"/>
      <c r="E88" s="9"/>
      <c r="F88" s="9"/>
      <c r="G88" s="10"/>
      <c r="H88" s="10"/>
      <c r="I88" s="11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7"/>
      <c r="B89" s="7"/>
      <c r="C89" s="5"/>
      <c r="D89" s="8"/>
      <c r="E89" s="9"/>
      <c r="F89" s="9"/>
      <c r="G89" s="10"/>
      <c r="H89" s="10"/>
      <c r="I89" s="11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7"/>
      <c r="B90" s="7"/>
      <c r="C90" s="5"/>
      <c r="D90" s="8"/>
      <c r="E90" s="9"/>
      <c r="F90" s="9"/>
      <c r="G90" s="10"/>
      <c r="H90" s="10"/>
      <c r="I90" s="11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7"/>
      <c r="B91" s="7"/>
      <c r="C91" s="5"/>
      <c r="D91" s="8"/>
      <c r="E91" s="9"/>
      <c r="F91" s="9"/>
      <c r="G91" s="10"/>
      <c r="H91" s="10"/>
      <c r="I91" s="11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7"/>
      <c r="B92" s="7"/>
      <c r="C92" s="5"/>
      <c r="D92" s="8"/>
      <c r="E92" s="9"/>
      <c r="F92" s="9"/>
      <c r="G92" s="10"/>
      <c r="H92" s="10"/>
      <c r="I92" s="11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7"/>
      <c r="B93" s="7"/>
      <c r="C93" s="5"/>
      <c r="D93" s="8"/>
      <c r="E93" s="9"/>
      <c r="F93" s="9"/>
      <c r="G93" s="10"/>
      <c r="H93" s="10"/>
      <c r="I93" s="11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7"/>
      <c r="B94" s="7"/>
      <c r="C94" s="5"/>
      <c r="D94" s="8"/>
      <c r="E94" s="9"/>
      <c r="F94" s="9"/>
      <c r="G94" s="10"/>
      <c r="H94" s="10"/>
      <c r="I94" s="11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7"/>
      <c r="B95" s="7"/>
      <c r="C95" s="5"/>
      <c r="D95" s="8"/>
      <c r="E95" s="9"/>
      <c r="F95" s="9"/>
      <c r="G95" s="10"/>
      <c r="H95" s="10"/>
      <c r="I95" s="11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7"/>
      <c r="B96" s="7"/>
      <c r="C96" s="5"/>
      <c r="D96" s="8"/>
      <c r="E96" s="9"/>
      <c r="F96" s="9"/>
      <c r="G96" s="10"/>
      <c r="H96" s="10"/>
      <c r="I96" s="11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7"/>
      <c r="B97" s="7"/>
      <c r="C97" s="5"/>
      <c r="D97" s="8"/>
      <c r="E97" s="9"/>
      <c r="F97" s="9"/>
      <c r="G97" s="10"/>
      <c r="H97" s="10"/>
      <c r="I97" s="11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7"/>
      <c r="B98" s="7"/>
      <c r="C98" s="5"/>
      <c r="D98" s="8"/>
      <c r="E98" s="9"/>
      <c r="F98" s="9"/>
      <c r="G98" s="10"/>
      <c r="H98" s="10"/>
      <c r="I98" s="11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7"/>
      <c r="B99" s="7"/>
      <c r="C99" s="5"/>
      <c r="D99" s="8"/>
      <c r="E99" s="9"/>
      <c r="F99" s="9"/>
      <c r="G99" s="10"/>
      <c r="H99" s="10"/>
      <c r="I99" s="11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7"/>
      <c r="B100" s="7"/>
      <c r="C100" s="5"/>
      <c r="D100" s="8"/>
      <c r="E100" s="9"/>
      <c r="F100" s="9"/>
      <c r="G100" s="10"/>
      <c r="H100" s="10"/>
      <c r="I100" s="11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7"/>
      <c r="B101" s="7"/>
      <c r="C101" s="5"/>
      <c r="D101" s="8"/>
      <c r="E101" s="9"/>
      <c r="F101" s="9"/>
      <c r="G101" s="10"/>
      <c r="H101" s="10"/>
      <c r="I101" s="11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7"/>
      <c r="B102" s="7"/>
      <c r="C102" s="5"/>
      <c r="D102" s="8"/>
      <c r="E102" s="9"/>
      <c r="F102" s="9"/>
      <c r="G102" s="10"/>
      <c r="H102" s="10"/>
      <c r="I102" s="11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7"/>
      <c r="B103" s="7"/>
      <c r="C103" s="5"/>
      <c r="D103" s="8"/>
      <c r="E103" s="9"/>
      <c r="F103" s="9"/>
      <c r="G103" s="10"/>
      <c r="H103" s="10"/>
      <c r="I103" s="11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7"/>
      <c r="B104" s="7"/>
      <c r="C104" s="5"/>
      <c r="D104" s="8"/>
      <c r="E104" s="9"/>
      <c r="F104" s="9"/>
      <c r="G104" s="10"/>
      <c r="H104" s="10"/>
      <c r="I104" s="11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7"/>
      <c r="B105" s="7"/>
      <c r="C105" s="5"/>
      <c r="D105" s="8"/>
      <c r="E105" s="9"/>
      <c r="F105" s="9"/>
      <c r="G105" s="10"/>
      <c r="H105" s="10"/>
      <c r="I105" s="11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7"/>
      <c r="B106" s="7"/>
      <c r="C106" s="5"/>
      <c r="D106" s="8"/>
      <c r="E106" s="9"/>
      <c r="F106" s="9"/>
      <c r="G106" s="10"/>
      <c r="H106" s="10"/>
      <c r="I106" s="11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7"/>
      <c r="B107" s="7"/>
      <c r="C107" s="5"/>
      <c r="D107" s="8"/>
      <c r="E107" s="9"/>
      <c r="F107" s="9"/>
      <c r="G107" s="10"/>
      <c r="H107" s="10"/>
      <c r="I107" s="11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7"/>
      <c r="B108" s="7"/>
      <c r="C108" s="5"/>
      <c r="D108" s="8"/>
      <c r="E108" s="9"/>
      <c r="F108" s="9"/>
      <c r="G108" s="10"/>
      <c r="H108" s="10"/>
      <c r="I108" s="11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7"/>
      <c r="B109" s="7"/>
      <c r="C109" s="5"/>
      <c r="D109" s="8"/>
      <c r="E109" s="9"/>
      <c r="F109" s="9"/>
      <c r="G109" s="10"/>
      <c r="H109" s="10"/>
      <c r="I109" s="11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7"/>
      <c r="B110" s="7"/>
      <c r="C110" s="5"/>
      <c r="D110" s="8"/>
      <c r="E110" s="9"/>
      <c r="F110" s="9"/>
      <c r="G110" s="10"/>
      <c r="H110" s="10"/>
      <c r="I110" s="11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7"/>
      <c r="B111" s="7"/>
      <c r="C111" s="5"/>
      <c r="D111" s="8"/>
      <c r="E111" s="9"/>
      <c r="F111" s="9"/>
      <c r="G111" s="10"/>
      <c r="H111" s="10"/>
      <c r="I111" s="11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7"/>
      <c r="B112" s="7"/>
      <c r="C112" s="5"/>
      <c r="D112" s="8"/>
      <c r="E112" s="9"/>
      <c r="F112" s="9"/>
      <c r="G112" s="10"/>
      <c r="H112" s="10"/>
      <c r="I112" s="11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7"/>
      <c r="B113" s="7"/>
      <c r="C113" s="5"/>
      <c r="D113" s="8"/>
      <c r="E113" s="9"/>
      <c r="F113" s="9"/>
      <c r="G113" s="10"/>
      <c r="H113" s="10"/>
      <c r="I113" s="11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7"/>
      <c r="B114" s="7"/>
      <c r="C114" s="5"/>
      <c r="D114" s="8"/>
      <c r="E114" s="9"/>
      <c r="F114" s="9"/>
      <c r="G114" s="10"/>
      <c r="H114" s="10"/>
      <c r="I114" s="11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7"/>
      <c r="B115" s="7"/>
      <c r="C115" s="5"/>
      <c r="D115" s="8"/>
      <c r="E115" s="9"/>
      <c r="F115" s="9"/>
      <c r="G115" s="10"/>
      <c r="H115" s="10"/>
      <c r="I115" s="11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7"/>
      <c r="B116" s="7"/>
      <c r="C116" s="5"/>
      <c r="D116" s="8"/>
      <c r="E116" s="9"/>
      <c r="F116" s="9"/>
      <c r="G116" s="10"/>
      <c r="H116" s="10"/>
      <c r="I116" s="11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7"/>
      <c r="B117" s="7"/>
      <c r="C117" s="5"/>
      <c r="D117" s="8"/>
      <c r="E117" s="9"/>
      <c r="F117" s="9"/>
      <c r="G117" s="10"/>
      <c r="H117" s="10"/>
      <c r="I117" s="11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7"/>
      <c r="B118" s="7"/>
      <c r="C118" s="5"/>
      <c r="D118" s="8"/>
      <c r="E118" s="9"/>
      <c r="F118" s="9"/>
      <c r="G118" s="10"/>
      <c r="H118" s="10"/>
      <c r="I118" s="11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7"/>
      <c r="B119" s="7"/>
      <c r="C119" s="5"/>
      <c r="D119" s="8"/>
      <c r="E119" s="9"/>
      <c r="F119" s="9"/>
      <c r="G119" s="10"/>
      <c r="H119" s="10"/>
      <c r="I119" s="11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7"/>
      <c r="B120" s="7"/>
      <c r="C120" s="5"/>
      <c r="D120" s="8"/>
      <c r="E120" s="9"/>
      <c r="F120" s="9"/>
      <c r="G120" s="10"/>
      <c r="H120" s="10"/>
      <c r="I120" s="11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7"/>
      <c r="B121" s="7"/>
      <c r="C121" s="5"/>
      <c r="D121" s="8"/>
      <c r="E121" s="9"/>
      <c r="F121" s="9"/>
      <c r="G121" s="10"/>
      <c r="H121" s="10"/>
      <c r="I121" s="11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7"/>
      <c r="B122" s="7"/>
      <c r="C122" s="5"/>
      <c r="D122" s="8"/>
      <c r="E122" s="9"/>
      <c r="F122" s="9"/>
      <c r="G122" s="10"/>
      <c r="H122" s="10"/>
      <c r="I122" s="11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7"/>
      <c r="B123" s="7"/>
      <c r="C123" s="5"/>
      <c r="D123" s="8"/>
      <c r="E123" s="9"/>
      <c r="F123" s="9"/>
      <c r="G123" s="10"/>
      <c r="H123" s="10"/>
      <c r="I123" s="11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7"/>
      <c r="B124" s="7"/>
      <c r="C124" s="5"/>
      <c r="D124" s="8"/>
      <c r="E124" s="9"/>
      <c r="F124" s="9"/>
      <c r="G124" s="10"/>
      <c r="H124" s="10"/>
      <c r="I124" s="11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7"/>
      <c r="B125" s="7"/>
      <c r="C125" s="5"/>
      <c r="D125" s="8"/>
      <c r="E125" s="9"/>
      <c r="F125" s="9"/>
      <c r="G125" s="10"/>
      <c r="H125" s="10"/>
      <c r="I125" s="11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7"/>
      <c r="B126" s="7"/>
      <c r="C126" s="5"/>
      <c r="D126" s="8"/>
      <c r="E126" s="9"/>
      <c r="F126" s="9"/>
      <c r="G126" s="10"/>
      <c r="H126" s="10"/>
      <c r="I126" s="11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7"/>
      <c r="B127" s="7"/>
      <c r="C127" s="5"/>
      <c r="D127" s="8"/>
      <c r="E127" s="9"/>
      <c r="F127" s="9"/>
      <c r="G127" s="10"/>
      <c r="H127" s="10"/>
      <c r="I127" s="11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7"/>
      <c r="B128" s="7"/>
      <c r="C128" s="5"/>
      <c r="D128" s="8"/>
      <c r="E128" s="9"/>
      <c r="F128" s="9"/>
      <c r="G128" s="10"/>
      <c r="H128" s="10"/>
      <c r="I128" s="11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7"/>
      <c r="B129" s="7"/>
      <c r="C129" s="5"/>
      <c r="D129" s="8"/>
      <c r="E129" s="9"/>
      <c r="F129" s="9"/>
      <c r="G129" s="10"/>
      <c r="H129" s="10"/>
      <c r="I129" s="11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7"/>
      <c r="B130" s="7"/>
      <c r="C130" s="5"/>
      <c r="D130" s="8"/>
      <c r="E130" s="9"/>
      <c r="F130" s="9"/>
      <c r="G130" s="10"/>
      <c r="H130" s="10"/>
      <c r="I130" s="11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7"/>
      <c r="B131" s="7"/>
      <c r="C131" s="5"/>
      <c r="D131" s="8"/>
      <c r="E131" s="9"/>
      <c r="F131" s="9"/>
      <c r="G131" s="10"/>
      <c r="H131" s="10"/>
      <c r="I131" s="11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7"/>
      <c r="B132" s="7"/>
      <c r="C132" s="5"/>
      <c r="D132" s="8"/>
      <c r="E132" s="9"/>
      <c r="F132" s="9"/>
      <c r="G132" s="10"/>
      <c r="H132" s="10"/>
      <c r="I132" s="11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7"/>
      <c r="B133" s="7"/>
      <c r="C133" s="5"/>
      <c r="D133" s="8"/>
      <c r="E133" s="9"/>
      <c r="F133" s="9"/>
      <c r="G133" s="10"/>
      <c r="H133" s="10"/>
      <c r="I133" s="11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7"/>
      <c r="B134" s="7"/>
      <c r="C134" s="5"/>
      <c r="D134" s="8"/>
      <c r="E134" s="9"/>
      <c r="F134" s="9"/>
      <c r="G134" s="10"/>
      <c r="H134" s="10"/>
      <c r="I134" s="11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7"/>
      <c r="B135" s="7"/>
      <c r="C135" s="5"/>
      <c r="D135" s="8"/>
      <c r="E135" s="9"/>
      <c r="F135" s="9"/>
      <c r="G135" s="10"/>
      <c r="H135" s="10"/>
      <c r="I135" s="11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7"/>
      <c r="B136" s="7"/>
      <c r="C136" s="5"/>
      <c r="D136" s="8"/>
      <c r="E136" s="9"/>
      <c r="F136" s="9"/>
      <c r="G136" s="10"/>
      <c r="H136" s="10"/>
      <c r="I136" s="11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7"/>
      <c r="B137" s="7"/>
      <c r="C137" s="5"/>
      <c r="D137" s="8"/>
      <c r="E137" s="9"/>
      <c r="F137" s="9"/>
      <c r="G137" s="10"/>
      <c r="H137" s="10"/>
      <c r="I137" s="11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7"/>
      <c r="B138" s="7"/>
      <c r="C138" s="5"/>
      <c r="D138" s="8"/>
      <c r="E138" s="9"/>
      <c r="F138" s="9"/>
      <c r="G138" s="10"/>
      <c r="H138" s="10"/>
      <c r="I138" s="11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7"/>
      <c r="B139" s="7"/>
      <c r="C139" s="5"/>
      <c r="D139" s="8"/>
      <c r="E139" s="9"/>
      <c r="F139" s="9"/>
      <c r="G139" s="10"/>
      <c r="H139" s="10"/>
      <c r="I139" s="11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7"/>
      <c r="B140" s="7"/>
      <c r="C140" s="5"/>
      <c r="D140" s="8"/>
      <c r="E140" s="9"/>
      <c r="F140" s="9"/>
      <c r="G140" s="10"/>
      <c r="H140" s="10"/>
      <c r="I140" s="11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7"/>
      <c r="B141" s="7"/>
      <c r="C141" s="5"/>
      <c r="D141" s="8"/>
      <c r="E141" s="9"/>
      <c r="F141" s="9"/>
      <c r="G141" s="10"/>
      <c r="H141" s="10"/>
      <c r="I141" s="11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7"/>
      <c r="B142" s="7"/>
      <c r="C142" s="5"/>
      <c r="D142" s="8"/>
      <c r="E142" s="9"/>
      <c r="F142" s="9"/>
      <c r="G142" s="10"/>
      <c r="H142" s="10"/>
      <c r="I142" s="11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7"/>
      <c r="B143" s="7"/>
      <c r="C143" s="5"/>
      <c r="D143" s="8"/>
      <c r="E143" s="9"/>
      <c r="F143" s="9"/>
      <c r="G143" s="10"/>
      <c r="H143" s="10"/>
      <c r="I143" s="11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7"/>
      <c r="B144" s="7"/>
      <c r="C144" s="5"/>
      <c r="D144" s="8"/>
      <c r="E144" s="9"/>
      <c r="F144" s="9"/>
      <c r="G144" s="10"/>
      <c r="H144" s="10"/>
      <c r="I144" s="11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7"/>
      <c r="B145" s="7"/>
      <c r="C145" s="5"/>
      <c r="D145" s="8"/>
      <c r="E145" s="9"/>
      <c r="F145" s="9"/>
      <c r="G145" s="10"/>
      <c r="H145" s="10"/>
      <c r="I145" s="11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7"/>
      <c r="B146" s="7"/>
      <c r="C146" s="5"/>
      <c r="D146" s="8"/>
      <c r="E146" s="9"/>
      <c r="F146" s="9"/>
      <c r="G146" s="10"/>
      <c r="H146" s="10"/>
      <c r="I146" s="11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7"/>
      <c r="B147" s="7"/>
      <c r="C147" s="5"/>
      <c r="D147" s="8"/>
      <c r="E147" s="9"/>
      <c r="F147" s="9"/>
      <c r="G147" s="10"/>
      <c r="H147" s="10"/>
      <c r="I147" s="11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7"/>
      <c r="B148" s="7"/>
      <c r="C148" s="5"/>
      <c r="D148" s="8"/>
      <c r="E148" s="9"/>
      <c r="F148" s="9"/>
      <c r="G148" s="10"/>
      <c r="H148" s="10"/>
      <c r="I148" s="11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7"/>
      <c r="B149" s="7"/>
      <c r="C149" s="5"/>
      <c r="D149" s="8"/>
      <c r="E149" s="9"/>
      <c r="F149" s="9"/>
      <c r="G149" s="10"/>
      <c r="H149" s="10"/>
      <c r="I149" s="11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7"/>
      <c r="B150" s="7"/>
      <c r="C150" s="5"/>
      <c r="D150" s="8"/>
      <c r="E150" s="9"/>
      <c r="F150" s="9"/>
      <c r="G150" s="10"/>
      <c r="H150" s="10"/>
      <c r="I150" s="11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7"/>
      <c r="B151" s="7"/>
      <c r="C151" s="5"/>
      <c r="D151" s="8"/>
      <c r="E151" s="9"/>
      <c r="F151" s="9"/>
      <c r="G151" s="10"/>
      <c r="H151" s="10"/>
      <c r="I151" s="11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7"/>
      <c r="B152" s="7"/>
      <c r="C152" s="5"/>
      <c r="D152" s="8"/>
      <c r="E152" s="9"/>
      <c r="F152" s="9"/>
      <c r="G152" s="10"/>
      <c r="H152" s="10"/>
      <c r="I152" s="11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7"/>
      <c r="B153" s="7"/>
      <c r="C153" s="5"/>
      <c r="D153" s="8"/>
      <c r="E153" s="9"/>
      <c r="F153" s="9"/>
      <c r="G153" s="10"/>
      <c r="H153" s="10"/>
      <c r="I153" s="11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7"/>
      <c r="B154" s="7"/>
      <c r="C154" s="5"/>
      <c r="D154" s="8"/>
      <c r="E154" s="9"/>
      <c r="F154" s="9"/>
      <c r="G154" s="10"/>
      <c r="H154" s="10"/>
      <c r="I154" s="11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7"/>
      <c r="B155" s="7"/>
      <c r="C155" s="5"/>
      <c r="D155" s="8"/>
      <c r="E155" s="9"/>
      <c r="F155" s="9"/>
      <c r="G155" s="10"/>
      <c r="H155" s="10"/>
      <c r="I155" s="11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7"/>
      <c r="B156" s="7"/>
      <c r="C156" s="5"/>
      <c r="D156" s="8"/>
      <c r="E156" s="9"/>
      <c r="F156" s="9"/>
      <c r="G156" s="10"/>
      <c r="H156" s="10"/>
      <c r="I156" s="11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7"/>
      <c r="B157" s="7"/>
      <c r="C157" s="5"/>
      <c r="D157" s="8"/>
      <c r="E157" s="9"/>
      <c r="F157" s="9"/>
      <c r="G157" s="10"/>
      <c r="H157" s="10"/>
      <c r="I157" s="11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7"/>
      <c r="B158" s="7"/>
      <c r="C158" s="5"/>
      <c r="D158" s="8"/>
      <c r="E158" s="9"/>
      <c r="F158" s="9"/>
      <c r="G158" s="10"/>
      <c r="H158" s="10"/>
      <c r="I158" s="11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7"/>
      <c r="B159" s="7"/>
      <c r="C159" s="5"/>
      <c r="D159" s="8"/>
      <c r="E159" s="9"/>
      <c r="F159" s="9"/>
      <c r="G159" s="10"/>
      <c r="H159" s="10"/>
      <c r="I159" s="11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7"/>
      <c r="B160" s="7"/>
      <c r="C160" s="5"/>
      <c r="D160" s="8"/>
      <c r="E160" s="9"/>
      <c r="F160" s="9"/>
      <c r="G160" s="10"/>
      <c r="H160" s="10"/>
      <c r="I160" s="11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7"/>
      <c r="B161" s="7"/>
      <c r="C161" s="5"/>
      <c r="D161" s="8"/>
      <c r="E161" s="9"/>
      <c r="F161" s="9"/>
      <c r="G161" s="10"/>
      <c r="H161" s="10"/>
      <c r="I161" s="11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7"/>
      <c r="B162" s="7"/>
      <c r="C162" s="5"/>
      <c r="D162" s="8"/>
      <c r="E162" s="9"/>
      <c r="F162" s="9"/>
      <c r="G162" s="10"/>
      <c r="H162" s="10"/>
      <c r="I162" s="11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7"/>
      <c r="B163" s="7"/>
      <c r="C163" s="5"/>
      <c r="D163" s="8"/>
      <c r="E163" s="9"/>
      <c r="F163" s="9"/>
      <c r="G163" s="10"/>
      <c r="H163" s="10"/>
      <c r="I163" s="11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7"/>
      <c r="B164" s="7"/>
      <c r="C164" s="5"/>
      <c r="D164" s="8"/>
      <c r="E164" s="9"/>
      <c r="F164" s="9"/>
      <c r="G164" s="10"/>
      <c r="H164" s="10"/>
      <c r="I164" s="11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7"/>
      <c r="B165" s="7"/>
      <c r="C165" s="5"/>
      <c r="D165" s="8"/>
      <c r="E165" s="9"/>
      <c r="F165" s="9"/>
      <c r="G165" s="10"/>
      <c r="H165" s="10"/>
      <c r="I165" s="11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7"/>
      <c r="B166" s="7"/>
      <c r="C166" s="5"/>
      <c r="D166" s="8"/>
      <c r="E166" s="9"/>
      <c r="F166" s="9"/>
      <c r="G166" s="10"/>
      <c r="H166" s="10"/>
      <c r="I166" s="11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7"/>
      <c r="B167" s="7"/>
      <c r="C167" s="5"/>
      <c r="D167" s="8"/>
      <c r="E167" s="9"/>
      <c r="F167" s="9"/>
      <c r="G167" s="10"/>
      <c r="H167" s="10"/>
      <c r="I167" s="11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7"/>
      <c r="B168" s="7"/>
      <c r="C168" s="5"/>
      <c r="D168" s="8"/>
      <c r="E168" s="9"/>
      <c r="F168" s="9"/>
      <c r="G168" s="10"/>
      <c r="H168" s="10"/>
      <c r="I168" s="11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7"/>
      <c r="B169" s="7"/>
      <c r="C169" s="5"/>
      <c r="D169" s="8"/>
      <c r="E169" s="9"/>
      <c r="F169" s="9"/>
      <c r="G169" s="10"/>
      <c r="H169" s="10"/>
      <c r="I169" s="11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7"/>
      <c r="B170" s="7"/>
      <c r="C170" s="5"/>
      <c r="D170" s="8"/>
      <c r="E170" s="9"/>
      <c r="F170" s="9"/>
      <c r="G170" s="10"/>
      <c r="H170" s="10"/>
      <c r="I170" s="11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7"/>
      <c r="B171" s="7"/>
      <c r="C171" s="5"/>
      <c r="D171" s="8"/>
      <c r="E171" s="9"/>
      <c r="F171" s="9"/>
      <c r="G171" s="10"/>
      <c r="H171" s="10"/>
      <c r="I171" s="11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7"/>
      <c r="B172" s="7"/>
      <c r="C172" s="5"/>
      <c r="D172" s="8"/>
      <c r="E172" s="9"/>
      <c r="F172" s="9"/>
      <c r="G172" s="10"/>
      <c r="H172" s="10"/>
      <c r="I172" s="11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7"/>
      <c r="B173" s="7"/>
      <c r="C173" s="5"/>
      <c r="D173" s="8"/>
      <c r="E173" s="9"/>
      <c r="F173" s="9"/>
      <c r="G173" s="10"/>
      <c r="H173" s="10"/>
      <c r="I173" s="11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7"/>
      <c r="B174" s="7"/>
      <c r="C174" s="5"/>
      <c r="D174" s="8"/>
      <c r="E174" s="9"/>
      <c r="F174" s="9"/>
      <c r="G174" s="10"/>
      <c r="H174" s="10"/>
      <c r="I174" s="11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7"/>
      <c r="B175" s="7"/>
      <c r="C175" s="5"/>
      <c r="D175" s="8"/>
      <c r="E175" s="9"/>
      <c r="F175" s="9"/>
      <c r="G175" s="10"/>
      <c r="H175" s="10"/>
      <c r="I175" s="11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7"/>
      <c r="B176" s="7"/>
      <c r="C176" s="5"/>
      <c r="D176" s="8"/>
      <c r="E176" s="9"/>
      <c r="F176" s="9"/>
      <c r="G176" s="10"/>
      <c r="H176" s="10"/>
      <c r="I176" s="11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7"/>
      <c r="B177" s="7"/>
      <c r="C177" s="5"/>
      <c r="D177" s="8"/>
      <c r="E177" s="9"/>
      <c r="F177" s="9"/>
      <c r="G177" s="10"/>
      <c r="H177" s="10"/>
      <c r="I177" s="11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7"/>
      <c r="B178" s="7"/>
      <c r="C178" s="5"/>
      <c r="D178" s="8"/>
      <c r="E178" s="9"/>
      <c r="F178" s="9"/>
      <c r="G178" s="10"/>
      <c r="H178" s="10"/>
      <c r="I178" s="11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7"/>
      <c r="B179" s="7"/>
      <c r="C179" s="5"/>
      <c r="D179" s="8"/>
      <c r="E179" s="9"/>
      <c r="F179" s="9"/>
      <c r="G179" s="10"/>
      <c r="H179" s="10"/>
      <c r="I179" s="11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7"/>
      <c r="B180" s="7"/>
      <c r="C180" s="5"/>
      <c r="D180" s="8"/>
      <c r="E180" s="9"/>
      <c r="F180" s="9"/>
      <c r="G180" s="10"/>
      <c r="H180" s="10"/>
      <c r="I180" s="11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7"/>
      <c r="B181" s="7"/>
      <c r="C181" s="5"/>
      <c r="D181" s="8"/>
      <c r="E181" s="9"/>
      <c r="F181" s="9"/>
      <c r="G181" s="10"/>
      <c r="H181" s="10"/>
      <c r="I181" s="11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7"/>
      <c r="B182" s="7"/>
      <c r="C182" s="5"/>
      <c r="D182" s="8"/>
      <c r="E182" s="9"/>
      <c r="F182" s="9"/>
      <c r="G182" s="10"/>
      <c r="H182" s="10"/>
      <c r="I182" s="11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7"/>
      <c r="B183" s="7"/>
      <c r="C183" s="5"/>
      <c r="D183" s="8"/>
      <c r="E183" s="9"/>
      <c r="F183" s="9"/>
      <c r="G183" s="10"/>
      <c r="H183" s="10"/>
      <c r="I183" s="11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7"/>
      <c r="B184" s="7"/>
      <c r="C184" s="5"/>
      <c r="D184" s="8"/>
      <c r="E184" s="9"/>
      <c r="F184" s="9"/>
      <c r="G184" s="10"/>
      <c r="H184" s="10"/>
      <c r="I184" s="11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7"/>
      <c r="B185" s="7"/>
      <c r="C185" s="5"/>
      <c r="D185" s="8"/>
      <c r="E185" s="9"/>
      <c r="F185" s="9"/>
      <c r="G185" s="10"/>
      <c r="H185" s="10"/>
      <c r="I185" s="11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7"/>
      <c r="B186" s="7"/>
      <c r="C186" s="5"/>
      <c r="D186" s="8"/>
      <c r="E186" s="9"/>
      <c r="F186" s="9"/>
      <c r="G186" s="10"/>
      <c r="H186" s="10"/>
      <c r="I186" s="11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7"/>
      <c r="B187" s="7"/>
      <c r="C187" s="5"/>
      <c r="D187" s="8"/>
      <c r="E187" s="9"/>
      <c r="F187" s="9"/>
      <c r="G187" s="10"/>
      <c r="H187" s="10"/>
      <c r="I187" s="11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7"/>
      <c r="B188" s="7"/>
      <c r="C188" s="5"/>
      <c r="D188" s="8"/>
      <c r="E188" s="9"/>
      <c r="F188" s="9"/>
      <c r="G188" s="10"/>
      <c r="H188" s="10"/>
      <c r="I188" s="11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7"/>
      <c r="B189" s="7"/>
      <c r="C189" s="5"/>
      <c r="D189" s="8"/>
      <c r="E189" s="9"/>
      <c r="F189" s="9"/>
      <c r="G189" s="10"/>
      <c r="H189" s="10"/>
      <c r="I189" s="11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7"/>
      <c r="B190" s="7"/>
      <c r="C190" s="5"/>
      <c r="D190" s="8"/>
      <c r="E190" s="9"/>
      <c r="F190" s="9"/>
      <c r="G190" s="10"/>
      <c r="H190" s="10"/>
      <c r="I190" s="11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7"/>
      <c r="B191" s="7"/>
      <c r="C191" s="5"/>
      <c r="D191" s="8"/>
      <c r="E191" s="9"/>
      <c r="F191" s="9"/>
      <c r="G191" s="10"/>
      <c r="H191" s="10"/>
      <c r="I191" s="11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7"/>
      <c r="B192" s="7"/>
      <c r="C192" s="5"/>
      <c r="D192" s="8"/>
      <c r="E192" s="9"/>
      <c r="F192" s="9"/>
      <c r="G192" s="10"/>
      <c r="H192" s="10"/>
      <c r="I192" s="11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7"/>
      <c r="B193" s="7"/>
      <c r="C193" s="5"/>
      <c r="D193" s="8"/>
      <c r="E193" s="9"/>
      <c r="F193" s="9"/>
      <c r="G193" s="10"/>
      <c r="H193" s="10"/>
      <c r="I193" s="11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7"/>
      <c r="B194" s="7"/>
      <c r="C194" s="5"/>
      <c r="D194" s="8"/>
      <c r="E194" s="9"/>
      <c r="F194" s="9"/>
      <c r="G194" s="10"/>
      <c r="H194" s="10"/>
      <c r="I194" s="11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7"/>
      <c r="B195" s="7"/>
      <c r="C195" s="5"/>
      <c r="D195" s="8"/>
      <c r="E195" s="9"/>
      <c r="F195" s="9"/>
      <c r="G195" s="10"/>
      <c r="H195" s="10"/>
      <c r="I195" s="11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7"/>
      <c r="B196" s="7"/>
      <c r="C196" s="5"/>
      <c r="D196" s="8"/>
      <c r="E196" s="9"/>
      <c r="F196" s="9"/>
      <c r="G196" s="10"/>
      <c r="H196" s="10"/>
      <c r="I196" s="11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7"/>
      <c r="B197" s="7"/>
      <c r="C197" s="5"/>
      <c r="D197" s="8"/>
      <c r="E197" s="9"/>
      <c r="F197" s="9"/>
      <c r="G197" s="10"/>
      <c r="H197" s="10"/>
      <c r="I197" s="11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7"/>
      <c r="B198" s="7"/>
      <c r="C198" s="5"/>
      <c r="D198" s="8"/>
      <c r="E198" s="9"/>
      <c r="F198" s="9"/>
      <c r="G198" s="10"/>
      <c r="H198" s="10"/>
      <c r="I198" s="11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7"/>
      <c r="B199" s="7"/>
      <c r="C199" s="5"/>
      <c r="D199" s="8"/>
      <c r="E199" s="9"/>
      <c r="F199" s="9"/>
      <c r="G199" s="10"/>
      <c r="H199" s="10"/>
      <c r="I199" s="11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7"/>
      <c r="B200" s="7"/>
      <c r="C200" s="5"/>
      <c r="D200" s="8"/>
      <c r="E200" s="9"/>
      <c r="F200" s="9"/>
      <c r="G200" s="10"/>
      <c r="H200" s="10"/>
      <c r="I200" s="11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7"/>
      <c r="B201" s="7"/>
      <c r="C201" s="5"/>
      <c r="D201" s="8"/>
      <c r="E201" s="9"/>
      <c r="F201" s="9"/>
      <c r="G201" s="10"/>
      <c r="H201" s="10"/>
      <c r="I201" s="11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7"/>
      <c r="B202" s="7"/>
      <c r="C202" s="5"/>
      <c r="D202" s="8"/>
      <c r="E202" s="9"/>
      <c r="F202" s="9"/>
      <c r="G202" s="10"/>
      <c r="H202" s="10"/>
      <c r="I202" s="11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7"/>
      <c r="B203" s="7"/>
      <c r="C203" s="5"/>
      <c r="D203" s="8"/>
      <c r="E203" s="9"/>
      <c r="F203" s="9"/>
      <c r="G203" s="10"/>
      <c r="H203" s="10"/>
      <c r="I203" s="11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7"/>
      <c r="B204" s="7"/>
      <c r="C204" s="5"/>
      <c r="D204" s="8"/>
      <c r="E204" s="9"/>
      <c r="F204" s="9"/>
      <c r="G204" s="10"/>
      <c r="H204" s="10"/>
      <c r="I204" s="11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7"/>
      <c r="B205" s="7"/>
      <c r="C205" s="5"/>
      <c r="D205" s="8"/>
      <c r="E205" s="9"/>
      <c r="F205" s="9"/>
      <c r="G205" s="10"/>
      <c r="H205" s="10"/>
      <c r="I205" s="11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7"/>
      <c r="B206" s="7"/>
      <c r="C206" s="5"/>
      <c r="D206" s="8"/>
      <c r="E206" s="9"/>
      <c r="F206" s="9"/>
      <c r="G206" s="10"/>
      <c r="H206" s="10"/>
      <c r="I206" s="11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7"/>
      <c r="B207" s="7"/>
      <c r="C207" s="5"/>
      <c r="D207" s="8"/>
      <c r="E207" s="9"/>
      <c r="F207" s="9"/>
      <c r="G207" s="10"/>
      <c r="H207" s="10"/>
      <c r="I207" s="11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7"/>
      <c r="B208" s="7"/>
      <c r="C208" s="5"/>
      <c r="D208" s="8"/>
      <c r="E208" s="9"/>
      <c r="F208" s="9"/>
      <c r="G208" s="10"/>
      <c r="H208" s="10"/>
      <c r="I208" s="11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7"/>
      <c r="B209" s="7"/>
      <c r="C209" s="5"/>
      <c r="D209" s="8"/>
      <c r="E209" s="9"/>
      <c r="F209" s="9"/>
      <c r="G209" s="10"/>
      <c r="H209" s="10"/>
      <c r="I209" s="11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7"/>
      <c r="B210" s="7"/>
      <c r="C210" s="5"/>
      <c r="D210" s="8"/>
      <c r="E210" s="9"/>
      <c r="F210" s="9"/>
      <c r="G210" s="10"/>
      <c r="H210" s="10"/>
      <c r="I210" s="11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7"/>
      <c r="B211" s="7"/>
      <c r="C211" s="5"/>
      <c r="D211" s="8"/>
      <c r="E211" s="9"/>
      <c r="F211" s="9"/>
      <c r="G211" s="10"/>
      <c r="H211" s="10"/>
      <c r="I211" s="11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7"/>
      <c r="B212" s="7"/>
      <c r="C212" s="5"/>
      <c r="D212" s="8"/>
      <c r="E212" s="9"/>
      <c r="F212" s="9"/>
      <c r="G212" s="10"/>
      <c r="H212" s="10"/>
      <c r="I212" s="11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7"/>
      <c r="B213" s="7"/>
      <c r="C213" s="5"/>
      <c r="D213" s="8"/>
      <c r="E213" s="9"/>
      <c r="F213" s="9"/>
      <c r="G213" s="10"/>
      <c r="H213" s="10"/>
      <c r="I213" s="11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7"/>
      <c r="B214" s="7"/>
      <c r="C214" s="5"/>
      <c r="D214" s="8"/>
      <c r="E214" s="9"/>
      <c r="F214" s="9"/>
      <c r="G214" s="10"/>
      <c r="H214" s="10"/>
      <c r="I214" s="11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7"/>
      <c r="B215" s="7"/>
      <c r="C215" s="5"/>
      <c r="D215" s="8"/>
      <c r="E215" s="9"/>
      <c r="F215" s="9"/>
      <c r="G215" s="10"/>
      <c r="H215" s="10"/>
      <c r="I215" s="11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7"/>
      <c r="B216" s="7"/>
      <c r="C216" s="5"/>
      <c r="D216" s="8"/>
      <c r="E216" s="9"/>
      <c r="F216" s="9"/>
      <c r="G216" s="10"/>
      <c r="H216" s="10"/>
      <c r="I216" s="11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7"/>
      <c r="B217" s="7"/>
      <c r="C217" s="5"/>
      <c r="D217" s="8"/>
      <c r="E217" s="9"/>
      <c r="F217" s="9"/>
      <c r="G217" s="10"/>
      <c r="H217" s="10"/>
      <c r="I217" s="11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7"/>
      <c r="B218" s="7"/>
      <c r="C218" s="5"/>
      <c r="D218" s="8"/>
      <c r="E218" s="9"/>
      <c r="F218" s="9"/>
      <c r="G218" s="10"/>
      <c r="H218" s="10"/>
      <c r="I218" s="11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7"/>
      <c r="B219" s="7"/>
      <c r="C219" s="5"/>
      <c r="D219" s="8"/>
      <c r="E219" s="9"/>
      <c r="F219" s="9"/>
      <c r="G219" s="10"/>
      <c r="H219" s="10"/>
      <c r="I219" s="11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7"/>
      <c r="B220" s="7"/>
      <c r="C220" s="5"/>
      <c r="D220" s="8"/>
      <c r="E220" s="9"/>
      <c r="F220" s="9"/>
      <c r="G220" s="10"/>
      <c r="H220" s="10"/>
      <c r="I220" s="11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7"/>
      <c r="B221" s="7"/>
      <c r="C221" s="5"/>
      <c r="D221" s="8"/>
      <c r="E221" s="9"/>
      <c r="F221" s="9"/>
      <c r="G221" s="10"/>
      <c r="H221" s="10"/>
      <c r="I221" s="11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7"/>
      <c r="B222" s="7"/>
      <c r="C222" s="5"/>
      <c r="D222" s="8"/>
      <c r="E222" s="9"/>
      <c r="F222" s="9"/>
      <c r="G222" s="10"/>
      <c r="H222" s="10"/>
      <c r="I222" s="11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7"/>
      <c r="B223" s="7"/>
      <c r="C223" s="5"/>
      <c r="D223" s="8"/>
      <c r="E223" s="9"/>
      <c r="F223" s="9"/>
      <c r="G223" s="10"/>
      <c r="H223" s="10"/>
      <c r="I223" s="11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7"/>
      <c r="B224" s="7"/>
      <c r="C224" s="5"/>
      <c r="D224" s="8"/>
      <c r="E224" s="9"/>
      <c r="F224" s="9"/>
      <c r="G224" s="10"/>
      <c r="H224" s="10"/>
      <c r="I224" s="11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7"/>
      <c r="B225" s="7"/>
      <c r="C225" s="5"/>
      <c r="D225" s="8"/>
      <c r="E225" s="9"/>
      <c r="F225" s="9"/>
      <c r="G225" s="10"/>
      <c r="H225" s="10"/>
      <c r="I225" s="11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7"/>
      <c r="B226" s="7"/>
      <c r="C226" s="5"/>
      <c r="D226" s="8"/>
      <c r="E226" s="9"/>
      <c r="F226" s="9"/>
      <c r="G226" s="10"/>
      <c r="H226" s="10"/>
      <c r="I226" s="11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7"/>
      <c r="B227" s="7"/>
      <c r="C227" s="5"/>
      <c r="D227" s="8"/>
      <c r="E227" s="9"/>
      <c r="F227" s="9"/>
      <c r="G227" s="10"/>
      <c r="H227" s="10"/>
      <c r="I227" s="11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7"/>
      <c r="B228" s="7"/>
      <c r="C228" s="5"/>
      <c r="D228" s="8"/>
      <c r="E228" s="9"/>
      <c r="F228" s="9"/>
      <c r="G228" s="10"/>
      <c r="H228" s="10"/>
      <c r="I228" s="11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7"/>
      <c r="B229" s="7"/>
      <c r="C229" s="5"/>
      <c r="D229" s="8"/>
      <c r="E229" s="9"/>
      <c r="F229" s="9"/>
      <c r="G229" s="10"/>
      <c r="H229" s="10"/>
      <c r="I229" s="11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7"/>
      <c r="B230" s="7"/>
      <c r="C230" s="5"/>
      <c r="D230" s="8"/>
      <c r="E230" s="9"/>
      <c r="F230" s="9"/>
      <c r="G230" s="10"/>
      <c r="H230" s="10"/>
      <c r="I230" s="11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7"/>
      <c r="B231" s="7"/>
      <c r="C231" s="5"/>
      <c r="D231" s="8"/>
      <c r="E231" s="9"/>
      <c r="F231" s="9"/>
      <c r="G231" s="10"/>
      <c r="H231" s="10"/>
      <c r="I231" s="11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7"/>
      <c r="B232" s="7"/>
      <c r="C232" s="5"/>
      <c r="D232" s="8"/>
      <c r="E232" s="9"/>
      <c r="F232" s="9"/>
      <c r="G232" s="10"/>
      <c r="H232" s="10"/>
      <c r="I232" s="11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7"/>
      <c r="B233" s="7"/>
      <c r="C233" s="5"/>
      <c r="D233" s="8"/>
      <c r="E233" s="9"/>
      <c r="F233" s="9"/>
      <c r="G233" s="10"/>
      <c r="H233" s="10"/>
      <c r="I233" s="11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7"/>
      <c r="B234" s="7"/>
      <c r="C234" s="5"/>
      <c r="D234" s="8"/>
      <c r="E234" s="9"/>
      <c r="F234" s="9"/>
      <c r="G234" s="10"/>
      <c r="H234" s="10"/>
      <c r="I234" s="11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7"/>
      <c r="B235" s="7"/>
      <c r="C235" s="5"/>
      <c r="D235" s="8"/>
      <c r="E235" s="9"/>
      <c r="F235" s="9"/>
      <c r="G235" s="10"/>
      <c r="H235" s="10"/>
      <c r="I235" s="11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7"/>
      <c r="B236" s="7"/>
      <c r="C236" s="5"/>
      <c r="D236" s="8"/>
      <c r="E236" s="9"/>
      <c r="F236" s="9"/>
      <c r="G236" s="10"/>
      <c r="H236" s="10"/>
      <c r="I236" s="11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7"/>
      <c r="B237" s="7"/>
      <c r="C237" s="5"/>
      <c r="D237" s="8"/>
      <c r="E237" s="9"/>
      <c r="F237" s="9"/>
      <c r="G237" s="10"/>
      <c r="H237" s="10"/>
      <c r="I237" s="11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7"/>
      <c r="B238" s="7"/>
      <c r="C238" s="5"/>
      <c r="D238" s="8"/>
      <c r="E238" s="9"/>
      <c r="F238" s="9"/>
      <c r="G238" s="10"/>
      <c r="H238" s="10"/>
      <c r="I238" s="11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7"/>
      <c r="B239" s="7"/>
      <c r="C239" s="5"/>
      <c r="D239" s="8"/>
      <c r="E239" s="9"/>
      <c r="F239" s="9"/>
      <c r="G239" s="10"/>
      <c r="H239" s="10"/>
      <c r="I239" s="11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7"/>
      <c r="B240" s="7"/>
      <c r="C240" s="5"/>
      <c r="D240" s="8"/>
      <c r="E240" s="9"/>
      <c r="F240" s="9"/>
      <c r="G240" s="10"/>
      <c r="H240" s="10"/>
      <c r="I240" s="11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7"/>
      <c r="B241" s="7"/>
      <c r="C241" s="5"/>
      <c r="D241" s="8"/>
      <c r="E241" s="9"/>
      <c r="F241" s="9"/>
      <c r="G241" s="10"/>
      <c r="H241" s="10"/>
      <c r="I241" s="11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7"/>
      <c r="B242" s="7"/>
      <c r="C242" s="5"/>
      <c r="D242" s="8"/>
      <c r="E242" s="9"/>
      <c r="F242" s="9"/>
      <c r="G242" s="10"/>
      <c r="H242" s="10"/>
      <c r="I242" s="11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7"/>
      <c r="B243" s="7"/>
      <c r="C243" s="5"/>
      <c r="D243" s="8"/>
      <c r="E243" s="9"/>
      <c r="F243" s="9"/>
      <c r="G243" s="10"/>
      <c r="H243" s="10"/>
      <c r="I243" s="11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7"/>
      <c r="B244" s="7"/>
      <c r="C244" s="5"/>
      <c r="D244" s="8"/>
      <c r="E244" s="9"/>
      <c r="F244" s="9"/>
      <c r="G244" s="10"/>
      <c r="H244" s="10"/>
      <c r="I244" s="11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7"/>
      <c r="B245" s="7"/>
      <c r="C245" s="5"/>
      <c r="D245" s="8"/>
      <c r="E245" s="9"/>
      <c r="F245" s="9"/>
      <c r="G245" s="10"/>
      <c r="H245" s="10"/>
      <c r="I245" s="11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7"/>
      <c r="B246" s="7"/>
      <c r="C246" s="5"/>
      <c r="D246" s="8"/>
      <c r="E246" s="9"/>
      <c r="F246" s="9"/>
      <c r="G246" s="10"/>
      <c r="H246" s="10"/>
      <c r="I246" s="11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7"/>
      <c r="B247" s="7"/>
      <c r="C247" s="5"/>
      <c r="D247" s="8"/>
      <c r="E247" s="9"/>
      <c r="F247" s="9"/>
      <c r="G247" s="10"/>
      <c r="H247" s="10"/>
      <c r="I247" s="11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7"/>
      <c r="B248" s="7"/>
      <c r="C248" s="5"/>
      <c r="D248" s="8"/>
      <c r="E248" s="9"/>
      <c r="F248" s="9"/>
      <c r="G248" s="10"/>
      <c r="H248" s="10"/>
      <c r="I248" s="11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7"/>
      <c r="B249" s="7"/>
      <c r="C249" s="5"/>
      <c r="D249" s="8"/>
      <c r="E249" s="9"/>
      <c r="F249" s="9"/>
      <c r="G249" s="10"/>
      <c r="H249" s="10"/>
      <c r="I249" s="11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7"/>
      <c r="B250" s="7"/>
      <c r="C250" s="5"/>
      <c r="D250" s="8"/>
      <c r="E250" s="9"/>
      <c r="F250" s="9"/>
      <c r="G250" s="10"/>
      <c r="H250" s="10"/>
      <c r="I250" s="11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7"/>
      <c r="B251" s="7"/>
      <c r="C251" s="5"/>
      <c r="D251" s="8"/>
      <c r="E251" s="9"/>
      <c r="F251" s="9"/>
      <c r="G251" s="10"/>
      <c r="H251" s="10"/>
      <c r="I251" s="11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7"/>
      <c r="B252" s="7"/>
      <c r="C252" s="5"/>
      <c r="D252" s="8"/>
      <c r="E252" s="9"/>
      <c r="F252" s="9"/>
      <c r="G252" s="10"/>
      <c r="H252" s="10"/>
      <c r="I252" s="11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7"/>
      <c r="B253" s="7"/>
      <c r="C253" s="5"/>
      <c r="D253" s="8"/>
      <c r="E253" s="9"/>
      <c r="F253" s="9"/>
      <c r="G253" s="10"/>
      <c r="H253" s="10"/>
      <c r="I253" s="11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7"/>
      <c r="B254" s="7"/>
      <c r="C254" s="5"/>
      <c r="D254" s="8"/>
      <c r="E254" s="9"/>
      <c r="F254" s="9"/>
      <c r="G254" s="10"/>
      <c r="H254" s="10"/>
      <c r="I254" s="11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7"/>
      <c r="B255" s="7"/>
      <c r="C255" s="5"/>
      <c r="D255" s="8"/>
      <c r="E255" s="9"/>
      <c r="F255" s="9"/>
      <c r="G255" s="10"/>
      <c r="H255" s="10"/>
      <c r="I255" s="11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7"/>
      <c r="B256" s="7"/>
      <c r="C256" s="5"/>
      <c r="D256" s="8"/>
      <c r="E256" s="9"/>
      <c r="F256" s="9"/>
      <c r="G256" s="10"/>
      <c r="H256" s="10"/>
      <c r="I256" s="11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7"/>
      <c r="B257" s="7"/>
      <c r="C257" s="5"/>
      <c r="D257" s="8"/>
      <c r="E257" s="9"/>
      <c r="F257" s="9"/>
      <c r="G257" s="10"/>
      <c r="H257" s="10"/>
      <c r="I257" s="11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7"/>
      <c r="B258" s="7"/>
      <c r="C258" s="5"/>
      <c r="D258" s="8"/>
      <c r="E258" s="9"/>
      <c r="F258" s="9"/>
      <c r="G258" s="10"/>
      <c r="H258" s="10"/>
      <c r="I258" s="11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7"/>
      <c r="B259" s="7"/>
      <c r="C259" s="5"/>
      <c r="D259" s="8"/>
      <c r="E259" s="9"/>
      <c r="F259" s="9"/>
      <c r="G259" s="10"/>
      <c r="H259" s="10"/>
      <c r="I259" s="11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7"/>
      <c r="B260" s="7"/>
      <c r="C260" s="5"/>
      <c r="D260" s="8"/>
      <c r="E260" s="9"/>
      <c r="F260" s="9"/>
      <c r="G260" s="10"/>
      <c r="H260" s="10"/>
      <c r="I260" s="11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7"/>
      <c r="B261" s="7"/>
      <c r="C261" s="5"/>
      <c r="D261" s="8"/>
      <c r="E261" s="9"/>
      <c r="F261" s="9"/>
      <c r="G261" s="10"/>
      <c r="H261" s="10"/>
      <c r="I261" s="11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7"/>
      <c r="B262" s="7"/>
      <c r="C262" s="5"/>
      <c r="D262" s="8"/>
      <c r="E262" s="9"/>
      <c r="F262" s="9"/>
      <c r="G262" s="10"/>
      <c r="H262" s="10"/>
      <c r="I262" s="11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7"/>
      <c r="B263" s="7"/>
      <c r="C263" s="5"/>
      <c r="D263" s="8"/>
      <c r="E263" s="9"/>
      <c r="F263" s="9"/>
      <c r="G263" s="10"/>
      <c r="H263" s="10"/>
      <c r="I263" s="11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7"/>
      <c r="B264" s="7"/>
      <c r="C264" s="5"/>
      <c r="D264" s="8"/>
      <c r="E264" s="9"/>
      <c r="F264" s="9"/>
      <c r="G264" s="10"/>
      <c r="H264" s="10"/>
      <c r="I264" s="11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7"/>
      <c r="B265" s="7"/>
      <c r="C265" s="5"/>
      <c r="D265" s="8"/>
      <c r="E265" s="9"/>
      <c r="F265" s="9"/>
      <c r="G265" s="10"/>
      <c r="H265" s="10"/>
      <c r="I265" s="11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7"/>
      <c r="B266" s="7"/>
      <c r="C266" s="5"/>
      <c r="D266" s="8"/>
      <c r="E266" s="9"/>
      <c r="F266" s="9"/>
      <c r="G266" s="10"/>
      <c r="H266" s="10"/>
      <c r="I266" s="11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7"/>
      <c r="B267" s="7"/>
      <c r="C267" s="5"/>
      <c r="D267" s="8"/>
      <c r="E267" s="9"/>
      <c r="F267" s="9"/>
      <c r="G267" s="10"/>
      <c r="H267" s="10"/>
      <c r="I267" s="11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7"/>
      <c r="B268" s="7"/>
      <c r="C268" s="5"/>
      <c r="D268" s="8"/>
      <c r="E268" s="9"/>
      <c r="F268" s="9"/>
      <c r="G268" s="10"/>
      <c r="H268" s="10"/>
      <c r="I268" s="11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7"/>
      <c r="B269" s="7"/>
      <c r="C269" s="5"/>
      <c r="D269" s="8"/>
      <c r="E269" s="9"/>
      <c r="F269" s="9"/>
      <c r="G269" s="10"/>
      <c r="H269" s="10"/>
      <c r="I269" s="11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7"/>
      <c r="B270" s="7"/>
      <c r="C270" s="5"/>
      <c r="D270" s="8"/>
      <c r="E270" s="9"/>
      <c r="F270" s="9"/>
      <c r="G270" s="10"/>
      <c r="H270" s="10"/>
      <c r="I270" s="11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7"/>
      <c r="B271" s="7"/>
      <c r="C271" s="5"/>
      <c r="D271" s="8"/>
      <c r="E271" s="9"/>
      <c r="F271" s="9"/>
      <c r="G271" s="10"/>
      <c r="H271" s="10"/>
      <c r="I271" s="11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7"/>
      <c r="B272" s="7"/>
      <c r="C272" s="5"/>
      <c r="D272" s="8"/>
      <c r="E272" s="9"/>
      <c r="F272" s="9"/>
      <c r="G272" s="10"/>
      <c r="H272" s="10"/>
      <c r="I272" s="11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7"/>
      <c r="B273" s="7"/>
      <c r="C273" s="5"/>
      <c r="D273" s="8"/>
      <c r="E273" s="9"/>
      <c r="F273" s="9"/>
      <c r="G273" s="10"/>
      <c r="H273" s="10"/>
      <c r="I273" s="11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7"/>
      <c r="B274" s="7"/>
      <c r="C274" s="5"/>
      <c r="D274" s="8"/>
      <c r="E274" s="9"/>
      <c r="F274" s="9"/>
      <c r="G274" s="10"/>
      <c r="H274" s="10"/>
      <c r="I274" s="11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7"/>
      <c r="B275" s="7"/>
      <c r="C275" s="5"/>
      <c r="D275" s="8"/>
      <c r="E275" s="9"/>
      <c r="F275" s="9"/>
      <c r="G275" s="10"/>
      <c r="H275" s="10"/>
      <c r="I275" s="11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7"/>
      <c r="B276" s="7"/>
      <c r="C276" s="5"/>
      <c r="D276" s="8"/>
      <c r="E276" s="9"/>
      <c r="F276" s="9"/>
      <c r="G276" s="10"/>
      <c r="H276" s="10"/>
      <c r="I276" s="11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7"/>
      <c r="B277" s="7"/>
      <c r="C277" s="5"/>
      <c r="D277" s="8"/>
      <c r="E277" s="9"/>
      <c r="F277" s="9"/>
      <c r="G277" s="10"/>
      <c r="H277" s="10"/>
      <c r="I277" s="11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7"/>
      <c r="B278" s="7"/>
      <c r="C278" s="5"/>
      <c r="D278" s="8"/>
      <c r="E278" s="9"/>
      <c r="F278" s="9"/>
      <c r="G278" s="10"/>
      <c r="H278" s="10"/>
      <c r="I278" s="11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7"/>
      <c r="B279" s="7"/>
      <c r="C279" s="5"/>
      <c r="D279" s="8"/>
      <c r="E279" s="9"/>
      <c r="F279" s="9"/>
      <c r="G279" s="10"/>
      <c r="H279" s="10"/>
      <c r="I279" s="11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7"/>
      <c r="B280" s="7"/>
      <c r="C280" s="5"/>
      <c r="D280" s="8"/>
      <c r="E280" s="9"/>
      <c r="F280" s="9"/>
      <c r="G280" s="10"/>
      <c r="H280" s="10"/>
      <c r="I280" s="11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7"/>
      <c r="B281" s="7"/>
      <c r="C281" s="5"/>
      <c r="D281" s="8"/>
      <c r="E281" s="9"/>
      <c r="F281" s="9"/>
      <c r="G281" s="10"/>
      <c r="H281" s="10"/>
      <c r="I281" s="11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7"/>
      <c r="B282" s="7"/>
      <c r="C282" s="5"/>
      <c r="D282" s="8"/>
      <c r="E282" s="9"/>
      <c r="F282" s="9"/>
      <c r="G282" s="10"/>
      <c r="H282" s="10"/>
      <c r="I282" s="11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7"/>
      <c r="B283" s="7"/>
      <c r="C283" s="5"/>
      <c r="D283" s="8"/>
      <c r="E283" s="9"/>
      <c r="F283" s="9"/>
      <c r="G283" s="10"/>
      <c r="H283" s="10"/>
      <c r="I283" s="11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7"/>
      <c r="B284" s="7"/>
      <c r="C284" s="5"/>
      <c r="D284" s="8"/>
      <c r="E284" s="9"/>
      <c r="F284" s="9"/>
      <c r="G284" s="10"/>
      <c r="H284" s="10"/>
      <c r="I284" s="11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7"/>
      <c r="B285" s="7"/>
      <c r="C285" s="5"/>
      <c r="D285" s="8"/>
      <c r="E285" s="9"/>
      <c r="F285" s="9"/>
      <c r="G285" s="10"/>
      <c r="H285" s="10"/>
      <c r="I285" s="11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7"/>
      <c r="B286" s="7"/>
      <c r="C286" s="5"/>
      <c r="D286" s="8"/>
      <c r="E286" s="9"/>
      <c r="F286" s="9"/>
      <c r="G286" s="10"/>
      <c r="H286" s="10"/>
      <c r="I286" s="11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7"/>
      <c r="B287" s="7"/>
      <c r="C287" s="5"/>
      <c r="D287" s="8"/>
      <c r="E287" s="9"/>
      <c r="F287" s="9"/>
      <c r="G287" s="10"/>
      <c r="H287" s="10"/>
      <c r="I287" s="11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7"/>
      <c r="B288" s="7"/>
      <c r="C288" s="5"/>
      <c r="D288" s="8"/>
      <c r="E288" s="9"/>
      <c r="F288" s="9"/>
      <c r="G288" s="10"/>
      <c r="H288" s="10"/>
      <c r="I288" s="11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7"/>
      <c r="B289" s="7"/>
      <c r="C289" s="5"/>
      <c r="D289" s="8"/>
      <c r="E289" s="9"/>
      <c r="F289" s="9"/>
      <c r="G289" s="10"/>
      <c r="H289" s="10"/>
      <c r="I289" s="11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7"/>
      <c r="B290" s="7"/>
      <c r="C290" s="5"/>
      <c r="D290" s="8"/>
      <c r="E290" s="9"/>
      <c r="F290" s="9"/>
      <c r="G290" s="10"/>
      <c r="H290" s="10"/>
      <c r="I290" s="11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7"/>
      <c r="B291" s="7"/>
      <c r="C291" s="5"/>
      <c r="D291" s="8"/>
      <c r="E291" s="9"/>
      <c r="F291" s="9"/>
      <c r="G291" s="10"/>
      <c r="H291" s="10"/>
      <c r="I291" s="11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7"/>
      <c r="B292" s="7"/>
      <c r="C292" s="5"/>
      <c r="D292" s="8"/>
      <c r="E292" s="9"/>
      <c r="F292" s="9"/>
      <c r="G292" s="10"/>
      <c r="H292" s="10"/>
      <c r="I292" s="11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7"/>
      <c r="B293" s="7"/>
      <c r="C293" s="5"/>
      <c r="D293" s="8"/>
      <c r="E293" s="9"/>
      <c r="F293" s="9"/>
      <c r="G293" s="10"/>
      <c r="H293" s="10"/>
      <c r="I293" s="11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7"/>
      <c r="B294" s="7"/>
      <c r="C294" s="5"/>
      <c r="D294" s="8"/>
      <c r="E294" s="9"/>
      <c r="F294" s="9"/>
      <c r="G294" s="10"/>
      <c r="H294" s="10"/>
      <c r="I294" s="11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7"/>
      <c r="B295" s="7"/>
      <c r="C295" s="5"/>
      <c r="D295" s="8"/>
      <c r="E295" s="9"/>
      <c r="F295" s="9"/>
      <c r="G295" s="10"/>
      <c r="H295" s="10"/>
      <c r="I295" s="11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7"/>
      <c r="B296" s="7"/>
      <c r="C296" s="5"/>
      <c r="D296" s="8"/>
      <c r="E296" s="9"/>
      <c r="F296" s="9"/>
      <c r="G296" s="10"/>
      <c r="H296" s="10"/>
      <c r="I296" s="11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7"/>
      <c r="B297" s="7"/>
      <c r="C297" s="5"/>
      <c r="D297" s="8"/>
      <c r="E297" s="9"/>
      <c r="F297" s="9"/>
      <c r="G297" s="10"/>
      <c r="H297" s="10"/>
      <c r="I297" s="11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7"/>
      <c r="B298" s="7"/>
      <c r="C298" s="5"/>
      <c r="D298" s="8"/>
      <c r="E298" s="9"/>
      <c r="F298" s="9"/>
      <c r="G298" s="10"/>
      <c r="H298" s="10"/>
      <c r="I298" s="11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7"/>
      <c r="B299" s="7"/>
      <c r="C299" s="5"/>
      <c r="D299" s="8"/>
      <c r="E299" s="9"/>
      <c r="F299" s="9"/>
      <c r="G299" s="10"/>
      <c r="H299" s="10"/>
      <c r="I299" s="11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7"/>
      <c r="B300" s="7"/>
      <c r="C300" s="5"/>
      <c r="D300" s="8"/>
      <c r="E300" s="9"/>
      <c r="F300" s="9"/>
      <c r="G300" s="10"/>
      <c r="H300" s="10"/>
      <c r="I300" s="11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7"/>
      <c r="B301" s="7"/>
      <c r="C301" s="5"/>
      <c r="D301" s="8"/>
      <c r="E301" s="9"/>
      <c r="F301" s="9"/>
      <c r="G301" s="10"/>
      <c r="H301" s="10"/>
      <c r="I301" s="11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7"/>
      <c r="B302" s="7"/>
      <c r="C302" s="5"/>
      <c r="D302" s="8"/>
      <c r="E302" s="9"/>
      <c r="F302" s="9"/>
      <c r="G302" s="10"/>
      <c r="H302" s="10"/>
      <c r="I302" s="11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7"/>
      <c r="B303" s="7"/>
      <c r="C303" s="5"/>
      <c r="D303" s="8"/>
      <c r="E303" s="9"/>
      <c r="F303" s="9"/>
      <c r="G303" s="10"/>
      <c r="H303" s="10"/>
      <c r="I303" s="11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7"/>
      <c r="B304" s="7"/>
      <c r="C304" s="5"/>
      <c r="D304" s="8"/>
      <c r="E304" s="9"/>
      <c r="F304" s="9"/>
      <c r="G304" s="10"/>
      <c r="H304" s="10"/>
      <c r="I304" s="11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7"/>
      <c r="B305" s="7"/>
      <c r="C305" s="5"/>
      <c r="D305" s="8"/>
      <c r="E305" s="9"/>
      <c r="F305" s="9"/>
      <c r="G305" s="10"/>
      <c r="H305" s="10"/>
      <c r="I305" s="11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7"/>
      <c r="B306" s="7"/>
      <c r="C306" s="5"/>
      <c r="D306" s="8"/>
      <c r="E306" s="9"/>
      <c r="F306" s="9"/>
      <c r="G306" s="10"/>
      <c r="H306" s="10"/>
      <c r="I306" s="11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7"/>
      <c r="B307" s="7"/>
      <c r="C307" s="5"/>
      <c r="D307" s="8"/>
      <c r="E307" s="9"/>
      <c r="F307" s="9"/>
      <c r="G307" s="10"/>
      <c r="H307" s="10"/>
      <c r="I307" s="11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7"/>
      <c r="B308" s="7"/>
      <c r="C308" s="5"/>
      <c r="D308" s="8"/>
      <c r="E308" s="9"/>
      <c r="F308" s="9"/>
      <c r="G308" s="10"/>
      <c r="H308" s="10"/>
      <c r="I308" s="11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7"/>
      <c r="B309" s="7"/>
      <c r="C309" s="5"/>
      <c r="D309" s="8"/>
      <c r="E309" s="9"/>
      <c r="F309" s="9"/>
      <c r="G309" s="10"/>
      <c r="H309" s="10"/>
      <c r="I309" s="11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7"/>
      <c r="B310" s="7"/>
      <c r="C310" s="5"/>
      <c r="D310" s="8"/>
      <c r="E310" s="9"/>
      <c r="F310" s="9"/>
      <c r="G310" s="10"/>
      <c r="H310" s="10"/>
      <c r="I310" s="11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7"/>
      <c r="B311" s="7"/>
      <c r="C311" s="5"/>
      <c r="D311" s="8"/>
      <c r="E311" s="9"/>
      <c r="F311" s="9"/>
      <c r="G311" s="10"/>
      <c r="H311" s="10"/>
      <c r="I311" s="11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7"/>
      <c r="B312" s="7"/>
      <c r="C312" s="5"/>
      <c r="D312" s="8"/>
      <c r="E312" s="9"/>
      <c r="F312" s="9"/>
      <c r="G312" s="10"/>
      <c r="H312" s="10"/>
      <c r="I312" s="11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7"/>
      <c r="B313" s="7"/>
      <c r="C313" s="5"/>
      <c r="D313" s="8"/>
      <c r="E313" s="9"/>
      <c r="F313" s="9"/>
      <c r="G313" s="10"/>
      <c r="H313" s="10"/>
      <c r="I313" s="11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7"/>
      <c r="B314" s="7"/>
      <c r="C314" s="5"/>
      <c r="D314" s="8"/>
      <c r="E314" s="9"/>
      <c r="F314" s="9"/>
      <c r="G314" s="10"/>
      <c r="H314" s="10"/>
      <c r="I314" s="11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7"/>
      <c r="B315" s="7"/>
      <c r="C315" s="5"/>
      <c r="D315" s="8"/>
      <c r="E315" s="9"/>
      <c r="F315" s="9"/>
      <c r="G315" s="10"/>
      <c r="H315" s="10"/>
      <c r="I315" s="11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7"/>
      <c r="B316" s="7"/>
      <c r="C316" s="5"/>
      <c r="D316" s="8"/>
      <c r="E316" s="9"/>
      <c r="F316" s="9"/>
      <c r="G316" s="10"/>
      <c r="H316" s="10"/>
      <c r="I316" s="11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7"/>
      <c r="B317" s="7"/>
      <c r="C317" s="5"/>
      <c r="D317" s="8"/>
      <c r="E317" s="9"/>
      <c r="F317" s="9"/>
      <c r="G317" s="10"/>
      <c r="H317" s="10"/>
      <c r="I317" s="11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7"/>
      <c r="B318" s="7"/>
      <c r="C318" s="5"/>
      <c r="D318" s="8"/>
      <c r="E318" s="9"/>
      <c r="F318" s="9"/>
      <c r="G318" s="10"/>
      <c r="H318" s="10"/>
      <c r="I318" s="11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7"/>
      <c r="B319" s="7"/>
      <c r="C319" s="5"/>
      <c r="D319" s="8"/>
      <c r="E319" s="9"/>
      <c r="F319" s="9"/>
      <c r="G319" s="10"/>
      <c r="H319" s="10"/>
      <c r="I319" s="11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7"/>
      <c r="B320" s="7"/>
      <c r="C320" s="5"/>
      <c r="D320" s="8"/>
      <c r="E320" s="9"/>
      <c r="F320" s="9"/>
      <c r="G320" s="10"/>
      <c r="H320" s="10"/>
      <c r="I320" s="11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7"/>
      <c r="B321" s="7"/>
      <c r="C321" s="5"/>
      <c r="D321" s="8"/>
      <c r="E321" s="9"/>
      <c r="F321" s="9"/>
      <c r="G321" s="10"/>
      <c r="H321" s="10"/>
      <c r="I321" s="11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7"/>
      <c r="B322" s="7"/>
      <c r="C322" s="5"/>
      <c r="D322" s="8"/>
      <c r="E322" s="9"/>
      <c r="F322" s="9"/>
      <c r="G322" s="10"/>
      <c r="H322" s="10"/>
      <c r="I322" s="11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7"/>
      <c r="B323" s="7"/>
      <c r="C323" s="5"/>
      <c r="D323" s="8"/>
      <c r="E323" s="9"/>
      <c r="F323" s="9"/>
      <c r="G323" s="10"/>
      <c r="H323" s="10"/>
      <c r="I323" s="11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7"/>
      <c r="B324" s="7"/>
      <c r="C324" s="5"/>
      <c r="D324" s="8"/>
      <c r="E324" s="9"/>
      <c r="F324" s="9"/>
      <c r="G324" s="10"/>
      <c r="H324" s="10"/>
      <c r="I324" s="11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7"/>
      <c r="B325" s="7"/>
      <c r="C325" s="5"/>
      <c r="D325" s="8"/>
      <c r="E325" s="9"/>
      <c r="F325" s="9"/>
      <c r="G325" s="10"/>
      <c r="H325" s="10"/>
      <c r="I325" s="11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7"/>
      <c r="B326" s="7"/>
      <c r="C326" s="5"/>
      <c r="D326" s="8"/>
      <c r="E326" s="9"/>
      <c r="F326" s="9"/>
      <c r="G326" s="10"/>
      <c r="H326" s="10"/>
      <c r="I326" s="11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7"/>
      <c r="B327" s="7"/>
      <c r="C327" s="5"/>
      <c r="D327" s="8"/>
      <c r="E327" s="9"/>
      <c r="F327" s="9"/>
      <c r="G327" s="10"/>
      <c r="H327" s="10"/>
      <c r="I327" s="11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7"/>
      <c r="B328" s="7"/>
      <c r="C328" s="5"/>
      <c r="D328" s="8"/>
      <c r="E328" s="9"/>
      <c r="F328" s="9"/>
      <c r="G328" s="10"/>
      <c r="H328" s="10"/>
      <c r="I328" s="11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7"/>
      <c r="B329" s="7"/>
      <c r="C329" s="5"/>
      <c r="D329" s="8"/>
      <c r="E329" s="9"/>
      <c r="F329" s="9"/>
      <c r="G329" s="10"/>
      <c r="H329" s="10"/>
      <c r="I329" s="11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7"/>
      <c r="B330" s="7"/>
      <c r="C330" s="5"/>
      <c r="D330" s="8"/>
      <c r="E330" s="9"/>
      <c r="F330" s="9"/>
      <c r="G330" s="10"/>
      <c r="H330" s="10"/>
      <c r="I330" s="11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7"/>
      <c r="B331" s="7"/>
      <c r="C331" s="5"/>
      <c r="D331" s="8"/>
      <c r="E331" s="9"/>
      <c r="F331" s="9"/>
      <c r="G331" s="10"/>
      <c r="H331" s="10"/>
      <c r="I331" s="11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7"/>
      <c r="B332" s="7"/>
      <c r="C332" s="5"/>
      <c r="D332" s="8"/>
      <c r="E332" s="9"/>
      <c r="F332" s="9"/>
      <c r="G332" s="10"/>
      <c r="H332" s="10"/>
      <c r="I332" s="11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7"/>
      <c r="B333" s="7"/>
      <c r="C333" s="5"/>
      <c r="D333" s="8"/>
      <c r="E333" s="9"/>
      <c r="F333" s="9"/>
      <c r="G333" s="10"/>
      <c r="H333" s="10"/>
      <c r="I333" s="11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7"/>
      <c r="B334" s="7"/>
      <c r="C334" s="5"/>
      <c r="D334" s="8"/>
      <c r="E334" s="9"/>
      <c r="F334" s="9"/>
      <c r="G334" s="10"/>
      <c r="H334" s="10"/>
      <c r="I334" s="11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7"/>
      <c r="B335" s="7"/>
      <c r="C335" s="5"/>
      <c r="D335" s="8"/>
      <c r="E335" s="9"/>
      <c r="F335" s="9"/>
      <c r="G335" s="10"/>
      <c r="H335" s="10"/>
      <c r="I335" s="11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7"/>
      <c r="B336" s="7"/>
      <c r="C336" s="5"/>
      <c r="D336" s="8"/>
      <c r="E336" s="9"/>
      <c r="F336" s="9"/>
      <c r="G336" s="10"/>
      <c r="H336" s="10"/>
      <c r="I336" s="11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7"/>
      <c r="B337" s="7"/>
      <c r="C337" s="5"/>
      <c r="D337" s="8"/>
      <c r="E337" s="9"/>
      <c r="F337" s="9"/>
      <c r="G337" s="10"/>
      <c r="H337" s="10"/>
      <c r="I337" s="11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7"/>
      <c r="B338" s="7"/>
      <c r="C338" s="5"/>
      <c r="D338" s="8"/>
      <c r="E338" s="9"/>
      <c r="F338" s="9"/>
      <c r="G338" s="10"/>
      <c r="H338" s="10"/>
      <c r="I338" s="11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7"/>
      <c r="B339" s="7"/>
      <c r="C339" s="5"/>
      <c r="D339" s="8"/>
      <c r="E339" s="9"/>
      <c r="F339" s="9"/>
      <c r="G339" s="10"/>
      <c r="H339" s="10"/>
      <c r="I339" s="11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7"/>
      <c r="B340" s="7"/>
      <c r="C340" s="5"/>
      <c r="D340" s="8"/>
      <c r="E340" s="9"/>
      <c r="F340" s="9"/>
      <c r="G340" s="10"/>
      <c r="H340" s="10"/>
      <c r="I340" s="11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7"/>
      <c r="B341" s="7"/>
      <c r="C341" s="5"/>
      <c r="D341" s="8"/>
      <c r="E341" s="9"/>
      <c r="F341" s="9"/>
      <c r="G341" s="10"/>
      <c r="H341" s="10"/>
      <c r="I341" s="11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7"/>
      <c r="B342" s="7"/>
      <c r="C342" s="5"/>
      <c r="D342" s="8"/>
      <c r="E342" s="9"/>
      <c r="F342" s="9"/>
      <c r="G342" s="10"/>
      <c r="H342" s="10"/>
      <c r="I342" s="11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7"/>
      <c r="B343" s="7"/>
      <c r="C343" s="5"/>
      <c r="D343" s="8"/>
      <c r="E343" s="9"/>
      <c r="F343" s="9"/>
      <c r="G343" s="10"/>
      <c r="H343" s="10"/>
      <c r="I343" s="11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7"/>
      <c r="B344" s="7"/>
      <c r="C344" s="5"/>
      <c r="D344" s="8"/>
      <c r="E344" s="9"/>
      <c r="F344" s="9"/>
      <c r="G344" s="10"/>
      <c r="H344" s="10"/>
      <c r="I344" s="11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7"/>
      <c r="B345" s="7"/>
      <c r="C345" s="5"/>
      <c r="D345" s="8"/>
      <c r="E345" s="9"/>
      <c r="F345" s="9"/>
      <c r="G345" s="10"/>
      <c r="H345" s="10"/>
      <c r="I345" s="11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7"/>
      <c r="B346" s="7"/>
      <c r="C346" s="5"/>
      <c r="D346" s="8"/>
      <c r="E346" s="9"/>
      <c r="F346" s="9"/>
      <c r="G346" s="10"/>
      <c r="H346" s="10"/>
      <c r="I346" s="11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7"/>
      <c r="B347" s="7"/>
      <c r="C347" s="5"/>
      <c r="D347" s="8"/>
      <c r="E347" s="9"/>
      <c r="F347" s="9"/>
      <c r="G347" s="10"/>
      <c r="H347" s="10"/>
      <c r="I347" s="11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7"/>
      <c r="B348" s="7"/>
      <c r="C348" s="5"/>
      <c r="D348" s="8"/>
      <c r="E348" s="9"/>
      <c r="F348" s="9"/>
      <c r="G348" s="10"/>
      <c r="H348" s="10"/>
      <c r="I348" s="11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7"/>
      <c r="B349" s="7"/>
      <c r="C349" s="5"/>
      <c r="D349" s="8"/>
      <c r="E349" s="9"/>
      <c r="F349" s="9"/>
      <c r="G349" s="10"/>
      <c r="H349" s="10"/>
      <c r="I349" s="11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7"/>
      <c r="B350" s="7"/>
      <c r="C350" s="5"/>
      <c r="D350" s="8"/>
      <c r="E350" s="9"/>
      <c r="F350" s="9"/>
      <c r="G350" s="10"/>
      <c r="H350" s="10"/>
      <c r="I350" s="11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7"/>
      <c r="B351" s="7"/>
      <c r="C351" s="5"/>
      <c r="D351" s="8"/>
      <c r="E351" s="9"/>
      <c r="F351" s="9"/>
      <c r="G351" s="10"/>
      <c r="H351" s="10"/>
      <c r="I351" s="11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7"/>
      <c r="B352" s="7"/>
      <c r="C352" s="5"/>
      <c r="D352" s="8"/>
      <c r="E352" s="9"/>
      <c r="F352" s="9"/>
      <c r="G352" s="10"/>
      <c r="H352" s="10"/>
      <c r="I352" s="11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7"/>
      <c r="B353" s="7"/>
      <c r="C353" s="5"/>
      <c r="D353" s="8"/>
      <c r="E353" s="9"/>
      <c r="F353" s="9"/>
      <c r="G353" s="10"/>
      <c r="H353" s="10"/>
      <c r="I353" s="11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7"/>
      <c r="B354" s="7"/>
      <c r="C354" s="5"/>
      <c r="D354" s="8"/>
      <c r="E354" s="9"/>
      <c r="F354" s="9"/>
      <c r="G354" s="10"/>
      <c r="H354" s="10"/>
      <c r="I354" s="11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7"/>
      <c r="B355" s="7"/>
      <c r="C355" s="5"/>
      <c r="D355" s="8"/>
      <c r="E355" s="9"/>
      <c r="F355" s="9"/>
      <c r="G355" s="10"/>
      <c r="H355" s="10"/>
      <c r="I355" s="11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7"/>
      <c r="B356" s="7"/>
      <c r="C356" s="5"/>
      <c r="D356" s="8"/>
      <c r="E356" s="9"/>
      <c r="F356" s="9"/>
      <c r="G356" s="10"/>
      <c r="H356" s="10"/>
      <c r="I356" s="11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7"/>
      <c r="B357" s="7"/>
      <c r="C357" s="5"/>
      <c r="D357" s="8"/>
      <c r="E357" s="9"/>
      <c r="F357" s="9"/>
      <c r="G357" s="10"/>
      <c r="H357" s="10"/>
      <c r="I357" s="11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7"/>
      <c r="B358" s="7"/>
      <c r="C358" s="5"/>
      <c r="D358" s="8"/>
      <c r="E358" s="9"/>
      <c r="F358" s="9"/>
      <c r="G358" s="10"/>
      <c r="H358" s="10"/>
      <c r="I358" s="11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7"/>
      <c r="B359" s="7"/>
      <c r="C359" s="5"/>
      <c r="D359" s="8"/>
      <c r="E359" s="9"/>
      <c r="F359" s="9"/>
      <c r="G359" s="10"/>
      <c r="H359" s="10"/>
      <c r="I359" s="11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7"/>
      <c r="B360" s="7"/>
      <c r="C360" s="5"/>
      <c r="D360" s="8"/>
      <c r="E360" s="9"/>
      <c r="F360" s="9"/>
      <c r="G360" s="10"/>
      <c r="H360" s="10"/>
      <c r="I360" s="11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7"/>
      <c r="B361" s="7"/>
      <c r="C361" s="5"/>
      <c r="D361" s="8"/>
      <c r="E361" s="9"/>
      <c r="F361" s="9"/>
      <c r="G361" s="10"/>
      <c r="H361" s="10"/>
      <c r="I361" s="11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7"/>
      <c r="B362" s="7"/>
      <c r="C362" s="5"/>
      <c r="D362" s="8"/>
      <c r="E362" s="9"/>
      <c r="F362" s="9"/>
      <c r="G362" s="10"/>
      <c r="H362" s="10"/>
      <c r="I362" s="11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7"/>
      <c r="B363" s="7"/>
      <c r="C363" s="5"/>
      <c r="D363" s="8"/>
      <c r="E363" s="9"/>
      <c r="F363" s="9"/>
      <c r="G363" s="10"/>
      <c r="H363" s="10"/>
      <c r="I363" s="11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7"/>
      <c r="B364" s="7"/>
      <c r="C364" s="5"/>
      <c r="D364" s="8"/>
      <c r="E364" s="9"/>
      <c r="F364" s="9"/>
      <c r="G364" s="10"/>
      <c r="H364" s="10"/>
      <c r="I364" s="11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7"/>
      <c r="B365" s="7"/>
      <c r="C365" s="5"/>
      <c r="D365" s="8"/>
      <c r="E365" s="9"/>
      <c r="F365" s="9"/>
      <c r="G365" s="10"/>
      <c r="H365" s="10"/>
      <c r="I365" s="11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7"/>
      <c r="B366" s="7"/>
      <c r="C366" s="5"/>
      <c r="D366" s="8"/>
      <c r="E366" s="9"/>
      <c r="F366" s="9"/>
      <c r="G366" s="10"/>
      <c r="H366" s="10"/>
      <c r="I366" s="11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7"/>
      <c r="B367" s="7"/>
      <c r="C367" s="5"/>
      <c r="D367" s="8"/>
      <c r="E367" s="9"/>
      <c r="F367" s="9"/>
      <c r="G367" s="10"/>
      <c r="H367" s="10"/>
      <c r="I367" s="11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7"/>
      <c r="B368" s="7"/>
      <c r="C368" s="5"/>
      <c r="D368" s="8"/>
      <c r="E368" s="9"/>
      <c r="F368" s="9"/>
      <c r="G368" s="10"/>
      <c r="H368" s="10"/>
      <c r="I368" s="11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7"/>
      <c r="B369" s="7"/>
      <c r="C369" s="5"/>
      <c r="D369" s="8"/>
      <c r="E369" s="9"/>
      <c r="F369" s="9"/>
      <c r="G369" s="10"/>
      <c r="H369" s="10"/>
      <c r="I369" s="11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7"/>
      <c r="B370" s="7"/>
      <c r="C370" s="5"/>
      <c r="D370" s="8"/>
      <c r="E370" s="9"/>
      <c r="F370" s="9"/>
      <c r="G370" s="10"/>
      <c r="H370" s="10"/>
      <c r="I370" s="11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7"/>
      <c r="B371" s="7"/>
      <c r="C371" s="5"/>
      <c r="D371" s="8"/>
      <c r="E371" s="9"/>
      <c r="F371" s="9"/>
      <c r="G371" s="10"/>
      <c r="H371" s="10"/>
      <c r="I371" s="11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7"/>
      <c r="B372" s="7"/>
      <c r="C372" s="5"/>
      <c r="D372" s="8"/>
      <c r="E372" s="9"/>
      <c r="F372" s="9"/>
      <c r="G372" s="10"/>
      <c r="H372" s="10"/>
      <c r="I372" s="11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7"/>
      <c r="B373" s="7"/>
      <c r="C373" s="5"/>
      <c r="D373" s="8"/>
      <c r="E373" s="9"/>
      <c r="F373" s="9"/>
      <c r="G373" s="10"/>
      <c r="H373" s="10"/>
      <c r="I373" s="11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7"/>
      <c r="B374" s="7"/>
      <c r="C374" s="5"/>
      <c r="D374" s="8"/>
      <c r="E374" s="9"/>
      <c r="F374" s="9"/>
      <c r="G374" s="10"/>
      <c r="H374" s="10"/>
      <c r="I374" s="11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7"/>
      <c r="B375" s="7"/>
      <c r="C375" s="5"/>
      <c r="D375" s="8"/>
      <c r="E375" s="9"/>
      <c r="F375" s="9"/>
      <c r="G375" s="10"/>
      <c r="H375" s="10"/>
      <c r="I375" s="11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7"/>
      <c r="B376" s="7"/>
      <c r="C376" s="5"/>
      <c r="D376" s="8"/>
      <c r="E376" s="9"/>
      <c r="F376" s="9"/>
      <c r="G376" s="10"/>
      <c r="H376" s="10"/>
      <c r="I376" s="11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7"/>
      <c r="B377" s="7"/>
      <c r="C377" s="5"/>
      <c r="D377" s="8"/>
      <c r="E377" s="9"/>
      <c r="F377" s="9"/>
      <c r="G377" s="10"/>
      <c r="H377" s="10"/>
      <c r="I377" s="11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7"/>
      <c r="B378" s="7"/>
      <c r="C378" s="5"/>
      <c r="D378" s="8"/>
      <c r="E378" s="9"/>
      <c r="F378" s="9"/>
      <c r="G378" s="10"/>
      <c r="H378" s="10"/>
      <c r="I378" s="11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7"/>
      <c r="B379" s="7"/>
      <c r="C379" s="5"/>
      <c r="D379" s="8"/>
      <c r="E379" s="9"/>
      <c r="F379" s="9"/>
      <c r="G379" s="10"/>
      <c r="H379" s="10"/>
      <c r="I379" s="11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7"/>
      <c r="B380" s="7"/>
      <c r="C380" s="5"/>
      <c r="D380" s="8"/>
      <c r="E380" s="9"/>
      <c r="F380" s="9"/>
      <c r="G380" s="10"/>
      <c r="H380" s="10"/>
      <c r="I380" s="11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7"/>
      <c r="B381" s="7"/>
      <c r="C381" s="5"/>
      <c r="D381" s="8"/>
      <c r="E381" s="9"/>
      <c r="F381" s="9"/>
      <c r="G381" s="10"/>
      <c r="H381" s="10"/>
      <c r="I381" s="11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7"/>
      <c r="B382" s="7"/>
      <c r="C382" s="5"/>
      <c r="D382" s="8"/>
      <c r="E382" s="9"/>
      <c r="F382" s="9"/>
      <c r="G382" s="10"/>
      <c r="H382" s="10"/>
      <c r="I382" s="11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7"/>
      <c r="B383" s="7"/>
      <c r="C383" s="5"/>
      <c r="D383" s="8"/>
      <c r="E383" s="9"/>
      <c r="F383" s="9"/>
      <c r="G383" s="10"/>
      <c r="H383" s="10"/>
      <c r="I383" s="11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7"/>
      <c r="B384" s="7"/>
      <c r="C384" s="5"/>
      <c r="D384" s="8"/>
      <c r="E384" s="9"/>
      <c r="F384" s="9"/>
      <c r="G384" s="10"/>
      <c r="H384" s="10"/>
      <c r="I384" s="11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7"/>
      <c r="B385" s="7"/>
      <c r="C385" s="5"/>
      <c r="D385" s="8"/>
      <c r="E385" s="9"/>
      <c r="F385" s="9"/>
      <c r="G385" s="10"/>
      <c r="H385" s="10"/>
      <c r="I385" s="11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7"/>
      <c r="B386" s="7"/>
      <c r="C386" s="5"/>
      <c r="D386" s="8"/>
      <c r="E386" s="9"/>
      <c r="F386" s="9"/>
      <c r="G386" s="10"/>
      <c r="H386" s="10"/>
      <c r="I386" s="11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7"/>
      <c r="B387" s="7"/>
      <c r="C387" s="5"/>
      <c r="D387" s="8"/>
      <c r="E387" s="9"/>
      <c r="F387" s="9"/>
      <c r="G387" s="10"/>
      <c r="H387" s="10"/>
      <c r="I387" s="11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7"/>
      <c r="B388" s="7"/>
      <c r="C388" s="5"/>
      <c r="D388" s="8"/>
      <c r="E388" s="9"/>
      <c r="F388" s="9"/>
      <c r="G388" s="10"/>
      <c r="H388" s="10"/>
      <c r="I388" s="11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7"/>
      <c r="B389" s="7"/>
      <c r="C389" s="5"/>
      <c r="D389" s="8"/>
      <c r="E389" s="9"/>
      <c r="F389" s="9"/>
      <c r="G389" s="10"/>
      <c r="H389" s="10"/>
      <c r="I389" s="11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7"/>
      <c r="B390" s="7"/>
      <c r="C390" s="5"/>
      <c r="D390" s="8"/>
      <c r="E390" s="9"/>
      <c r="F390" s="9"/>
      <c r="G390" s="10"/>
      <c r="H390" s="10"/>
      <c r="I390" s="11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7"/>
      <c r="B391" s="7"/>
      <c r="C391" s="5"/>
      <c r="D391" s="8"/>
      <c r="E391" s="9"/>
      <c r="F391" s="9"/>
      <c r="G391" s="10"/>
      <c r="H391" s="10"/>
      <c r="I391" s="11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7"/>
      <c r="B392" s="7"/>
      <c r="C392" s="5"/>
      <c r="D392" s="8"/>
      <c r="E392" s="9"/>
      <c r="F392" s="9"/>
      <c r="G392" s="10"/>
      <c r="H392" s="10"/>
      <c r="I392" s="11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7"/>
      <c r="B393" s="7"/>
      <c r="C393" s="5"/>
      <c r="D393" s="8"/>
      <c r="E393" s="9"/>
      <c r="F393" s="9"/>
      <c r="G393" s="10"/>
      <c r="H393" s="10"/>
      <c r="I393" s="11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7"/>
      <c r="B394" s="7"/>
      <c r="C394" s="5"/>
      <c r="D394" s="8"/>
      <c r="E394" s="9"/>
      <c r="F394" s="9"/>
      <c r="G394" s="10"/>
      <c r="H394" s="10"/>
      <c r="I394" s="11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7"/>
      <c r="B395" s="7"/>
      <c r="C395" s="5"/>
      <c r="D395" s="8"/>
      <c r="E395" s="9"/>
      <c r="F395" s="9"/>
      <c r="G395" s="10"/>
      <c r="H395" s="10"/>
      <c r="I395" s="11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7"/>
      <c r="B396" s="7"/>
      <c r="C396" s="5"/>
      <c r="D396" s="8"/>
      <c r="E396" s="9"/>
      <c r="F396" s="9"/>
      <c r="G396" s="10"/>
      <c r="H396" s="10"/>
      <c r="I396" s="11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7"/>
      <c r="B397" s="7"/>
      <c r="C397" s="5"/>
      <c r="D397" s="8"/>
      <c r="E397" s="9"/>
      <c r="F397" s="9"/>
      <c r="G397" s="10"/>
      <c r="H397" s="10"/>
      <c r="I397" s="11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7"/>
      <c r="B398" s="7"/>
      <c r="C398" s="5"/>
      <c r="D398" s="8"/>
      <c r="E398" s="9"/>
      <c r="F398" s="9"/>
      <c r="G398" s="10"/>
      <c r="H398" s="10"/>
      <c r="I398" s="11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7"/>
      <c r="B399" s="7"/>
      <c r="C399" s="5"/>
      <c r="D399" s="8"/>
      <c r="E399" s="9"/>
      <c r="F399" s="9"/>
      <c r="G399" s="10"/>
      <c r="H399" s="10"/>
      <c r="I399" s="11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7"/>
      <c r="B400" s="7"/>
      <c r="C400" s="5"/>
      <c r="D400" s="8"/>
      <c r="E400" s="9"/>
      <c r="F400" s="9"/>
      <c r="G400" s="10"/>
      <c r="H400" s="10"/>
      <c r="I400" s="11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7"/>
      <c r="B401" s="7"/>
      <c r="C401" s="5"/>
      <c r="D401" s="8"/>
      <c r="E401" s="9"/>
      <c r="F401" s="9"/>
      <c r="G401" s="10"/>
      <c r="H401" s="10"/>
      <c r="I401" s="11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7"/>
      <c r="B402" s="7"/>
      <c r="C402" s="5"/>
      <c r="D402" s="8"/>
      <c r="E402" s="9"/>
      <c r="F402" s="9"/>
      <c r="G402" s="10"/>
      <c r="H402" s="10"/>
      <c r="I402" s="11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7"/>
      <c r="B403" s="7"/>
      <c r="C403" s="5"/>
      <c r="D403" s="8"/>
      <c r="E403" s="9"/>
      <c r="F403" s="9"/>
      <c r="G403" s="10"/>
      <c r="H403" s="10"/>
      <c r="I403" s="11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7"/>
      <c r="B404" s="7"/>
      <c r="C404" s="5"/>
      <c r="D404" s="8"/>
      <c r="E404" s="9"/>
      <c r="F404" s="9"/>
      <c r="G404" s="10"/>
      <c r="H404" s="10"/>
      <c r="I404" s="11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7"/>
      <c r="B405" s="7"/>
      <c r="C405" s="5"/>
      <c r="D405" s="8"/>
      <c r="E405" s="9"/>
      <c r="F405" s="9"/>
      <c r="G405" s="10"/>
      <c r="H405" s="10"/>
      <c r="I405" s="11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7"/>
      <c r="B406" s="7"/>
      <c r="C406" s="5"/>
      <c r="D406" s="8"/>
      <c r="E406" s="9"/>
      <c r="F406" s="9"/>
      <c r="G406" s="10"/>
      <c r="H406" s="10"/>
      <c r="I406" s="11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7"/>
      <c r="B407" s="7"/>
      <c r="C407" s="5"/>
      <c r="D407" s="8"/>
      <c r="E407" s="9"/>
      <c r="F407" s="9"/>
      <c r="G407" s="10"/>
      <c r="H407" s="10"/>
      <c r="I407" s="11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7"/>
      <c r="B408" s="7"/>
      <c r="C408" s="5"/>
      <c r="D408" s="8"/>
      <c r="E408" s="9"/>
      <c r="F408" s="9"/>
      <c r="G408" s="10"/>
      <c r="H408" s="10"/>
      <c r="I408" s="11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7"/>
      <c r="B409" s="7"/>
      <c r="C409" s="5"/>
      <c r="D409" s="8"/>
      <c r="E409" s="9"/>
      <c r="F409" s="9"/>
      <c r="G409" s="10"/>
      <c r="H409" s="10"/>
      <c r="I409" s="11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7"/>
      <c r="B410" s="7"/>
      <c r="C410" s="5"/>
      <c r="D410" s="8"/>
      <c r="E410" s="9"/>
      <c r="F410" s="9"/>
      <c r="G410" s="10"/>
      <c r="H410" s="10"/>
      <c r="I410" s="11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7"/>
      <c r="B411" s="7"/>
      <c r="C411" s="5"/>
      <c r="D411" s="8"/>
      <c r="E411" s="9"/>
      <c r="F411" s="9"/>
      <c r="G411" s="10"/>
      <c r="H411" s="10"/>
      <c r="I411" s="11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7"/>
      <c r="B412" s="7"/>
      <c r="C412" s="5"/>
      <c r="D412" s="8"/>
      <c r="E412" s="9"/>
      <c r="F412" s="9"/>
      <c r="G412" s="10"/>
      <c r="H412" s="10"/>
      <c r="I412" s="11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7"/>
      <c r="B413" s="7"/>
      <c r="C413" s="5"/>
      <c r="D413" s="8"/>
      <c r="E413" s="9"/>
      <c r="F413" s="9"/>
      <c r="G413" s="10"/>
      <c r="H413" s="10"/>
      <c r="I413" s="11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7"/>
      <c r="B414" s="7"/>
      <c r="C414" s="5"/>
      <c r="D414" s="8"/>
      <c r="E414" s="9"/>
      <c r="F414" s="9"/>
      <c r="G414" s="10"/>
      <c r="H414" s="10"/>
      <c r="I414" s="11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7"/>
      <c r="B415" s="7"/>
      <c r="C415" s="5"/>
      <c r="D415" s="8"/>
      <c r="E415" s="9"/>
      <c r="F415" s="9"/>
      <c r="G415" s="10"/>
      <c r="H415" s="10"/>
      <c r="I415" s="11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7"/>
      <c r="B416" s="7"/>
      <c r="C416" s="5"/>
      <c r="D416" s="8"/>
      <c r="E416" s="9"/>
      <c r="F416" s="9"/>
      <c r="G416" s="10"/>
      <c r="H416" s="10"/>
      <c r="I416" s="11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7"/>
      <c r="B417" s="7"/>
      <c r="C417" s="5"/>
      <c r="D417" s="8"/>
      <c r="E417" s="9"/>
      <c r="F417" s="9"/>
      <c r="G417" s="10"/>
      <c r="H417" s="10"/>
      <c r="I417" s="11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7"/>
      <c r="B418" s="7"/>
      <c r="C418" s="5"/>
      <c r="D418" s="8"/>
      <c r="E418" s="9"/>
      <c r="F418" s="9"/>
      <c r="G418" s="10"/>
      <c r="H418" s="10"/>
      <c r="I418" s="11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7"/>
      <c r="B419" s="7"/>
      <c r="C419" s="5"/>
      <c r="D419" s="8"/>
      <c r="E419" s="9"/>
      <c r="F419" s="9"/>
      <c r="G419" s="10"/>
      <c r="H419" s="10"/>
      <c r="I419" s="11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7"/>
      <c r="B420" s="7"/>
      <c r="C420" s="5"/>
      <c r="D420" s="8"/>
      <c r="E420" s="9"/>
      <c r="F420" s="9"/>
      <c r="G420" s="10"/>
      <c r="H420" s="10"/>
      <c r="I420" s="11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7"/>
      <c r="B421" s="7"/>
      <c r="C421" s="5"/>
      <c r="D421" s="8"/>
      <c r="E421" s="9"/>
      <c r="F421" s="9"/>
      <c r="G421" s="10"/>
      <c r="H421" s="10"/>
      <c r="I421" s="11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7"/>
      <c r="B422" s="7"/>
      <c r="C422" s="5"/>
      <c r="D422" s="8"/>
      <c r="E422" s="9"/>
      <c r="F422" s="9"/>
      <c r="G422" s="10"/>
      <c r="H422" s="10"/>
      <c r="I422" s="11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7"/>
      <c r="B423" s="7"/>
      <c r="C423" s="5"/>
      <c r="D423" s="8"/>
      <c r="E423" s="9"/>
      <c r="F423" s="9"/>
      <c r="G423" s="10"/>
      <c r="H423" s="10"/>
      <c r="I423" s="11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7"/>
      <c r="B424" s="7"/>
      <c r="C424" s="5"/>
      <c r="D424" s="8"/>
      <c r="E424" s="9"/>
      <c r="F424" s="9"/>
      <c r="G424" s="10"/>
      <c r="H424" s="10"/>
      <c r="I424" s="11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7"/>
      <c r="B425" s="7"/>
      <c r="C425" s="5"/>
      <c r="D425" s="8"/>
      <c r="E425" s="9"/>
      <c r="F425" s="9"/>
      <c r="G425" s="10"/>
      <c r="H425" s="10"/>
      <c r="I425" s="11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7"/>
      <c r="B426" s="7"/>
      <c r="C426" s="5"/>
      <c r="D426" s="8"/>
      <c r="E426" s="9"/>
      <c r="F426" s="9"/>
      <c r="G426" s="10"/>
      <c r="H426" s="10"/>
      <c r="I426" s="11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7"/>
      <c r="B427" s="7"/>
      <c r="C427" s="5"/>
      <c r="D427" s="8"/>
      <c r="E427" s="9"/>
      <c r="F427" s="9"/>
      <c r="G427" s="10"/>
      <c r="H427" s="10"/>
      <c r="I427" s="11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7"/>
      <c r="B428" s="7"/>
      <c r="C428" s="5"/>
      <c r="D428" s="8"/>
      <c r="E428" s="9"/>
      <c r="F428" s="9"/>
      <c r="G428" s="10"/>
      <c r="H428" s="10"/>
      <c r="I428" s="11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7"/>
      <c r="B429" s="7"/>
      <c r="C429" s="5"/>
      <c r="D429" s="8"/>
      <c r="E429" s="9"/>
      <c r="F429" s="9"/>
      <c r="G429" s="10"/>
      <c r="H429" s="10"/>
      <c r="I429" s="11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7"/>
      <c r="B430" s="7"/>
      <c r="C430" s="5"/>
      <c r="D430" s="8"/>
      <c r="E430" s="9"/>
      <c r="F430" s="9"/>
      <c r="G430" s="10"/>
      <c r="H430" s="10"/>
      <c r="I430" s="11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7"/>
      <c r="B431" s="7"/>
      <c r="C431" s="5"/>
      <c r="D431" s="8"/>
      <c r="E431" s="9"/>
      <c r="F431" s="9"/>
      <c r="G431" s="10"/>
      <c r="H431" s="10"/>
      <c r="I431" s="11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7"/>
      <c r="B432" s="7"/>
      <c r="C432" s="5"/>
      <c r="D432" s="8"/>
      <c r="E432" s="9"/>
      <c r="F432" s="9"/>
      <c r="G432" s="10"/>
      <c r="H432" s="10"/>
      <c r="I432" s="11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7"/>
      <c r="B433" s="7"/>
      <c r="C433" s="5"/>
      <c r="D433" s="8"/>
      <c r="E433" s="9"/>
      <c r="F433" s="9"/>
      <c r="G433" s="10"/>
      <c r="H433" s="10"/>
      <c r="I433" s="11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7"/>
      <c r="B434" s="7"/>
      <c r="C434" s="5"/>
      <c r="D434" s="8"/>
      <c r="E434" s="9"/>
      <c r="F434" s="9"/>
      <c r="G434" s="10"/>
      <c r="H434" s="10"/>
      <c r="I434" s="11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7"/>
      <c r="B435" s="7"/>
      <c r="C435" s="5"/>
      <c r="D435" s="8"/>
      <c r="E435" s="9"/>
      <c r="F435" s="9"/>
      <c r="G435" s="10"/>
      <c r="H435" s="10"/>
      <c r="I435" s="11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7"/>
      <c r="B436" s="7"/>
      <c r="C436" s="5"/>
      <c r="D436" s="8"/>
      <c r="E436" s="9"/>
      <c r="F436" s="9"/>
      <c r="G436" s="10"/>
      <c r="H436" s="10"/>
      <c r="I436" s="11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7"/>
      <c r="B437" s="7"/>
      <c r="C437" s="5"/>
      <c r="D437" s="8"/>
      <c r="E437" s="9"/>
      <c r="F437" s="9"/>
      <c r="G437" s="10"/>
      <c r="H437" s="10"/>
      <c r="I437" s="11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7"/>
      <c r="B438" s="7"/>
      <c r="C438" s="5"/>
      <c r="D438" s="8"/>
      <c r="E438" s="9"/>
      <c r="F438" s="9"/>
      <c r="G438" s="10"/>
      <c r="H438" s="10"/>
      <c r="I438" s="11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7"/>
      <c r="B439" s="7"/>
      <c r="C439" s="5"/>
      <c r="D439" s="8"/>
      <c r="E439" s="9"/>
      <c r="F439" s="9"/>
      <c r="G439" s="10"/>
      <c r="H439" s="10"/>
      <c r="I439" s="11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7"/>
      <c r="B440" s="7"/>
      <c r="C440" s="5"/>
      <c r="D440" s="8"/>
      <c r="E440" s="9"/>
      <c r="F440" s="9"/>
      <c r="G440" s="10"/>
      <c r="H440" s="10"/>
      <c r="I440" s="11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7"/>
      <c r="B441" s="7"/>
      <c r="C441" s="5"/>
      <c r="D441" s="8"/>
      <c r="E441" s="9"/>
      <c r="F441" s="9"/>
      <c r="G441" s="10"/>
      <c r="H441" s="10"/>
      <c r="I441" s="11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7"/>
      <c r="B442" s="7"/>
      <c r="C442" s="5"/>
      <c r="D442" s="8"/>
      <c r="E442" s="9"/>
      <c r="F442" s="9"/>
      <c r="G442" s="10"/>
      <c r="H442" s="10"/>
      <c r="I442" s="11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7"/>
      <c r="B443" s="7"/>
      <c r="C443" s="5"/>
      <c r="D443" s="8"/>
      <c r="E443" s="9"/>
      <c r="F443" s="9"/>
      <c r="G443" s="10"/>
      <c r="H443" s="10"/>
      <c r="I443" s="11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7"/>
      <c r="B444" s="7"/>
      <c r="C444" s="5"/>
      <c r="D444" s="8"/>
      <c r="E444" s="9"/>
      <c r="F444" s="9"/>
      <c r="G444" s="10"/>
      <c r="H444" s="10"/>
      <c r="I444" s="11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7"/>
      <c r="B445" s="7"/>
      <c r="C445" s="5"/>
      <c r="D445" s="8"/>
      <c r="E445" s="9"/>
      <c r="F445" s="9"/>
      <c r="G445" s="10"/>
      <c r="H445" s="10"/>
      <c r="I445" s="11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7"/>
      <c r="B446" s="7"/>
      <c r="C446" s="5"/>
      <c r="D446" s="8"/>
      <c r="E446" s="9"/>
      <c r="F446" s="9"/>
      <c r="G446" s="10"/>
      <c r="H446" s="10"/>
      <c r="I446" s="11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7"/>
      <c r="B447" s="7"/>
      <c r="C447" s="5"/>
      <c r="D447" s="8"/>
      <c r="E447" s="9"/>
      <c r="F447" s="9"/>
      <c r="G447" s="10"/>
      <c r="H447" s="10"/>
      <c r="I447" s="11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7"/>
      <c r="B448" s="7"/>
      <c r="C448" s="5"/>
      <c r="D448" s="8"/>
      <c r="E448" s="9"/>
      <c r="F448" s="9"/>
      <c r="G448" s="10"/>
      <c r="H448" s="10"/>
      <c r="I448" s="11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7"/>
      <c r="B449" s="7"/>
      <c r="C449" s="5"/>
      <c r="D449" s="8"/>
      <c r="E449" s="9"/>
      <c r="F449" s="9"/>
      <c r="G449" s="10"/>
      <c r="H449" s="10"/>
      <c r="I449" s="11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7"/>
      <c r="B450" s="7"/>
      <c r="C450" s="5"/>
      <c r="D450" s="8"/>
      <c r="E450" s="9"/>
      <c r="F450" s="9"/>
      <c r="G450" s="10"/>
      <c r="H450" s="10"/>
      <c r="I450" s="11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7"/>
      <c r="B451" s="7"/>
      <c r="C451" s="5"/>
      <c r="D451" s="8"/>
      <c r="E451" s="9"/>
      <c r="F451" s="9"/>
      <c r="G451" s="10"/>
      <c r="H451" s="10"/>
      <c r="I451" s="11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7"/>
      <c r="B452" s="7"/>
      <c r="C452" s="5"/>
      <c r="D452" s="8"/>
      <c r="E452" s="9"/>
      <c r="F452" s="9"/>
      <c r="G452" s="10"/>
      <c r="H452" s="10"/>
      <c r="I452" s="11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7"/>
      <c r="B453" s="7"/>
      <c r="C453" s="5"/>
      <c r="D453" s="8"/>
      <c r="E453" s="9"/>
      <c r="F453" s="9"/>
      <c r="G453" s="10"/>
      <c r="H453" s="10"/>
      <c r="I453" s="11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7"/>
      <c r="B454" s="7"/>
      <c r="C454" s="5"/>
      <c r="D454" s="8"/>
      <c r="E454" s="9"/>
      <c r="F454" s="9"/>
      <c r="G454" s="10"/>
      <c r="H454" s="10"/>
      <c r="I454" s="11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7"/>
      <c r="B455" s="7"/>
      <c r="C455" s="5"/>
      <c r="D455" s="8"/>
      <c r="E455" s="9"/>
      <c r="F455" s="9"/>
      <c r="G455" s="10"/>
      <c r="H455" s="10"/>
      <c r="I455" s="11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7"/>
      <c r="B456" s="7"/>
      <c r="C456" s="5"/>
      <c r="D456" s="8"/>
      <c r="E456" s="9"/>
      <c r="F456" s="9"/>
      <c r="G456" s="10"/>
      <c r="H456" s="10"/>
      <c r="I456" s="11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7"/>
      <c r="B457" s="7"/>
      <c r="C457" s="5"/>
      <c r="D457" s="8"/>
      <c r="E457" s="9"/>
      <c r="F457" s="9"/>
      <c r="G457" s="10"/>
      <c r="H457" s="10"/>
      <c r="I457" s="11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7"/>
      <c r="B458" s="7"/>
      <c r="C458" s="5"/>
      <c r="D458" s="8"/>
      <c r="E458" s="9"/>
      <c r="F458" s="9"/>
      <c r="G458" s="10"/>
      <c r="H458" s="10"/>
      <c r="I458" s="11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7"/>
      <c r="B459" s="7"/>
      <c r="C459" s="5"/>
      <c r="D459" s="8"/>
      <c r="E459" s="9"/>
      <c r="F459" s="9"/>
      <c r="G459" s="10"/>
      <c r="H459" s="10"/>
      <c r="I459" s="11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7"/>
      <c r="B460" s="7"/>
      <c r="C460" s="5"/>
      <c r="D460" s="8"/>
      <c r="E460" s="9"/>
      <c r="F460" s="9"/>
      <c r="G460" s="10"/>
      <c r="H460" s="10"/>
      <c r="I460" s="11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7"/>
      <c r="B461" s="7"/>
      <c r="C461" s="5"/>
      <c r="D461" s="8"/>
      <c r="E461" s="9"/>
      <c r="F461" s="9"/>
      <c r="G461" s="10"/>
      <c r="H461" s="10"/>
      <c r="I461" s="11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7"/>
      <c r="B462" s="7"/>
      <c r="C462" s="5"/>
      <c r="D462" s="8"/>
      <c r="E462" s="9"/>
      <c r="F462" s="9"/>
      <c r="G462" s="10"/>
      <c r="H462" s="10"/>
      <c r="I462" s="11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7"/>
      <c r="B463" s="7"/>
      <c r="C463" s="5"/>
      <c r="D463" s="8"/>
      <c r="E463" s="9"/>
      <c r="F463" s="9"/>
      <c r="G463" s="10"/>
      <c r="H463" s="10"/>
      <c r="I463" s="11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7"/>
      <c r="B464" s="7"/>
      <c r="C464" s="5"/>
      <c r="D464" s="8"/>
      <c r="E464" s="9"/>
      <c r="F464" s="9"/>
      <c r="G464" s="10"/>
      <c r="H464" s="10"/>
      <c r="I464" s="11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7"/>
      <c r="B465" s="7"/>
      <c r="C465" s="5"/>
      <c r="D465" s="8"/>
      <c r="E465" s="9"/>
      <c r="F465" s="9"/>
      <c r="G465" s="10"/>
      <c r="H465" s="10"/>
      <c r="I465" s="11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7"/>
      <c r="B466" s="7"/>
      <c r="C466" s="5"/>
      <c r="D466" s="8"/>
      <c r="E466" s="9"/>
      <c r="F466" s="9"/>
      <c r="G466" s="10"/>
      <c r="H466" s="10"/>
      <c r="I466" s="11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7"/>
      <c r="B467" s="7"/>
      <c r="C467" s="5"/>
      <c r="D467" s="8"/>
      <c r="E467" s="9"/>
      <c r="F467" s="9"/>
      <c r="G467" s="10"/>
      <c r="H467" s="10"/>
      <c r="I467" s="11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7"/>
      <c r="B468" s="7"/>
      <c r="C468" s="5"/>
      <c r="D468" s="8"/>
      <c r="E468" s="9"/>
      <c r="F468" s="9"/>
      <c r="G468" s="10"/>
      <c r="H468" s="10"/>
      <c r="I468" s="11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7"/>
      <c r="B469" s="7"/>
      <c r="C469" s="5"/>
      <c r="D469" s="8"/>
      <c r="E469" s="9"/>
      <c r="F469" s="9"/>
      <c r="G469" s="10"/>
      <c r="H469" s="10"/>
      <c r="I469" s="11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7"/>
      <c r="B470" s="7"/>
      <c r="C470" s="5"/>
      <c r="D470" s="8"/>
      <c r="E470" s="9"/>
      <c r="F470" s="9"/>
      <c r="G470" s="10"/>
      <c r="H470" s="10"/>
      <c r="I470" s="11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7"/>
      <c r="B471" s="7"/>
      <c r="C471" s="5"/>
      <c r="D471" s="8"/>
      <c r="E471" s="9"/>
      <c r="F471" s="9"/>
      <c r="G471" s="10"/>
      <c r="H471" s="10"/>
      <c r="I471" s="11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7"/>
      <c r="B472" s="7"/>
      <c r="C472" s="5"/>
      <c r="D472" s="8"/>
      <c r="E472" s="9"/>
      <c r="F472" s="9"/>
      <c r="G472" s="10"/>
      <c r="H472" s="10"/>
      <c r="I472" s="11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7"/>
      <c r="B473" s="7"/>
      <c r="C473" s="5"/>
      <c r="D473" s="8"/>
      <c r="E473" s="9"/>
      <c r="F473" s="9"/>
      <c r="G473" s="10"/>
      <c r="H473" s="10"/>
      <c r="I473" s="11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7"/>
      <c r="B474" s="7"/>
      <c r="C474" s="5"/>
      <c r="D474" s="8"/>
      <c r="E474" s="9"/>
      <c r="F474" s="9"/>
      <c r="G474" s="10"/>
      <c r="H474" s="10"/>
      <c r="I474" s="11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7"/>
      <c r="B475" s="7"/>
      <c r="C475" s="5"/>
      <c r="D475" s="8"/>
      <c r="E475" s="9"/>
      <c r="F475" s="9"/>
      <c r="G475" s="10"/>
      <c r="H475" s="10"/>
      <c r="I475" s="11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7"/>
      <c r="B476" s="7"/>
      <c r="C476" s="5"/>
      <c r="D476" s="8"/>
      <c r="E476" s="9"/>
      <c r="F476" s="9"/>
      <c r="G476" s="10"/>
      <c r="H476" s="10"/>
      <c r="I476" s="11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7"/>
      <c r="B477" s="7"/>
      <c r="C477" s="5"/>
      <c r="D477" s="8"/>
      <c r="E477" s="9"/>
      <c r="F477" s="9"/>
      <c r="G477" s="10"/>
      <c r="H477" s="10"/>
      <c r="I477" s="11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7"/>
      <c r="B478" s="7"/>
      <c r="C478" s="5"/>
      <c r="D478" s="8"/>
      <c r="E478" s="9"/>
      <c r="F478" s="9"/>
      <c r="G478" s="10"/>
      <c r="H478" s="10"/>
      <c r="I478" s="11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7"/>
      <c r="B479" s="7"/>
      <c r="C479" s="5"/>
      <c r="D479" s="8"/>
      <c r="E479" s="9"/>
      <c r="F479" s="9"/>
      <c r="G479" s="10"/>
      <c r="H479" s="10"/>
      <c r="I479" s="11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7"/>
      <c r="B480" s="7"/>
      <c r="C480" s="5"/>
      <c r="D480" s="8"/>
      <c r="E480" s="9"/>
      <c r="F480" s="9"/>
      <c r="G480" s="10"/>
      <c r="H480" s="10"/>
      <c r="I480" s="11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7"/>
      <c r="B481" s="7"/>
      <c r="C481" s="5"/>
      <c r="D481" s="8"/>
      <c r="E481" s="9"/>
      <c r="F481" s="9"/>
      <c r="G481" s="10"/>
      <c r="H481" s="10"/>
      <c r="I481" s="11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7"/>
      <c r="B482" s="7"/>
      <c r="C482" s="5"/>
      <c r="D482" s="8"/>
      <c r="E482" s="9"/>
      <c r="F482" s="9"/>
      <c r="G482" s="10"/>
      <c r="H482" s="10"/>
      <c r="I482" s="11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7"/>
      <c r="B483" s="7"/>
      <c r="C483" s="5"/>
      <c r="D483" s="8"/>
      <c r="E483" s="9"/>
      <c r="F483" s="9"/>
      <c r="G483" s="10"/>
      <c r="H483" s="10"/>
      <c r="I483" s="11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7"/>
      <c r="B484" s="7"/>
      <c r="C484" s="5"/>
      <c r="D484" s="8"/>
      <c r="E484" s="9"/>
      <c r="F484" s="9"/>
      <c r="G484" s="10"/>
      <c r="H484" s="10"/>
      <c r="I484" s="11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7"/>
      <c r="B485" s="7"/>
      <c r="C485" s="5"/>
      <c r="D485" s="8"/>
      <c r="E485" s="9"/>
      <c r="F485" s="9"/>
      <c r="G485" s="10"/>
      <c r="H485" s="10"/>
      <c r="I485" s="11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7"/>
      <c r="B486" s="7"/>
      <c r="C486" s="5"/>
      <c r="D486" s="8"/>
      <c r="E486" s="9"/>
      <c r="F486" s="9"/>
      <c r="G486" s="10"/>
      <c r="H486" s="10"/>
      <c r="I486" s="11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7"/>
      <c r="B487" s="7"/>
      <c r="C487" s="5"/>
      <c r="D487" s="8"/>
      <c r="E487" s="9"/>
      <c r="F487" s="9"/>
      <c r="G487" s="10"/>
      <c r="H487" s="10"/>
      <c r="I487" s="11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7"/>
      <c r="B488" s="7"/>
      <c r="C488" s="5"/>
      <c r="D488" s="8"/>
      <c r="E488" s="9"/>
      <c r="F488" s="9"/>
      <c r="G488" s="10"/>
      <c r="H488" s="10"/>
      <c r="I488" s="11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7"/>
      <c r="B489" s="7"/>
      <c r="C489" s="5"/>
      <c r="D489" s="8"/>
      <c r="E489" s="9"/>
      <c r="F489" s="9"/>
      <c r="G489" s="10"/>
      <c r="H489" s="10"/>
      <c r="I489" s="11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7"/>
      <c r="B490" s="7"/>
      <c r="C490" s="5"/>
      <c r="D490" s="8"/>
      <c r="E490" s="9"/>
      <c r="F490" s="9"/>
      <c r="G490" s="10"/>
      <c r="H490" s="10"/>
      <c r="I490" s="11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7"/>
      <c r="B491" s="7"/>
      <c r="C491" s="5"/>
      <c r="D491" s="8"/>
      <c r="E491" s="9"/>
      <c r="F491" s="9"/>
      <c r="G491" s="10"/>
      <c r="H491" s="10"/>
      <c r="I491" s="11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7"/>
      <c r="B492" s="7"/>
      <c r="C492" s="5"/>
      <c r="D492" s="8"/>
      <c r="E492" s="9"/>
      <c r="F492" s="9"/>
      <c r="G492" s="10"/>
      <c r="H492" s="10"/>
      <c r="I492" s="11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7"/>
      <c r="B493" s="7"/>
      <c r="C493" s="5"/>
      <c r="D493" s="8"/>
      <c r="E493" s="9"/>
      <c r="F493" s="9"/>
      <c r="G493" s="10"/>
      <c r="H493" s="10"/>
      <c r="I493" s="11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7"/>
      <c r="B494" s="7"/>
      <c r="C494" s="5"/>
      <c r="D494" s="8"/>
      <c r="E494" s="9"/>
      <c r="F494" s="9"/>
      <c r="G494" s="10"/>
      <c r="H494" s="10"/>
      <c r="I494" s="11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7"/>
      <c r="B495" s="7"/>
      <c r="C495" s="5"/>
      <c r="D495" s="8"/>
      <c r="E495" s="9"/>
      <c r="F495" s="9"/>
      <c r="G495" s="10"/>
      <c r="H495" s="10"/>
      <c r="I495" s="11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7"/>
      <c r="B496" s="7"/>
      <c r="C496" s="5"/>
      <c r="D496" s="8"/>
      <c r="E496" s="9"/>
      <c r="F496" s="9"/>
      <c r="G496" s="10"/>
      <c r="H496" s="10"/>
      <c r="I496" s="11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7"/>
      <c r="B497" s="7"/>
      <c r="C497" s="5"/>
      <c r="D497" s="8"/>
      <c r="E497" s="9"/>
      <c r="F497" s="9"/>
      <c r="G497" s="10"/>
      <c r="H497" s="10"/>
      <c r="I497" s="11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7"/>
      <c r="B498" s="7"/>
      <c r="C498" s="5"/>
      <c r="D498" s="8"/>
      <c r="E498" s="9"/>
      <c r="F498" s="9"/>
      <c r="G498" s="10"/>
      <c r="H498" s="10"/>
      <c r="I498" s="11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7"/>
      <c r="B499" s="7"/>
      <c r="C499" s="5"/>
      <c r="D499" s="8"/>
      <c r="E499" s="9"/>
      <c r="F499" s="9"/>
      <c r="G499" s="10"/>
      <c r="H499" s="10"/>
      <c r="I499" s="11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7"/>
      <c r="B500" s="7"/>
      <c r="C500" s="5"/>
      <c r="D500" s="8"/>
      <c r="E500" s="9"/>
      <c r="F500" s="9"/>
      <c r="G500" s="10"/>
      <c r="H500" s="10"/>
      <c r="I500" s="11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7"/>
      <c r="B501" s="7"/>
      <c r="C501" s="5"/>
      <c r="D501" s="8"/>
      <c r="E501" s="9"/>
      <c r="F501" s="9"/>
      <c r="G501" s="10"/>
      <c r="H501" s="10"/>
      <c r="I501" s="11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7"/>
      <c r="B502" s="7"/>
      <c r="C502" s="5"/>
      <c r="D502" s="8"/>
      <c r="E502" s="9"/>
      <c r="F502" s="9"/>
      <c r="G502" s="10"/>
      <c r="H502" s="10"/>
      <c r="I502" s="11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7"/>
      <c r="B503" s="7"/>
      <c r="C503" s="5"/>
      <c r="D503" s="8"/>
      <c r="E503" s="9"/>
      <c r="F503" s="9"/>
      <c r="G503" s="10"/>
      <c r="H503" s="10"/>
      <c r="I503" s="11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7"/>
      <c r="B504" s="7"/>
      <c r="C504" s="5"/>
      <c r="D504" s="8"/>
      <c r="E504" s="9"/>
      <c r="F504" s="9"/>
      <c r="G504" s="10"/>
      <c r="H504" s="10"/>
      <c r="I504" s="11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7"/>
      <c r="B505" s="7"/>
      <c r="C505" s="5"/>
      <c r="D505" s="8"/>
      <c r="E505" s="9"/>
      <c r="F505" s="9"/>
      <c r="G505" s="10"/>
      <c r="H505" s="10"/>
      <c r="I505" s="11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7"/>
      <c r="B506" s="7"/>
      <c r="C506" s="5"/>
      <c r="D506" s="8"/>
      <c r="E506" s="9"/>
      <c r="F506" s="9"/>
      <c r="G506" s="10"/>
      <c r="H506" s="10"/>
      <c r="I506" s="11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7"/>
      <c r="B507" s="7"/>
      <c r="C507" s="5"/>
      <c r="D507" s="8"/>
      <c r="E507" s="9"/>
      <c r="F507" s="9"/>
      <c r="G507" s="10"/>
      <c r="H507" s="10"/>
      <c r="I507" s="11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7"/>
      <c r="B508" s="7"/>
      <c r="C508" s="5"/>
      <c r="D508" s="8"/>
      <c r="E508" s="9"/>
      <c r="F508" s="9"/>
      <c r="G508" s="10"/>
      <c r="H508" s="10"/>
      <c r="I508" s="11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7"/>
      <c r="B509" s="7"/>
      <c r="C509" s="5"/>
      <c r="D509" s="8"/>
      <c r="E509" s="9"/>
      <c r="F509" s="9"/>
      <c r="G509" s="10"/>
      <c r="H509" s="10"/>
      <c r="I509" s="11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7"/>
      <c r="B510" s="7"/>
      <c r="C510" s="5"/>
      <c r="D510" s="8"/>
      <c r="E510" s="9"/>
      <c r="F510" s="9"/>
      <c r="G510" s="10"/>
      <c r="H510" s="10"/>
      <c r="I510" s="11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7"/>
      <c r="B511" s="7"/>
      <c r="C511" s="5"/>
      <c r="D511" s="8"/>
      <c r="E511" s="9"/>
      <c r="F511" s="9"/>
      <c r="G511" s="10"/>
      <c r="H511" s="10"/>
      <c r="I511" s="11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7"/>
      <c r="B512" s="7"/>
      <c r="C512" s="5"/>
      <c r="D512" s="8"/>
      <c r="E512" s="9"/>
      <c r="F512" s="9"/>
      <c r="G512" s="10"/>
      <c r="H512" s="10"/>
      <c r="I512" s="11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7"/>
      <c r="B513" s="7"/>
      <c r="C513" s="5"/>
      <c r="D513" s="8"/>
      <c r="E513" s="9"/>
      <c r="F513" s="9"/>
      <c r="G513" s="10"/>
      <c r="H513" s="10"/>
      <c r="I513" s="11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7"/>
      <c r="B514" s="7"/>
      <c r="C514" s="5"/>
      <c r="D514" s="8"/>
      <c r="E514" s="9"/>
      <c r="F514" s="9"/>
      <c r="G514" s="10"/>
      <c r="H514" s="10"/>
      <c r="I514" s="11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7"/>
      <c r="B515" s="7"/>
      <c r="C515" s="5"/>
      <c r="D515" s="8"/>
      <c r="E515" s="9"/>
      <c r="F515" s="9"/>
      <c r="G515" s="10"/>
      <c r="H515" s="10"/>
      <c r="I515" s="11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7"/>
      <c r="B516" s="7"/>
      <c r="C516" s="5"/>
      <c r="D516" s="8"/>
      <c r="E516" s="9"/>
      <c r="F516" s="9"/>
      <c r="G516" s="10"/>
      <c r="H516" s="10"/>
      <c r="I516" s="11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7"/>
      <c r="B517" s="7"/>
      <c r="C517" s="5"/>
      <c r="D517" s="8"/>
      <c r="E517" s="9"/>
      <c r="F517" s="9"/>
      <c r="G517" s="10"/>
      <c r="H517" s="10"/>
      <c r="I517" s="11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7"/>
      <c r="B518" s="7"/>
      <c r="C518" s="5"/>
      <c r="D518" s="8"/>
      <c r="E518" s="9"/>
      <c r="F518" s="9"/>
      <c r="G518" s="10"/>
      <c r="H518" s="10"/>
      <c r="I518" s="11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7"/>
      <c r="B519" s="7"/>
      <c r="C519" s="5"/>
      <c r="D519" s="8"/>
      <c r="E519" s="9"/>
      <c r="F519" s="9"/>
      <c r="G519" s="10"/>
      <c r="H519" s="10"/>
      <c r="I519" s="11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7"/>
      <c r="B520" s="7"/>
      <c r="C520" s="5"/>
      <c r="D520" s="8"/>
      <c r="E520" s="9"/>
      <c r="F520" s="9"/>
      <c r="G520" s="10"/>
      <c r="H520" s="10"/>
      <c r="I520" s="11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7"/>
      <c r="B521" s="7"/>
      <c r="C521" s="5"/>
      <c r="D521" s="8"/>
      <c r="E521" s="9"/>
      <c r="F521" s="9"/>
      <c r="G521" s="10"/>
      <c r="H521" s="10"/>
      <c r="I521" s="11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7"/>
      <c r="B522" s="7"/>
      <c r="C522" s="5"/>
      <c r="D522" s="8"/>
      <c r="E522" s="9"/>
      <c r="F522" s="9"/>
      <c r="G522" s="10"/>
      <c r="H522" s="10"/>
      <c r="I522" s="11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7"/>
      <c r="B523" s="7"/>
      <c r="C523" s="5"/>
      <c r="D523" s="8"/>
      <c r="E523" s="9"/>
      <c r="F523" s="9"/>
      <c r="G523" s="10"/>
      <c r="H523" s="10"/>
      <c r="I523" s="11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7"/>
      <c r="B524" s="7"/>
      <c r="C524" s="5"/>
      <c r="D524" s="8"/>
      <c r="E524" s="9"/>
      <c r="F524" s="9"/>
      <c r="G524" s="10"/>
      <c r="H524" s="10"/>
      <c r="I524" s="11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7"/>
      <c r="B525" s="7"/>
      <c r="C525" s="5"/>
      <c r="D525" s="8"/>
      <c r="E525" s="9"/>
      <c r="F525" s="9"/>
      <c r="G525" s="10"/>
      <c r="H525" s="10"/>
      <c r="I525" s="11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7"/>
      <c r="B526" s="7"/>
      <c r="C526" s="5"/>
      <c r="D526" s="8"/>
      <c r="E526" s="9"/>
      <c r="F526" s="9"/>
      <c r="G526" s="10"/>
      <c r="H526" s="10"/>
      <c r="I526" s="11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7"/>
      <c r="B527" s="7"/>
      <c r="C527" s="5"/>
      <c r="D527" s="8"/>
      <c r="E527" s="9"/>
      <c r="F527" s="9"/>
      <c r="G527" s="10"/>
      <c r="H527" s="10"/>
      <c r="I527" s="11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7"/>
      <c r="B528" s="7"/>
      <c r="C528" s="5"/>
      <c r="D528" s="8"/>
      <c r="E528" s="9"/>
      <c r="F528" s="9"/>
      <c r="G528" s="10"/>
      <c r="H528" s="10"/>
      <c r="I528" s="11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7"/>
      <c r="B529" s="7"/>
      <c r="C529" s="5"/>
      <c r="D529" s="8"/>
      <c r="E529" s="9"/>
      <c r="F529" s="9"/>
      <c r="G529" s="10"/>
      <c r="H529" s="10"/>
      <c r="I529" s="11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7"/>
      <c r="B530" s="7"/>
      <c r="C530" s="5"/>
      <c r="D530" s="8"/>
      <c r="E530" s="9"/>
      <c r="F530" s="9"/>
      <c r="G530" s="10"/>
      <c r="H530" s="10"/>
      <c r="I530" s="11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7"/>
      <c r="B531" s="7"/>
      <c r="C531" s="5"/>
      <c r="D531" s="8"/>
      <c r="E531" s="9"/>
      <c r="F531" s="9"/>
      <c r="G531" s="10"/>
      <c r="H531" s="10"/>
      <c r="I531" s="11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7"/>
      <c r="B532" s="7"/>
      <c r="C532" s="5"/>
      <c r="D532" s="8"/>
      <c r="E532" s="9"/>
      <c r="F532" s="9"/>
      <c r="G532" s="10"/>
      <c r="H532" s="10"/>
      <c r="I532" s="11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7"/>
      <c r="B533" s="7"/>
      <c r="C533" s="5"/>
      <c r="D533" s="8"/>
      <c r="E533" s="9"/>
      <c r="F533" s="9"/>
      <c r="G533" s="10"/>
      <c r="H533" s="10"/>
      <c r="I533" s="11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7"/>
      <c r="B534" s="7"/>
      <c r="C534" s="5"/>
      <c r="D534" s="8"/>
      <c r="E534" s="9"/>
      <c r="F534" s="9"/>
      <c r="G534" s="10"/>
      <c r="H534" s="10"/>
      <c r="I534" s="11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7"/>
      <c r="B535" s="7"/>
      <c r="C535" s="5"/>
      <c r="D535" s="8"/>
      <c r="E535" s="9"/>
      <c r="F535" s="9"/>
      <c r="G535" s="10"/>
      <c r="H535" s="10"/>
      <c r="I535" s="11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7"/>
      <c r="B536" s="7"/>
      <c r="C536" s="5"/>
      <c r="D536" s="8"/>
      <c r="E536" s="9"/>
      <c r="F536" s="9"/>
      <c r="G536" s="10"/>
      <c r="H536" s="10"/>
      <c r="I536" s="11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7"/>
      <c r="B537" s="7"/>
      <c r="C537" s="5"/>
      <c r="D537" s="8"/>
      <c r="E537" s="9"/>
      <c r="F537" s="9"/>
      <c r="G537" s="10"/>
      <c r="H537" s="10"/>
      <c r="I537" s="11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7"/>
      <c r="B538" s="7"/>
      <c r="C538" s="5"/>
      <c r="D538" s="8"/>
      <c r="E538" s="9"/>
      <c r="F538" s="9"/>
      <c r="G538" s="10"/>
      <c r="H538" s="10"/>
      <c r="I538" s="11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7"/>
      <c r="B539" s="7"/>
      <c r="C539" s="5"/>
      <c r="D539" s="8"/>
      <c r="E539" s="9"/>
      <c r="F539" s="9"/>
      <c r="G539" s="10"/>
      <c r="H539" s="10"/>
      <c r="I539" s="11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7"/>
      <c r="B540" s="7"/>
      <c r="C540" s="5"/>
      <c r="D540" s="8"/>
      <c r="E540" s="9"/>
      <c r="F540" s="9"/>
      <c r="G540" s="10"/>
      <c r="H540" s="10"/>
      <c r="I540" s="11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7"/>
      <c r="B541" s="7"/>
      <c r="C541" s="5"/>
      <c r="D541" s="8"/>
      <c r="E541" s="9"/>
      <c r="F541" s="9"/>
      <c r="G541" s="10"/>
      <c r="H541" s="10"/>
      <c r="I541" s="11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7"/>
      <c r="B542" s="7"/>
      <c r="C542" s="5"/>
      <c r="D542" s="8"/>
      <c r="E542" s="9"/>
      <c r="F542" s="9"/>
      <c r="G542" s="10"/>
      <c r="H542" s="10"/>
      <c r="I542" s="11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7"/>
      <c r="B543" s="7"/>
      <c r="C543" s="5"/>
      <c r="D543" s="8"/>
      <c r="E543" s="9"/>
      <c r="F543" s="9"/>
      <c r="G543" s="10"/>
      <c r="H543" s="10"/>
      <c r="I543" s="11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7"/>
      <c r="B544" s="7"/>
      <c r="C544" s="5"/>
      <c r="D544" s="8"/>
      <c r="E544" s="9"/>
      <c r="F544" s="9"/>
      <c r="G544" s="10"/>
      <c r="H544" s="10"/>
      <c r="I544" s="11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7"/>
      <c r="B545" s="7"/>
      <c r="C545" s="5"/>
      <c r="D545" s="8"/>
      <c r="E545" s="9"/>
      <c r="F545" s="9"/>
      <c r="G545" s="10"/>
      <c r="H545" s="10"/>
      <c r="I545" s="11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7"/>
      <c r="B546" s="7"/>
      <c r="C546" s="5"/>
      <c r="D546" s="8"/>
      <c r="E546" s="9"/>
      <c r="F546" s="9"/>
      <c r="G546" s="10"/>
      <c r="H546" s="10"/>
      <c r="I546" s="11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7"/>
      <c r="B547" s="7"/>
      <c r="C547" s="5"/>
      <c r="D547" s="8"/>
      <c r="E547" s="9"/>
      <c r="F547" s="9"/>
      <c r="G547" s="10"/>
      <c r="H547" s="10"/>
      <c r="I547" s="11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7"/>
      <c r="B548" s="7"/>
      <c r="C548" s="5"/>
      <c r="D548" s="8"/>
      <c r="E548" s="9"/>
      <c r="F548" s="9"/>
      <c r="G548" s="10"/>
      <c r="H548" s="10"/>
      <c r="I548" s="11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7"/>
      <c r="B549" s="7"/>
      <c r="C549" s="5"/>
      <c r="D549" s="8"/>
      <c r="E549" s="9"/>
      <c r="F549" s="9"/>
      <c r="G549" s="10"/>
      <c r="H549" s="10"/>
      <c r="I549" s="11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7"/>
      <c r="B550" s="7"/>
      <c r="C550" s="5"/>
      <c r="D550" s="8"/>
      <c r="E550" s="9"/>
      <c r="F550" s="9"/>
      <c r="G550" s="10"/>
      <c r="H550" s="10"/>
      <c r="I550" s="11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7"/>
      <c r="B551" s="7"/>
      <c r="C551" s="5"/>
      <c r="D551" s="8"/>
      <c r="E551" s="9"/>
      <c r="F551" s="9"/>
      <c r="G551" s="10"/>
      <c r="H551" s="10"/>
      <c r="I551" s="11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7"/>
      <c r="B552" s="7"/>
      <c r="C552" s="5"/>
      <c r="D552" s="8"/>
      <c r="E552" s="9"/>
      <c r="F552" s="9"/>
      <c r="G552" s="10"/>
      <c r="H552" s="10"/>
      <c r="I552" s="11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7"/>
      <c r="B553" s="7"/>
      <c r="C553" s="5"/>
      <c r="D553" s="8"/>
      <c r="E553" s="9"/>
      <c r="F553" s="9"/>
      <c r="G553" s="10"/>
      <c r="H553" s="10"/>
      <c r="I553" s="11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7"/>
      <c r="B554" s="7"/>
      <c r="C554" s="5"/>
      <c r="D554" s="8"/>
      <c r="E554" s="9"/>
      <c r="F554" s="9"/>
      <c r="G554" s="10"/>
      <c r="H554" s="10"/>
      <c r="I554" s="11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7"/>
      <c r="B555" s="7"/>
      <c r="C555" s="5"/>
      <c r="D555" s="8"/>
      <c r="E555" s="9"/>
      <c r="F555" s="9"/>
      <c r="G555" s="10"/>
      <c r="H555" s="10"/>
      <c r="I555" s="11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7"/>
      <c r="B556" s="7"/>
      <c r="C556" s="5"/>
      <c r="D556" s="8"/>
      <c r="E556" s="9"/>
      <c r="F556" s="9"/>
      <c r="G556" s="10"/>
      <c r="H556" s="10"/>
      <c r="I556" s="11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7"/>
      <c r="B557" s="7"/>
      <c r="C557" s="5"/>
      <c r="D557" s="8"/>
      <c r="E557" s="9"/>
      <c r="F557" s="9"/>
      <c r="G557" s="10"/>
      <c r="H557" s="10"/>
      <c r="I557" s="11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7"/>
      <c r="B558" s="7"/>
      <c r="C558" s="5"/>
      <c r="D558" s="8"/>
      <c r="E558" s="9"/>
      <c r="F558" s="9"/>
      <c r="G558" s="10"/>
      <c r="H558" s="10"/>
      <c r="I558" s="11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7"/>
      <c r="B559" s="7"/>
      <c r="C559" s="5"/>
      <c r="D559" s="8"/>
      <c r="E559" s="9"/>
      <c r="F559" s="9"/>
      <c r="G559" s="10"/>
      <c r="H559" s="10"/>
      <c r="I559" s="11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7"/>
      <c r="B560" s="7"/>
      <c r="C560" s="5"/>
      <c r="D560" s="8"/>
      <c r="E560" s="9"/>
      <c r="F560" s="9"/>
      <c r="G560" s="10"/>
      <c r="H560" s="10"/>
      <c r="I560" s="11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7"/>
      <c r="B561" s="7"/>
      <c r="C561" s="5"/>
      <c r="D561" s="8"/>
      <c r="E561" s="9"/>
      <c r="F561" s="9"/>
      <c r="G561" s="10"/>
      <c r="H561" s="10"/>
      <c r="I561" s="11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7"/>
      <c r="B562" s="7"/>
      <c r="C562" s="5"/>
      <c r="D562" s="8"/>
      <c r="E562" s="9"/>
      <c r="F562" s="9"/>
      <c r="G562" s="10"/>
      <c r="H562" s="10"/>
      <c r="I562" s="11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7"/>
      <c r="B563" s="7"/>
      <c r="C563" s="5"/>
      <c r="D563" s="8"/>
      <c r="E563" s="9"/>
      <c r="F563" s="9"/>
      <c r="G563" s="10"/>
      <c r="H563" s="10"/>
      <c r="I563" s="11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7"/>
      <c r="B564" s="7"/>
      <c r="C564" s="5"/>
      <c r="D564" s="8"/>
      <c r="E564" s="9"/>
      <c r="F564" s="9"/>
      <c r="G564" s="10"/>
      <c r="H564" s="10"/>
      <c r="I564" s="11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7"/>
      <c r="B565" s="7"/>
      <c r="C565" s="5"/>
      <c r="D565" s="8"/>
      <c r="E565" s="9"/>
      <c r="F565" s="9"/>
      <c r="G565" s="10"/>
      <c r="H565" s="10"/>
      <c r="I565" s="11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7"/>
      <c r="B566" s="7"/>
      <c r="C566" s="5"/>
      <c r="D566" s="8"/>
      <c r="E566" s="9"/>
      <c r="F566" s="9"/>
      <c r="G566" s="10"/>
      <c r="H566" s="10"/>
      <c r="I566" s="11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7"/>
      <c r="B567" s="7"/>
      <c r="C567" s="5"/>
      <c r="D567" s="8"/>
      <c r="E567" s="9"/>
      <c r="F567" s="9"/>
      <c r="G567" s="10"/>
      <c r="H567" s="10"/>
      <c r="I567" s="11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7"/>
      <c r="B568" s="7"/>
      <c r="C568" s="5"/>
      <c r="D568" s="8"/>
      <c r="E568" s="9"/>
      <c r="F568" s="9"/>
      <c r="G568" s="10"/>
      <c r="H568" s="10"/>
      <c r="I568" s="11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7"/>
      <c r="B569" s="7"/>
      <c r="C569" s="5"/>
      <c r="D569" s="8"/>
      <c r="E569" s="9"/>
      <c r="F569" s="9"/>
      <c r="G569" s="10"/>
      <c r="H569" s="10"/>
      <c r="I569" s="11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7"/>
      <c r="B570" s="7"/>
      <c r="C570" s="5"/>
      <c r="D570" s="8"/>
      <c r="E570" s="9"/>
      <c r="F570" s="9"/>
      <c r="G570" s="10"/>
      <c r="H570" s="10"/>
      <c r="I570" s="11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7"/>
      <c r="B571" s="7"/>
      <c r="C571" s="5"/>
      <c r="D571" s="8"/>
      <c r="E571" s="9"/>
      <c r="F571" s="9"/>
      <c r="G571" s="10"/>
      <c r="H571" s="10"/>
      <c r="I571" s="11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7"/>
      <c r="B572" s="7"/>
      <c r="C572" s="5"/>
      <c r="D572" s="8"/>
      <c r="E572" s="9"/>
      <c r="F572" s="9"/>
      <c r="G572" s="10"/>
      <c r="H572" s="10"/>
      <c r="I572" s="11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7"/>
      <c r="B573" s="7"/>
      <c r="C573" s="5"/>
      <c r="D573" s="8"/>
      <c r="E573" s="9"/>
      <c r="F573" s="9"/>
      <c r="G573" s="10"/>
      <c r="H573" s="10"/>
      <c r="I573" s="11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7"/>
      <c r="B574" s="7"/>
      <c r="C574" s="5"/>
      <c r="D574" s="8"/>
      <c r="E574" s="9"/>
      <c r="F574" s="9"/>
      <c r="G574" s="10"/>
      <c r="H574" s="10"/>
      <c r="I574" s="11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7"/>
      <c r="B575" s="7"/>
      <c r="C575" s="5"/>
      <c r="D575" s="8"/>
      <c r="E575" s="9"/>
      <c r="F575" s="9"/>
      <c r="G575" s="10"/>
      <c r="H575" s="10"/>
      <c r="I575" s="11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7"/>
      <c r="B576" s="7"/>
      <c r="C576" s="5"/>
      <c r="D576" s="8"/>
      <c r="E576" s="9"/>
      <c r="F576" s="9"/>
      <c r="G576" s="10"/>
      <c r="H576" s="10"/>
      <c r="I576" s="11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7"/>
      <c r="B577" s="7"/>
      <c r="C577" s="5"/>
      <c r="D577" s="8"/>
      <c r="E577" s="9"/>
      <c r="F577" s="9"/>
      <c r="G577" s="10"/>
      <c r="H577" s="10"/>
      <c r="I577" s="11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7"/>
      <c r="B578" s="7"/>
      <c r="C578" s="5"/>
      <c r="D578" s="8"/>
      <c r="E578" s="9"/>
      <c r="F578" s="9"/>
      <c r="G578" s="10"/>
      <c r="H578" s="10"/>
      <c r="I578" s="11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7"/>
      <c r="B579" s="7"/>
      <c r="C579" s="5"/>
      <c r="D579" s="8"/>
      <c r="E579" s="9"/>
      <c r="F579" s="9"/>
      <c r="G579" s="10"/>
      <c r="H579" s="10"/>
      <c r="I579" s="11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7"/>
      <c r="B580" s="7"/>
      <c r="C580" s="5"/>
      <c r="D580" s="8"/>
      <c r="E580" s="9"/>
      <c r="F580" s="9"/>
      <c r="G580" s="10"/>
      <c r="H580" s="10"/>
      <c r="I580" s="11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7"/>
      <c r="B581" s="7"/>
      <c r="C581" s="5"/>
      <c r="D581" s="8"/>
      <c r="E581" s="9"/>
      <c r="F581" s="9"/>
      <c r="G581" s="10"/>
      <c r="H581" s="10"/>
      <c r="I581" s="11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7"/>
      <c r="B582" s="7"/>
      <c r="C582" s="5"/>
      <c r="D582" s="8"/>
      <c r="E582" s="9"/>
      <c r="F582" s="9"/>
      <c r="G582" s="10"/>
      <c r="H582" s="10"/>
      <c r="I582" s="11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7"/>
      <c r="B583" s="7"/>
      <c r="C583" s="5"/>
      <c r="D583" s="8"/>
      <c r="E583" s="9"/>
      <c r="F583" s="9"/>
      <c r="G583" s="10"/>
      <c r="H583" s="10"/>
      <c r="I583" s="11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7"/>
      <c r="B584" s="7"/>
      <c r="C584" s="5"/>
      <c r="D584" s="8"/>
      <c r="E584" s="9"/>
      <c r="F584" s="9"/>
      <c r="G584" s="10"/>
      <c r="H584" s="10"/>
      <c r="I584" s="11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7"/>
      <c r="B585" s="7"/>
      <c r="C585" s="5"/>
      <c r="D585" s="8"/>
      <c r="E585" s="9"/>
      <c r="F585" s="9"/>
      <c r="G585" s="10"/>
      <c r="H585" s="10"/>
      <c r="I585" s="11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7"/>
      <c r="B586" s="7"/>
      <c r="C586" s="5"/>
      <c r="D586" s="8"/>
      <c r="E586" s="9"/>
      <c r="F586" s="9"/>
      <c r="G586" s="10"/>
      <c r="H586" s="10"/>
      <c r="I586" s="11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7"/>
      <c r="B587" s="7"/>
      <c r="C587" s="5"/>
      <c r="D587" s="8"/>
      <c r="E587" s="9"/>
      <c r="F587" s="9"/>
      <c r="G587" s="10"/>
      <c r="H587" s="10"/>
      <c r="I587" s="11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7"/>
      <c r="B588" s="7"/>
      <c r="C588" s="5"/>
      <c r="D588" s="8"/>
      <c r="E588" s="9"/>
      <c r="F588" s="9"/>
      <c r="G588" s="10"/>
      <c r="H588" s="10"/>
      <c r="I588" s="11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7"/>
      <c r="B589" s="7"/>
      <c r="C589" s="5"/>
      <c r="D589" s="8"/>
      <c r="E589" s="9"/>
      <c r="F589" s="9"/>
      <c r="G589" s="10"/>
      <c r="H589" s="10"/>
      <c r="I589" s="11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7"/>
      <c r="B590" s="7"/>
      <c r="C590" s="5"/>
      <c r="D590" s="8"/>
      <c r="E590" s="9"/>
      <c r="F590" s="9"/>
      <c r="G590" s="10"/>
      <c r="H590" s="10"/>
      <c r="I590" s="11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7"/>
      <c r="B591" s="7"/>
      <c r="C591" s="5"/>
      <c r="D591" s="8"/>
      <c r="E591" s="9"/>
      <c r="F591" s="9"/>
      <c r="G591" s="10"/>
      <c r="H591" s="10"/>
      <c r="I591" s="11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7"/>
      <c r="B592" s="7"/>
      <c r="C592" s="5"/>
      <c r="D592" s="8"/>
      <c r="E592" s="9"/>
      <c r="F592" s="9"/>
      <c r="G592" s="10"/>
      <c r="H592" s="10"/>
      <c r="I592" s="11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7"/>
      <c r="B593" s="7"/>
      <c r="C593" s="5"/>
      <c r="D593" s="8"/>
      <c r="E593" s="9"/>
      <c r="F593" s="9"/>
      <c r="G593" s="10"/>
      <c r="H593" s="10"/>
      <c r="I593" s="11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7"/>
      <c r="B594" s="7"/>
      <c r="C594" s="5"/>
      <c r="D594" s="8"/>
      <c r="E594" s="9"/>
      <c r="F594" s="9"/>
      <c r="G594" s="10"/>
      <c r="H594" s="10"/>
      <c r="I594" s="11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7"/>
      <c r="B595" s="7"/>
      <c r="C595" s="5"/>
      <c r="D595" s="8"/>
      <c r="E595" s="9"/>
      <c r="F595" s="9"/>
      <c r="G595" s="10"/>
      <c r="H595" s="10"/>
      <c r="I595" s="11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7"/>
      <c r="B596" s="7"/>
      <c r="C596" s="5"/>
      <c r="D596" s="8"/>
      <c r="E596" s="9"/>
      <c r="F596" s="9"/>
      <c r="G596" s="10"/>
      <c r="H596" s="10"/>
      <c r="I596" s="11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7"/>
      <c r="B597" s="7"/>
      <c r="C597" s="5"/>
      <c r="D597" s="8"/>
      <c r="E597" s="9"/>
      <c r="F597" s="9"/>
      <c r="G597" s="10"/>
      <c r="H597" s="10"/>
      <c r="I597" s="11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7"/>
      <c r="B598" s="7"/>
      <c r="C598" s="5"/>
      <c r="D598" s="8"/>
      <c r="E598" s="9"/>
      <c r="F598" s="9"/>
      <c r="G598" s="10"/>
      <c r="H598" s="10"/>
      <c r="I598" s="11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7"/>
      <c r="B599" s="7"/>
      <c r="C599" s="5"/>
      <c r="D599" s="8"/>
      <c r="E599" s="9"/>
      <c r="F599" s="9"/>
      <c r="G599" s="10"/>
      <c r="H599" s="10"/>
      <c r="I599" s="11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7"/>
      <c r="B600" s="7"/>
      <c r="C600" s="5"/>
      <c r="D600" s="8"/>
      <c r="E600" s="9"/>
      <c r="F600" s="9"/>
      <c r="G600" s="10"/>
      <c r="H600" s="10"/>
      <c r="I600" s="11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7"/>
      <c r="B601" s="7"/>
      <c r="C601" s="5"/>
      <c r="D601" s="8"/>
      <c r="E601" s="9"/>
      <c r="F601" s="9"/>
      <c r="G601" s="10"/>
      <c r="H601" s="10"/>
      <c r="I601" s="11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7"/>
      <c r="B602" s="7"/>
      <c r="C602" s="5"/>
      <c r="D602" s="8"/>
      <c r="E602" s="9"/>
      <c r="F602" s="9"/>
      <c r="G602" s="10"/>
      <c r="H602" s="10"/>
      <c r="I602" s="11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7"/>
      <c r="B603" s="7"/>
      <c r="C603" s="5"/>
      <c r="D603" s="8"/>
      <c r="E603" s="9"/>
      <c r="F603" s="9"/>
      <c r="G603" s="10"/>
      <c r="H603" s="10"/>
      <c r="I603" s="11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7"/>
      <c r="B604" s="7"/>
      <c r="C604" s="5"/>
      <c r="D604" s="8"/>
      <c r="E604" s="9"/>
      <c r="F604" s="9"/>
      <c r="G604" s="10"/>
      <c r="H604" s="10"/>
      <c r="I604" s="11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7"/>
      <c r="B605" s="7"/>
      <c r="C605" s="5"/>
      <c r="D605" s="8"/>
      <c r="E605" s="9"/>
      <c r="F605" s="9"/>
      <c r="G605" s="10"/>
      <c r="H605" s="10"/>
      <c r="I605" s="11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7"/>
      <c r="B606" s="7"/>
      <c r="C606" s="5"/>
      <c r="D606" s="8"/>
      <c r="E606" s="9"/>
      <c r="F606" s="9"/>
      <c r="G606" s="10"/>
      <c r="H606" s="10"/>
      <c r="I606" s="11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7"/>
      <c r="B607" s="7"/>
      <c r="C607" s="5"/>
      <c r="D607" s="8"/>
      <c r="E607" s="9"/>
      <c r="F607" s="9"/>
      <c r="G607" s="10"/>
      <c r="H607" s="10"/>
      <c r="I607" s="11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7"/>
      <c r="B608" s="7"/>
      <c r="C608" s="5"/>
      <c r="D608" s="8"/>
      <c r="E608" s="9"/>
      <c r="F608" s="9"/>
      <c r="G608" s="10"/>
      <c r="H608" s="10"/>
      <c r="I608" s="11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7"/>
      <c r="B609" s="7"/>
      <c r="C609" s="5"/>
      <c r="D609" s="8"/>
      <c r="E609" s="9"/>
      <c r="F609" s="9"/>
      <c r="G609" s="10"/>
      <c r="H609" s="10"/>
      <c r="I609" s="11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7"/>
      <c r="B610" s="7"/>
      <c r="C610" s="5"/>
      <c r="D610" s="8"/>
      <c r="E610" s="9"/>
      <c r="F610" s="9"/>
      <c r="G610" s="10"/>
      <c r="H610" s="10"/>
      <c r="I610" s="11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7"/>
      <c r="B611" s="7"/>
      <c r="C611" s="5"/>
      <c r="D611" s="8"/>
      <c r="E611" s="9"/>
      <c r="F611" s="9"/>
      <c r="G611" s="10"/>
      <c r="H611" s="10"/>
      <c r="I611" s="11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7"/>
      <c r="B612" s="7"/>
      <c r="C612" s="5"/>
      <c r="D612" s="8"/>
      <c r="E612" s="9"/>
      <c r="F612" s="9"/>
      <c r="G612" s="10"/>
      <c r="H612" s="10"/>
      <c r="I612" s="11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7"/>
      <c r="B613" s="7"/>
      <c r="C613" s="5"/>
      <c r="D613" s="8"/>
      <c r="E613" s="9"/>
      <c r="F613" s="9"/>
      <c r="G613" s="10"/>
      <c r="H613" s="10"/>
      <c r="I613" s="11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7"/>
      <c r="B614" s="7"/>
      <c r="C614" s="5"/>
      <c r="D614" s="8"/>
      <c r="E614" s="9"/>
      <c r="F614" s="9"/>
      <c r="G614" s="10"/>
      <c r="H614" s="10"/>
      <c r="I614" s="11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7"/>
      <c r="B615" s="7"/>
      <c r="C615" s="5"/>
      <c r="D615" s="8"/>
      <c r="E615" s="9"/>
      <c r="F615" s="9"/>
      <c r="G615" s="10"/>
      <c r="H615" s="10"/>
      <c r="I615" s="11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7"/>
      <c r="B616" s="7"/>
      <c r="C616" s="5"/>
      <c r="D616" s="8"/>
      <c r="E616" s="9"/>
      <c r="F616" s="9"/>
      <c r="G616" s="10"/>
      <c r="H616" s="10"/>
      <c r="I616" s="11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7"/>
      <c r="B617" s="7"/>
      <c r="C617" s="5"/>
      <c r="D617" s="8"/>
      <c r="E617" s="9"/>
      <c r="F617" s="9"/>
      <c r="G617" s="10"/>
      <c r="H617" s="10"/>
      <c r="I617" s="11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7"/>
      <c r="B618" s="7"/>
      <c r="C618" s="5"/>
      <c r="D618" s="8"/>
      <c r="E618" s="9"/>
      <c r="F618" s="9"/>
      <c r="G618" s="10"/>
      <c r="H618" s="10"/>
      <c r="I618" s="11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7"/>
      <c r="B619" s="7"/>
      <c r="C619" s="5"/>
      <c r="D619" s="8"/>
      <c r="E619" s="9"/>
      <c r="F619" s="9"/>
      <c r="G619" s="10"/>
      <c r="H619" s="10"/>
      <c r="I619" s="11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7"/>
      <c r="B620" s="7"/>
      <c r="C620" s="5"/>
      <c r="D620" s="8"/>
      <c r="E620" s="9"/>
      <c r="F620" s="9"/>
      <c r="G620" s="10"/>
      <c r="H620" s="10"/>
      <c r="I620" s="11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7"/>
      <c r="B621" s="7"/>
      <c r="C621" s="5"/>
      <c r="D621" s="8"/>
      <c r="E621" s="9"/>
      <c r="F621" s="9"/>
      <c r="G621" s="10"/>
      <c r="H621" s="10"/>
      <c r="I621" s="11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7"/>
      <c r="B622" s="7"/>
      <c r="C622" s="5"/>
      <c r="D622" s="8"/>
      <c r="E622" s="9"/>
      <c r="F622" s="9"/>
      <c r="G622" s="10"/>
      <c r="H622" s="10"/>
      <c r="I622" s="11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7"/>
      <c r="B623" s="7"/>
      <c r="C623" s="5"/>
      <c r="D623" s="8"/>
      <c r="E623" s="9"/>
      <c r="F623" s="9"/>
      <c r="G623" s="10"/>
      <c r="H623" s="10"/>
      <c r="I623" s="11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7"/>
      <c r="B624" s="7"/>
      <c r="C624" s="5"/>
      <c r="D624" s="8"/>
      <c r="E624" s="9"/>
      <c r="F624" s="9"/>
      <c r="G624" s="10"/>
      <c r="H624" s="10"/>
      <c r="I624" s="11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7"/>
      <c r="B625" s="7"/>
      <c r="C625" s="5"/>
      <c r="D625" s="8"/>
      <c r="E625" s="9"/>
      <c r="F625" s="9"/>
      <c r="G625" s="10"/>
      <c r="H625" s="10"/>
      <c r="I625" s="11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7"/>
      <c r="B626" s="7"/>
      <c r="C626" s="5"/>
      <c r="D626" s="8"/>
      <c r="E626" s="9"/>
      <c r="F626" s="9"/>
      <c r="G626" s="10"/>
      <c r="H626" s="10"/>
      <c r="I626" s="11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7"/>
      <c r="B627" s="7"/>
      <c r="C627" s="5"/>
      <c r="D627" s="8"/>
      <c r="E627" s="9"/>
      <c r="F627" s="9"/>
      <c r="G627" s="10"/>
      <c r="H627" s="10"/>
      <c r="I627" s="11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7"/>
      <c r="B628" s="7"/>
      <c r="C628" s="5"/>
      <c r="D628" s="8"/>
      <c r="E628" s="9"/>
      <c r="F628" s="9"/>
      <c r="G628" s="10"/>
      <c r="H628" s="10"/>
      <c r="I628" s="11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7"/>
      <c r="B629" s="7"/>
      <c r="C629" s="5"/>
      <c r="D629" s="8"/>
      <c r="E629" s="9"/>
      <c r="F629" s="9"/>
      <c r="G629" s="10"/>
      <c r="H629" s="10"/>
      <c r="I629" s="11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7"/>
      <c r="B630" s="7"/>
      <c r="C630" s="5"/>
      <c r="D630" s="8"/>
      <c r="E630" s="9"/>
      <c r="F630" s="9"/>
      <c r="G630" s="10"/>
      <c r="H630" s="10"/>
      <c r="I630" s="11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7"/>
      <c r="B631" s="7"/>
      <c r="C631" s="5"/>
      <c r="D631" s="8"/>
      <c r="E631" s="9"/>
      <c r="F631" s="9"/>
      <c r="G631" s="10"/>
      <c r="H631" s="10"/>
      <c r="I631" s="11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7"/>
      <c r="B632" s="7"/>
      <c r="C632" s="5"/>
      <c r="D632" s="8"/>
      <c r="E632" s="9"/>
      <c r="F632" s="9"/>
      <c r="G632" s="10"/>
      <c r="H632" s="10"/>
      <c r="I632" s="11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7"/>
      <c r="B633" s="7"/>
      <c r="C633" s="5"/>
      <c r="D633" s="8"/>
      <c r="E633" s="9"/>
      <c r="F633" s="9"/>
      <c r="G633" s="10"/>
      <c r="H633" s="10"/>
      <c r="I633" s="11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7"/>
      <c r="B634" s="7"/>
      <c r="C634" s="5"/>
      <c r="D634" s="8"/>
      <c r="E634" s="9"/>
      <c r="F634" s="9"/>
      <c r="G634" s="10"/>
      <c r="H634" s="10"/>
      <c r="I634" s="11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7"/>
      <c r="B635" s="7"/>
      <c r="C635" s="5"/>
      <c r="D635" s="8"/>
      <c r="E635" s="9"/>
      <c r="F635" s="9"/>
      <c r="G635" s="10"/>
      <c r="H635" s="10"/>
      <c r="I635" s="11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7"/>
      <c r="B636" s="7"/>
      <c r="C636" s="5"/>
      <c r="D636" s="8"/>
      <c r="E636" s="9"/>
      <c r="F636" s="9"/>
      <c r="G636" s="10"/>
      <c r="H636" s="10"/>
      <c r="I636" s="11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7"/>
      <c r="B637" s="7"/>
      <c r="C637" s="5"/>
      <c r="D637" s="8"/>
      <c r="E637" s="9"/>
      <c r="F637" s="9"/>
      <c r="G637" s="10"/>
      <c r="H637" s="10"/>
      <c r="I637" s="11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7"/>
      <c r="B638" s="7"/>
      <c r="C638" s="5"/>
      <c r="D638" s="8"/>
      <c r="E638" s="9"/>
      <c r="F638" s="9"/>
      <c r="G638" s="10"/>
      <c r="H638" s="10"/>
      <c r="I638" s="11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7"/>
      <c r="B639" s="7"/>
      <c r="C639" s="5"/>
      <c r="D639" s="8"/>
      <c r="E639" s="9"/>
      <c r="F639" s="9"/>
      <c r="G639" s="10"/>
      <c r="H639" s="10"/>
      <c r="I639" s="11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7"/>
      <c r="B640" s="7"/>
      <c r="C640" s="5"/>
      <c r="D640" s="8"/>
      <c r="E640" s="9"/>
      <c r="F640" s="9"/>
      <c r="G640" s="10"/>
      <c r="H640" s="10"/>
      <c r="I640" s="11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7"/>
      <c r="B641" s="7"/>
      <c r="C641" s="5"/>
      <c r="D641" s="8"/>
      <c r="E641" s="9"/>
      <c r="F641" s="9"/>
      <c r="G641" s="10"/>
      <c r="H641" s="10"/>
      <c r="I641" s="11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7"/>
      <c r="B642" s="7"/>
      <c r="C642" s="5"/>
      <c r="D642" s="8"/>
      <c r="E642" s="9"/>
      <c r="F642" s="9"/>
      <c r="G642" s="10"/>
      <c r="H642" s="10"/>
      <c r="I642" s="11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7"/>
      <c r="B643" s="7"/>
      <c r="C643" s="5"/>
      <c r="D643" s="8"/>
      <c r="E643" s="9"/>
      <c r="F643" s="9"/>
      <c r="G643" s="10"/>
      <c r="H643" s="10"/>
      <c r="I643" s="11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7"/>
      <c r="B644" s="7"/>
      <c r="C644" s="5"/>
      <c r="D644" s="8"/>
      <c r="E644" s="9"/>
      <c r="F644" s="9"/>
      <c r="G644" s="10"/>
      <c r="H644" s="10"/>
      <c r="I644" s="11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7"/>
      <c r="B645" s="7"/>
      <c r="C645" s="5"/>
      <c r="D645" s="8"/>
      <c r="E645" s="9"/>
      <c r="F645" s="9"/>
      <c r="G645" s="10"/>
      <c r="H645" s="10"/>
      <c r="I645" s="11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7"/>
      <c r="B646" s="7"/>
      <c r="C646" s="5"/>
      <c r="D646" s="8"/>
      <c r="E646" s="9"/>
      <c r="F646" s="9"/>
      <c r="G646" s="10"/>
      <c r="H646" s="10"/>
      <c r="I646" s="11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7"/>
      <c r="B647" s="7"/>
      <c r="C647" s="5"/>
      <c r="D647" s="8"/>
      <c r="E647" s="9"/>
      <c r="F647" s="9"/>
      <c r="G647" s="10"/>
      <c r="H647" s="10"/>
      <c r="I647" s="11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7"/>
      <c r="B648" s="7"/>
      <c r="C648" s="5"/>
      <c r="D648" s="8"/>
      <c r="E648" s="9"/>
      <c r="F648" s="9"/>
      <c r="G648" s="10"/>
      <c r="H648" s="10"/>
      <c r="I648" s="11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7"/>
      <c r="B649" s="7"/>
      <c r="C649" s="5"/>
      <c r="D649" s="8"/>
      <c r="E649" s="9"/>
      <c r="F649" s="9"/>
      <c r="G649" s="10"/>
      <c r="H649" s="10"/>
      <c r="I649" s="11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7"/>
      <c r="B650" s="7"/>
      <c r="C650" s="5"/>
      <c r="D650" s="8"/>
      <c r="E650" s="9"/>
      <c r="F650" s="9"/>
      <c r="G650" s="10"/>
      <c r="H650" s="10"/>
      <c r="I650" s="11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7"/>
      <c r="B651" s="7"/>
      <c r="C651" s="5"/>
      <c r="D651" s="8"/>
      <c r="E651" s="9"/>
      <c r="F651" s="9"/>
      <c r="G651" s="10"/>
      <c r="H651" s="10"/>
      <c r="I651" s="11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7"/>
      <c r="B652" s="7"/>
      <c r="C652" s="5"/>
      <c r="D652" s="8"/>
      <c r="E652" s="9"/>
      <c r="F652" s="9"/>
      <c r="G652" s="10"/>
      <c r="H652" s="10"/>
      <c r="I652" s="11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7"/>
      <c r="B653" s="7"/>
      <c r="C653" s="5"/>
      <c r="D653" s="8"/>
      <c r="E653" s="9"/>
      <c r="F653" s="9"/>
      <c r="G653" s="10"/>
      <c r="H653" s="10"/>
      <c r="I653" s="11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7"/>
      <c r="B654" s="7"/>
      <c r="C654" s="5"/>
      <c r="D654" s="8"/>
      <c r="E654" s="9"/>
      <c r="F654" s="9"/>
      <c r="G654" s="10"/>
      <c r="H654" s="10"/>
      <c r="I654" s="11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7"/>
      <c r="B655" s="7"/>
      <c r="C655" s="5"/>
      <c r="D655" s="8"/>
      <c r="E655" s="9"/>
      <c r="F655" s="9"/>
      <c r="G655" s="10"/>
      <c r="H655" s="10"/>
      <c r="I655" s="11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7"/>
      <c r="B656" s="7"/>
      <c r="C656" s="5"/>
      <c r="D656" s="8"/>
      <c r="E656" s="9"/>
      <c r="F656" s="9"/>
      <c r="G656" s="10"/>
      <c r="H656" s="10"/>
      <c r="I656" s="11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7"/>
      <c r="B657" s="7"/>
      <c r="C657" s="5"/>
      <c r="D657" s="8"/>
      <c r="E657" s="9"/>
      <c r="F657" s="9"/>
      <c r="G657" s="10"/>
      <c r="H657" s="10"/>
      <c r="I657" s="11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7"/>
      <c r="B658" s="7"/>
      <c r="C658" s="5"/>
      <c r="D658" s="8"/>
      <c r="E658" s="9"/>
      <c r="F658" s="9"/>
      <c r="G658" s="10"/>
      <c r="H658" s="10"/>
      <c r="I658" s="11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7"/>
      <c r="B659" s="7"/>
      <c r="C659" s="5"/>
      <c r="D659" s="8"/>
      <c r="E659" s="9"/>
      <c r="F659" s="9"/>
      <c r="G659" s="10"/>
      <c r="H659" s="10"/>
      <c r="I659" s="11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7"/>
      <c r="B660" s="7"/>
      <c r="C660" s="5"/>
      <c r="D660" s="8"/>
      <c r="E660" s="9"/>
      <c r="F660" s="9"/>
      <c r="G660" s="10"/>
      <c r="H660" s="10"/>
      <c r="I660" s="11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7"/>
      <c r="B661" s="7"/>
      <c r="C661" s="5"/>
      <c r="D661" s="8"/>
      <c r="E661" s="9"/>
      <c r="F661" s="9"/>
      <c r="G661" s="10"/>
      <c r="H661" s="10"/>
      <c r="I661" s="11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7"/>
      <c r="B662" s="7"/>
      <c r="C662" s="5"/>
      <c r="D662" s="8"/>
      <c r="E662" s="9"/>
      <c r="F662" s="9"/>
      <c r="G662" s="10"/>
      <c r="H662" s="10"/>
      <c r="I662" s="11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7"/>
      <c r="B663" s="7"/>
      <c r="C663" s="5"/>
      <c r="D663" s="8"/>
      <c r="E663" s="9"/>
      <c r="F663" s="9"/>
      <c r="G663" s="10"/>
      <c r="H663" s="10"/>
      <c r="I663" s="11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7"/>
      <c r="B664" s="7"/>
      <c r="C664" s="5"/>
      <c r="D664" s="8"/>
      <c r="E664" s="9"/>
      <c r="F664" s="9"/>
      <c r="G664" s="10"/>
      <c r="H664" s="10"/>
      <c r="I664" s="11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7"/>
      <c r="B665" s="7"/>
      <c r="C665" s="5"/>
      <c r="D665" s="8"/>
      <c r="E665" s="9"/>
      <c r="F665" s="9"/>
      <c r="G665" s="10"/>
      <c r="H665" s="10"/>
      <c r="I665" s="11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7"/>
      <c r="B666" s="7"/>
      <c r="C666" s="5"/>
      <c r="D666" s="8"/>
      <c r="E666" s="9"/>
      <c r="F666" s="9"/>
      <c r="G666" s="10"/>
      <c r="H666" s="10"/>
      <c r="I666" s="11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7"/>
      <c r="B667" s="7"/>
      <c r="C667" s="5"/>
      <c r="D667" s="8"/>
      <c r="E667" s="9"/>
      <c r="F667" s="9"/>
      <c r="G667" s="10"/>
      <c r="H667" s="10"/>
      <c r="I667" s="11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7"/>
      <c r="B668" s="7"/>
      <c r="C668" s="5"/>
      <c r="D668" s="8"/>
      <c r="E668" s="9"/>
      <c r="F668" s="9"/>
      <c r="G668" s="10"/>
      <c r="H668" s="10"/>
      <c r="I668" s="11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7"/>
      <c r="B669" s="7"/>
      <c r="C669" s="5"/>
      <c r="D669" s="8"/>
      <c r="E669" s="9"/>
      <c r="F669" s="9"/>
      <c r="G669" s="10"/>
      <c r="H669" s="10"/>
      <c r="I669" s="11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7"/>
      <c r="B670" s="7"/>
      <c r="C670" s="5"/>
      <c r="D670" s="8"/>
      <c r="E670" s="9"/>
      <c r="F670" s="9"/>
      <c r="G670" s="10"/>
      <c r="H670" s="10"/>
      <c r="I670" s="11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7"/>
      <c r="B671" s="7"/>
      <c r="C671" s="5"/>
      <c r="D671" s="8"/>
      <c r="E671" s="9"/>
      <c r="F671" s="9"/>
      <c r="G671" s="10"/>
      <c r="H671" s="10"/>
      <c r="I671" s="11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7"/>
      <c r="B672" s="7"/>
      <c r="C672" s="5"/>
      <c r="D672" s="8"/>
      <c r="E672" s="9"/>
      <c r="F672" s="9"/>
      <c r="G672" s="10"/>
      <c r="H672" s="10"/>
      <c r="I672" s="11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7"/>
      <c r="B673" s="7"/>
      <c r="C673" s="5"/>
      <c r="D673" s="8"/>
      <c r="E673" s="9"/>
      <c r="F673" s="9"/>
      <c r="G673" s="10"/>
      <c r="H673" s="10"/>
      <c r="I673" s="11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7"/>
      <c r="B674" s="7"/>
      <c r="C674" s="5"/>
      <c r="D674" s="8"/>
      <c r="E674" s="9"/>
      <c r="F674" s="9"/>
      <c r="G674" s="10"/>
      <c r="H674" s="10"/>
      <c r="I674" s="11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7"/>
      <c r="B675" s="7"/>
      <c r="C675" s="5"/>
      <c r="D675" s="8"/>
      <c r="E675" s="9"/>
      <c r="F675" s="9"/>
      <c r="G675" s="10"/>
      <c r="H675" s="10"/>
      <c r="I675" s="11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7"/>
      <c r="B676" s="7"/>
      <c r="C676" s="5"/>
      <c r="D676" s="8"/>
      <c r="E676" s="9"/>
      <c r="F676" s="9"/>
      <c r="G676" s="10"/>
      <c r="H676" s="10"/>
      <c r="I676" s="11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7"/>
      <c r="B677" s="7"/>
      <c r="C677" s="5"/>
      <c r="D677" s="8"/>
      <c r="E677" s="9"/>
      <c r="F677" s="9"/>
      <c r="G677" s="10"/>
      <c r="H677" s="10"/>
      <c r="I677" s="11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7"/>
      <c r="B678" s="7"/>
      <c r="C678" s="5"/>
      <c r="D678" s="8"/>
      <c r="E678" s="9"/>
      <c r="F678" s="9"/>
      <c r="G678" s="10"/>
      <c r="H678" s="10"/>
      <c r="I678" s="11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7"/>
      <c r="B679" s="7"/>
      <c r="C679" s="5"/>
      <c r="D679" s="8"/>
      <c r="E679" s="9"/>
      <c r="F679" s="9"/>
      <c r="G679" s="10"/>
      <c r="H679" s="10"/>
      <c r="I679" s="11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7"/>
      <c r="B680" s="7"/>
      <c r="C680" s="5"/>
      <c r="D680" s="8"/>
      <c r="E680" s="9"/>
      <c r="F680" s="9"/>
      <c r="G680" s="10"/>
      <c r="H680" s="10"/>
      <c r="I680" s="11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7"/>
      <c r="B681" s="7"/>
      <c r="C681" s="5"/>
      <c r="D681" s="8"/>
      <c r="E681" s="9"/>
      <c r="F681" s="9"/>
      <c r="G681" s="10"/>
      <c r="H681" s="10"/>
      <c r="I681" s="11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7"/>
      <c r="B682" s="7"/>
      <c r="C682" s="5"/>
      <c r="D682" s="8"/>
      <c r="E682" s="9"/>
      <c r="F682" s="9"/>
      <c r="G682" s="10"/>
      <c r="H682" s="10"/>
      <c r="I682" s="11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7"/>
      <c r="B683" s="7"/>
      <c r="C683" s="5"/>
      <c r="D683" s="8"/>
      <c r="E683" s="9"/>
      <c r="F683" s="9"/>
      <c r="G683" s="10"/>
      <c r="H683" s="10"/>
      <c r="I683" s="11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7"/>
      <c r="B684" s="7"/>
      <c r="C684" s="5"/>
      <c r="D684" s="8"/>
      <c r="E684" s="9"/>
      <c r="F684" s="9"/>
      <c r="G684" s="10"/>
      <c r="H684" s="10"/>
      <c r="I684" s="11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7"/>
      <c r="B685" s="7"/>
      <c r="C685" s="5"/>
      <c r="D685" s="8"/>
      <c r="E685" s="9"/>
      <c r="F685" s="9"/>
      <c r="G685" s="10"/>
      <c r="H685" s="10"/>
      <c r="I685" s="11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7"/>
      <c r="B686" s="7"/>
      <c r="C686" s="5"/>
      <c r="D686" s="8"/>
      <c r="E686" s="9"/>
      <c r="F686" s="9"/>
      <c r="G686" s="10"/>
      <c r="H686" s="10"/>
      <c r="I686" s="11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7"/>
      <c r="B687" s="7"/>
      <c r="C687" s="5"/>
      <c r="D687" s="8"/>
      <c r="E687" s="9"/>
      <c r="F687" s="9"/>
      <c r="G687" s="10"/>
      <c r="H687" s="10"/>
      <c r="I687" s="11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7"/>
      <c r="B688" s="7"/>
      <c r="C688" s="5"/>
      <c r="D688" s="8"/>
      <c r="E688" s="9"/>
      <c r="F688" s="9"/>
      <c r="G688" s="10"/>
      <c r="H688" s="10"/>
      <c r="I688" s="11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7"/>
      <c r="B689" s="7"/>
      <c r="C689" s="5"/>
      <c r="D689" s="8"/>
      <c r="E689" s="9"/>
      <c r="F689" s="9"/>
      <c r="G689" s="10"/>
      <c r="H689" s="10"/>
      <c r="I689" s="11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7"/>
      <c r="B690" s="7"/>
      <c r="C690" s="5"/>
      <c r="D690" s="8"/>
      <c r="E690" s="9"/>
      <c r="F690" s="9"/>
      <c r="G690" s="10"/>
      <c r="H690" s="10"/>
      <c r="I690" s="11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7"/>
      <c r="B691" s="7"/>
      <c r="C691" s="5"/>
      <c r="D691" s="8"/>
      <c r="E691" s="9"/>
      <c r="F691" s="9"/>
      <c r="G691" s="10"/>
      <c r="H691" s="10"/>
      <c r="I691" s="11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7"/>
      <c r="B692" s="7"/>
      <c r="C692" s="5"/>
      <c r="D692" s="8"/>
      <c r="E692" s="9"/>
      <c r="F692" s="9"/>
      <c r="G692" s="10"/>
      <c r="H692" s="10"/>
      <c r="I692" s="11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7"/>
      <c r="B693" s="7"/>
      <c r="C693" s="5"/>
      <c r="D693" s="8"/>
      <c r="E693" s="9"/>
      <c r="F693" s="9"/>
      <c r="G693" s="10"/>
      <c r="H693" s="10"/>
      <c r="I693" s="11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7"/>
      <c r="B694" s="7"/>
      <c r="C694" s="5"/>
      <c r="D694" s="8"/>
      <c r="E694" s="9"/>
      <c r="F694" s="9"/>
      <c r="G694" s="10"/>
      <c r="H694" s="10"/>
      <c r="I694" s="11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7"/>
      <c r="B695" s="7"/>
      <c r="C695" s="5"/>
      <c r="D695" s="8"/>
      <c r="E695" s="9"/>
      <c r="F695" s="9"/>
      <c r="G695" s="10"/>
      <c r="H695" s="10"/>
      <c r="I695" s="11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7"/>
      <c r="B696" s="7"/>
      <c r="C696" s="5"/>
      <c r="D696" s="8"/>
      <c r="E696" s="9"/>
      <c r="F696" s="9"/>
      <c r="G696" s="10"/>
      <c r="H696" s="10"/>
      <c r="I696" s="11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7"/>
      <c r="B697" s="7"/>
      <c r="C697" s="5"/>
      <c r="D697" s="8"/>
      <c r="E697" s="9"/>
      <c r="F697" s="9"/>
      <c r="G697" s="10"/>
      <c r="H697" s="10"/>
      <c r="I697" s="11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7"/>
      <c r="B698" s="7"/>
      <c r="C698" s="5"/>
      <c r="D698" s="8"/>
      <c r="E698" s="9"/>
      <c r="F698" s="9"/>
      <c r="G698" s="10"/>
      <c r="H698" s="10"/>
      <c r="I698" s="11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7"/>
      <c r="B699" s="7"/>
      <c r="C699" s="5"/>
      <c r="D699" s="8"/>
      <c r="E699" s="9"/>
      <c r="F699" s="9"/>
      <c r="G699" s="10"/>
      <c r="H699" s="10"/>
      <c r="I699" s="11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7"/>
      <c r="B700" s="7"/>
      <c r="C700" s="5"/>
      <c r="D700" s="8"/>
      <c r="E700" s="9"/>
      <c r="F700" s="9"/>
      <c r="G700" s="10"/>
      <c r="H700" s="10"/>
      <c r="I700" s="11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7"/>
      <c r="B701" s="7"/>
      <c r="C701" s="5"/>
      <c r="D701" s="8"/>
      <c r="E701" s="9"/>
      <c r="F701" s="9"/>
      <c r="G701" s="10"/>
      <c r="H701" s="10"/>
      <c r="I701" s="11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7"/>
      <c r="B702" s="7"/>
      <c r="C702" s="5"/>
      <c r="D702" s="8"/>
      <c r="E702" s="9"/>
      <c r="F702" s="9"/>
      <c r="G702" s="10"/>
      <c r="H702" s="10"/>
      <c r="I702" s="11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7"/>
      <c r="B703" s="7"/>
      <c r="C703" s="5"/>
      <c r="D703" s="8"/>
      <c r="E703" s="9"/>
      <c r="F703" s="9"/>
      <c r="G703" s="10"/>
      <c r="H703" s="10"/>
      <c r="I703" s="11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7"/>
      <c r="B704" s="7"/>
      <c r="C704" s="5"/>
      <c r="D704" s="8"/>
      <c r="E704" s="9"/>
      <c r="F704" s="9"/>
      <c r="G704" s="10"/>
      <c r="H704" s="10"/>
      <c r="I704" s="11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7"/>
      <c r="B705" s="7"/>
      <c r="C705" s="5"/>
      <c r="D705" s="8"/>
      <c r="E705" s="9"/>
      <c r="F705" s="9"/>
      <c r="G705" s="10"/>
      <c r="H705" s="10"/>
      <c r="I705" s="11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7"/>
      <c r="B706" s="7"/>
      <c r="C706" s="5"/>
      <c r="D706" s="8"/>
      <c r="E706" s="9"/>
      <c r="F706" s="9"/>
      <c r="G706" s="10"/>
      <c r="H706" s="10"/>
      <c r="I706" s="11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7"/>
      <c r="B707" s="7"/>
      <c r="C707" s="5"/>
      <c r="D707" s="8"/>
      <c r="E707" s="9"/>
      <c r="F707" s="9"/>
      <c r="G707" s="10"/>
      <c r="H707" s="10"/>
      <c r="I707" s="11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7"/>
      <c r="B708" s="7"/>
      <c r="C708" s="5"/>
      <c r="D708" s="8"/>
      <c r="E708" s="9"/>
      <c r="F708" s="9"/>
      <c r="G708" s="10"/>
      <c r="H708" s="10"/>
      <c r="I708" s="11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7"/>
      <c r="B709" s="7"/>
      <c r="C709" s="5"/>
      <c r="D709" s="8"/>
      <c r="E709" s="9"/>
      <c r="F709" s="9"/>
      <c r="G709" s="10"/>
      <c r="H709" s="10"/>
      <c r="I709" s="11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7"/>
      <c r="B710" s="7"/>
      <c r="C710" s="5"/>
      <c r="D710" s="8"/>
      <c r="E710" s="9"/>
      <c r="F710" s="9"/>
      <c r="G710" s="10"/>
      <c r="H710" s="10"/>
      <c r="I710" s="11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7"/>
      <c r="B711" s="7"/>
      <c r="C711" s="5"/>
      <c r="D711" s="8"/>
      <c r="E711" s="9"/>
      <c r="F711" s="9"/>
      <c r="G711" s="10"/>
      <c r="H711" s="10"/>
      <c r="I711" s="11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7"/>
      <c r="B712" s="7"/>
      <c r="C712" s="5"/>
      <c r="D712" s="8"/>
      <c r="E712" s="9"/>
      <c r="F712" s="9"/>
      <c r="G712" s="10"/>
      <c r="H712" s="10"/>
      <c r="I712" s="11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7"/>
      <c r="B713" s="7"/>
      <c r="C713" s="5"/>
      <c r="D713" s="8"/>
      <c r="E713" s="9"/>
      <c r="F713" s="9"/>
      <c r="G713" s="10"/>
      <c r="H713" s="10"/>
      <c r="I713" s="11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7"/>
      <c r="B714" s="7"/>
      <c r="C714" s="5"/>
      <c r="D714" s="8"/>
      <c r="E714" s="9"/>
      <c r="F714" s="9"/>
      <c r="G714" s="10"/>
      <c r="H714" s="10"/>
      <c r="I714" s="11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7"/>
      <c r="B715" s="7"/>
      <c r="C715" s="5"/>
      <c r="D715" s="8"/>
      <c r="E715" s="9"/>
      <c r="F715" s="9"/>
      <c r="G715" s="10"/>
      <c r="H715" s="10"/>
      <c r="I715" s="11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7"/>
      <c r="B716" s="7"/>
      <c r="C716" s="5"/>
      <c r="D716" s="8"/>
      <c r="E716" s="9"/>
      <c r="F716" s="9"/>
      <c r="G716" s="10"/>
      <c r="H716" s="10"/>
      <c r="I716" s="11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7"/>
      <c r="B717" s="7"/>
      <c r="C717" s="5"/>
      <c r="D717" s="8"/>
      <c r="E717" s="9"/>
      <c r="F717" s="9"/>
      <c r="G717" s="10"/>
      <c r="H717" s="10"/>
      <c r="I717" s="11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7"/>
      <c r="B718" s="7"/>
      <c r="C718" s="5"/>
      <c r="D718" s="8"/>
      <c r="E718" s="9"/>
      <c r="F718" s="9"/>
      <c r="G718" s="10"/>
      <c r="H718" s="10"/>
      <c r="I718" s="11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7"/>
      <c r="B719" s="7"/>
      <c r="C719" s="5"/>
      <c r="D719" s="8"/>
      <c r="E719" s="9"/>
      <c r="F719" s="9"/>
      <c r="G719" s="10"/>
      <c r="H719" s="10"/>
      <c r="I719" s="11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7"/>
      <c r="B720" s="7"/>
      <c r="C720" s="5"/>
      <c r="D720" s="8"/>
      <c r="E720" s="9"/>
      <c r="F720" s="9"/>
      <c r="G720" s="10"/>
      <c r="H720" s="10"/>
      <c r="I720" s="11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7"/>
      <c r="B721" s="7"/>
      <c r="C721" s="5"/>
      <c r="D721" s="8"/>
      <c r="E721" s="9"/>
      <c r="F721" s="9"/>
      <c r="G721" s="10"/>
      <c r="H721" s="10"/>
      <c r="I721" s="11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7"/>
      <c r="B722" s="7"/>
      <c r="C722" s="5"/>
      <c r="D722" s="8"/>
      <c r="E722" s="9"/>
      <c r="F722" s="9"/>
      <c r="G722" s="10"/>
      <c r="H722" s="10"/>
      <c r="I722" s="11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7"/>
      <c r="B723" s="7"/>
      <c r="C723" s="5"/>
      <c r="D723" s="8"/>
      <c r="E723" s="9"/>
      <c r="F723" s="9"/>
      <c r="G723" s="10"/>
      <c r="H723" s="10"/>
      <c r="I723" s="11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7"/>
      <c r="B724" s="7"/>
      <c r="C724" s="5"/>
      <c r="D724" s="8"/>
      <c r="E724" s="9"/>
      <c r="F724" s="9"/>
      <c r="G724" s="10"/>
      <c r="H724" s="10"/>
      <c r="I724" s="11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7"/>
      <c r="B725" s="7"/>
      <c r="C725" s="5"/>
      <c r="D725" s="8"/>
      <c r="E725" s="9"/>
      <c r="F725" s="9"/>
      <c r="G725" s="10"/>
      <c r="H725" s="10"/>
      <c r="I725" s="11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7"/>
      <c r="B726" s="7"/>
      <c r="C726" s="5"/>
      <c r="D726" s="8"/>
      <c r="E726" s="9"/>
      <c r="F726" s="9"/>
      <c r="G726" s="10"/>
      <c r="H726" s="10"/>
      <c r="I726" s="11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7"/>
      <c r="B727" s="7"/>
      <c r="C727" s="5"/>
      <c r="D727" s="8"/>
      <c r="E727" s="9"/>
      <c r="F727" s="9"/>
      <c r="G727" s="10"/>
      <c r="H727" s="10"/>
      <c r="I727" s="11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7"/>
      <c r="B728" s="7"/>
      <c r="C728" s="5"/>
      <c r="D728" s="8"/>
      <c r="E728" s="9"/>
      <c r="F728" s="9"/>
      <c r="G728" s="10"/>
      <c r="H728" s="10"/>
      <c r="I728" s="11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7"/>
      <c r="B729" s="7"/>
      <c r="C729" s="5"/>
      <c r="D729" s="8"/>
      <c r="E729" s="9"/>
      <c r="F729" s="9"/>
      <c r="G729" s="10"/>
      <c r="H729" s="10"/>
      <c r="I729" s="11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7"/>
      <c r="B730" s="7"/>
      <c r="C730" s="5"/>
      <c r="D730" s="8"/>
      <c r="E730" s="9"/>
      <c r="F730" s="9"/>
      <c r="G730" s="10"/>
      <c r="H730" s="10"/>
      <c r="I730" s="11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7"/>
      <c r="B731" s="7"/>
      <c r="C731" s="5"/>
      <c r="D731" s="8"/>
      <c r="E731" s="9"/>
      <c r="F731" s="9"/>
      <c r="G731" s="10"/>
      <c r="H731" s="10"/>
      <c r="I731" s="11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7"/>
      <c r="B732" s="7"/>
      <c r="C732" s="5"/>
      <c r="D732" s="8"/>
      <c r="E732" s="9"/>
      <c r="F732" s="9"/>
      <c r="G732" s="10"/>
      <c r="H732" s="10"/>
      <c r="I732" s="11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7"/>
      <c r="B733" s="7"/>
      <c r="C733" s="5"/>
      <c r="D733" s="8"/>
      <c r="E733" s="9"/>
      <c r="F733" s="9"/>
      <c r="G733" s="10"/>
      <c r="H733" s="10"/>
      <c r="I733" s="11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7"/>
      <c r="B734" s="7"/>
      <c r="C734" s="5"/>
      <c r="D734" s="8"/>
      <c r="E734" s="9"/>
      <c r="F734" s="9"/>
      <c r="G734" s="10"/>
      <c r="H734" s="10"/>
      <c r="I734" s="11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7"/>
      <c r="B735" s="7"/>
      <c r="C735" s="5"/>
      <c r="D735" s="8"/>
      <c r="E735" s="9"/>
      <c r="F735" s="9"/>
      <c r="G735" s="10"/>
      <c r="H735" s="10"/>
      <c r="I735" s="11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7"/>
      <c r="B736" s="7"/>
      <c r="C736" s="5"/>
      <c r="D736" s="8"/>
      <c r="E736" s="9"/>
      <c r="F736" s="9"/>
      <c r="G736" s="10"/>
      <c r="H736" s="10"/>
      <c r="I736" s="11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7"/>
      <c r="B737" s="7"/>
      <c r="C737" s="5"/>
      <c r="D737" s="8"/>
      <c r="E737" s="9"/>
      <c r="F737" s="9"/>
      <c r="G737" s="10"/>
      <c r="H737" s="10"/>
      <c r="I737" s="11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7"/>
      <c r="B738" s="7"/>
      <c r="C738" s="5"/>
      <c r="D738" s="8"/>
      <c r="E738" s="9"/>
      <c r="F738" s="9"/>
      <c r="G738" s="10"/>
      <c r="H738" s="10"/>
      <c r="I738" s="11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7"/>
      <c r="B739" s="7"/>
      <c r="C739" s="5"/>
      <c r="D739" s="8"/>
      <c r="E739" s="9"/>
      <c r="F739" s="9"/>
      <c r="G739" s="10"/>
      <c r="H739" s="10"/>
      <c r="I739" s="11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7"/>
      <c r="B740" s="7"/>
      <c r="C740" s="5"/>
      <c r="D740" s="8"/>
      <c r="E740" s="9"/>
      <c r="F740" s="9"/>
      <c r="G740" s="10"/>
      <c r="H740" s="10"/>
      <c r="I740" s="11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7"/>
      <c r="B741" s="7"/>
      <c r="C741" s="5"/>
      <c r="D741" s="8"/>
      <c r="E741" s="9"/>
      <c r="F741" s="9"/>
      <c r="G741" s="10"/>
      <c r="H741" s="10"/>
      <c r="I741" s="11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7"/>
      <c r="B742" s="7"/>
      <c r="C742" s="5"/>
      <c r="D742" s="8"/>
      <c r="E742" s="9"/>
      <c r="F742" s="9"/>
      <c r="G742" s="10"/>
      <c r="H742" s="10"/>
      <c r="I742" s="11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7"/>
      <c r="B743" s="7"/>
      <c r="C743" s="5"/>
      <c r="D743" s="8"/>
      <c r="E743" s="9"/>
      <c r="F743" s="9"/>
      <c r="G743" s="10"/>
      <c r="H743" s="10"/>
      <c r="I743" s="11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7"/>
      <c r="B744" s="7"/>
      <c r="C744" s="5"/>
      <c r="D744" s="8"/>
      <c r="E744" s="9"/>
      <c r="F744" s="9"/>
      <c r="G744" s="10"/>
      <c r="H744" s="10"/>
      <c r="I744" s="11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7"/>
      <c r="B745" s="7"/>
      <c r="C745" s="5"/>
      <c r="D745" s="8"/>
      <c r="E745" s="9"/>
      <c r="F745" s="9"/>
      <c r="G745" s="10"/>
      <c r="H745" s="10"/>
      <c r="I745" s="11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7"/>
      <c r="B746" s="7"/>
      <c r="C746" s="5"/>
      <c r="D746" s="8"/>
      <c r="E746" s="9"/>
      <c r="F746" s="9"/>
      <c r="G746" s="10"/>
      <c r="H746" s="10"/>
      <c r="I746" s="11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7"/>
      <c r="B747" s="7"/>
      <c r="C747" s="5"/>
      <c r="D747" s="8"/>
      <c r="E747" s="9"/>
      <c r="F747" s="9"/>
      <c r="G747" s="10"/>
      <c r="H747" s="10"/>
      <c r="I747" s="11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7"/>
      <c r="B748" s="7"/>
      <c r="C748" s="5"/>
      <c r="D748" s="8"/>
      <c r="E748" s="9"/>
      <c r="F748" s="9"/>
      <c r="G748" s="10"/>
      <c r="H748" s="10"/>
      <c r="I748" s="11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7"/>
      <c r="B749" s="7"/>
      <c r="C749" s="5"/>
      <c r="D749" s="8"/>
      <c r="E749" s="9"/>
      <c r="F749" s="9"/>
      <c r="G749" s="10"/>
      <c r="H749" s="10"/>
      <c r="I749" s="11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7"/>
      <c r="B750" s="7"/>
      <c r="C750" s="5"/>
      <c r="D750" s="8"/>
      <c r="E750" s="9"/>
      <c r="F750" s="9"/>
      <c r="G750" s="10"/>
      <c r="H750" s="10"/>
      <c r="I750" s="11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7"/>
      <c r="B751" s="7"/>
      <c r="C751" s="5"/>
      <c r="D751" s="8"/>
      <c r="E751" s="9"/>
      <c r="F751" s="9"/>
      <c r="G751" s="10"/>
      <c r="H751" s="10"/>
      <c r="I751" s="11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7"/>
      <c r="B752" s="7"/>
      <c r="C752" s="5"/>
      <c r="D752" s="8"/>
      <c r="E752" s="9"/>
      <c r="F752" s="9"/>
      <c r="G752" s="10"/>
      <c r="H752" s="10"/>
      <c r="I752" s="11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7"/>
      <c r="B753" s="7"/>
      <c r="C753" s="5"/>
      <c r="D753" s="8"/>
      <c r="E753" s="9"/>
      <c r="F753" s="9"/>
      <c r="G753" s="10"/>
      <c r="H753" s="10"/>
      <c r="I753" s="11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7"/>
      <c r="B754" s="7"/>
      <c r="C754" s="5"/>
      <c r="D754" s="8"/>
      <c r="E754" s="9"/>
      <c r="F754" s="9"/>
      <c r="G754" s="10"/>
      <c r="H754" s="10"/>
      <c r="I754" s="11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7"/>
      <c r="B755" s="7"/>
      <c r="C755" s="5"/>
      <c r="D755" s="8"/>
      <c r="E755" s="9"/>
      <c r="F755" s="9"/>
      <c r="G755" s="10"/>
      <c r="H755" s="10"/>
      <c r="I755" s="11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7"/>
      <c r="B756" s="7"/>
      <c r="C756" s="5"/>
      <c r="D756" s="8"/>
      <c r="E756" s="9"/>
      <c r="F756" s="9"/>
      <c r="G756" s="10"/>
      <c r="H756" s="10"/>
      <c r="I756" s="11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7"/>
      <c r="B757" s="7"/>
      <c r="C757" s="5"/>
      <c r="D757" s="8"/>
      <c r="E757" s="9"/>
      <c r="F757" s="9"/>
      <c r="G757" s="10"/>
      <c r="H757" s="10"/>
      <c r="I757" s="11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7"/>
      <c r="B758" s="7"/>
      <c r="C758" s="5"/>
      <c r="D758" s="8"/>
      <c r="E758" s="9"/>
      <c r="F758" s="9"/>
      <c r="G758" s="10"/>
      <c r="H758" s="10"/>
      <c r="I758" s="11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7"/>
      <c r="B759" s="7"/>
      <c r="C759" s="5"/>
      <c r="D759" s="8"/>
      <c r="E759" s="9"/>
      <c r="F759" s="9"/>
      <c r="G759" s="10"/>
      <c r="H759" s="10"/>
      <c r="I759" s="11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7"/>
      <c r="B760" s="7"/>
      <c r="C760" s="5"/>
      <c r="D760" s="8"/>
      <c r="E760" s="9"/>
      <c r="F760" s="9"/>
      <c r="G760" s="10"/>
      <c r="H760" s="10"/>
      <c r="I760" s="11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7"/>
      <c r="B761" s="7"/>
      <c r="C761" s="5"/>
      <c r="D761" s="8"/>
      <c r="E761" s="9"/>
      <c r="F761" s="9"/>
      <c r="G761" s="10"/>
      <c r="H761" s="10"/>
      <c r="I761" s="11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7"/>
      <c r="B762" s="7"/>
      <c r="C762" s="5"/>
      <c r="D762" s="8"/>
      <c r="E762" s="9"/>
      <c r="F762" s="9"/>
      <c r="G762" s="10"/>
      <c r="H762" s="10"/>
      <c r="I762" s="11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7"/>
      <c r="B763" s="7"/>
      <c r="C763" s="5"/>
      <c r="D763" s="8"/>
      <c r="E763" s="9"/>
      <c r="F763" s="9"/>
      <c r="G763" s="10"/>
      <c r="H763" s="10"/>
      <c r="I763" s="11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7"/>
      <c r="B764" s="7"/>
      <c r="C764" s="5"/>
      <c r="D764" s="8"/>
      <c r="E764" s="9"/>
      <c r="F764" s="9"/>
      <c r="G764" s="10"/>
      <c r="H764" s="10"/>
      <c r="I764" s="11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7"/>
      <c r="B765" s="7"/>
      <c r="C765" s="5"/>
      <c r="D765" s="8"/>
      <c r="E765" s="9"/>
      <c r="F765" s="9"/>
      <c r="G765" s="10"/>
      <c r="H765" s="10"/>
      <c r="I765" s="11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7"/>
      <c r="B766" s="7"/>
      <c r="C766" s="5"/>
      <c r="D766" s="8"/>
      <c r="E766" s="9"/>
      <c r="F766" s="9"/>
      <c r="G766" s="10"/>
      <c r="H766" s="10"/>
      <c r="I766" s="11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7"/>
      <c r="B767" s="7"/>
      <c r="C767" s="5"/>
      <c r="D767" s="8"/>
      <c r="E767" s="9"/>
      <c r="F767" s="9"/>
      <c r="G767" s="10"/>
      <c r="H767" s="10"/>
      <c r="I767" s="11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7"/>
      <c r="B768" s="7"/>
      <c r="C768" s="5"/>
      <c r="D768" s="8"/>
      <c r="E768" s="9"/>
      <c r="F768" s="9"/>
      <c r="G768" s="10"/>
      <c r="H768" s="10"/>
      <c r="I768" s="11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7"/>
      <c r="B769" s="7"/>
      <c r="C769" s="5"/>
      <c r="D769" s="8"/>
      <c r="E769" s="9"/>
      <c r="F769" s="9"/>
      <c r="G769" s="10"/>
      <c r="H769" s="10"/>
      <c r="I769" s="11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7"/>
      <c r="B770" s="7"/>
      <c r="C770" s="5"/>
      <c r="D770" s="8"/>
      <c r="E770" s="9"/>
      <c r="F770" s="9"/>
      <c r="G770" s="10"/>
      <c r="H770" s="10"/>
      <c r="I770" s="11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7"/>
      <c r="B771" s="7"/>
      <c r="C771" s="5"/>
      <c r="D771" s="8"/>
      <c r="E771" s="9"/>
      <c r="F771" s="9"/>
      <c r="G771" s="10"/>
      <c r="H771" s="10"/>
      <c r="I771" s="11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7"/>
      <c r="B772" s="7"/>
      <c r="C772" s="5"/>
      <c r="D772" s="8"/>
      <c r="E772" s="9"/>
      <c r="F772" s="9"/>
      <c r="G772" s="10"/>
      <c r="H772" s="10"/>
      <c r="I772" s="11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7"/>
      <c r="B773" s="7"/>
      <c r="C773" s="5"/>
      <c r="D773" s="8"/>
      <c r="E773" s="9"/>
      <c r="F773" s="9"/>
      <c r="G773" s="10"/>
      <c r="H773" s="10"/>
      <c r="I773" s="11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7"/>
      <c r="B774" s="7"/>
      <c r="C774" s="5"/>
      <c r="D774" s="8"/>
      <c r="E774" s="9"/>
      <c r="F774" s="9"/>
      <c r="G774" s="10"/>
      <c r="H774" s="10"/>
      <c r="I774" s="11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7"/>
      <c r="B775" s="7"/>
      <c r="C775" s="5"/>
      <c r="D775" s="8"/>
      <c r="E775" s="9"/>
      <c r="F775" s="9"/>
      <c r="G775" s="10"/>
      <c r="H775" s="10"/>
      <c r="I775" s="11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7"/>
      <c r="B776" s="7"/>
      <c r="C776" s="5"/>
      <c r="D776" s="8"/>
      <c r="E776" s="9"/>
      <c r="F776" s="9"/>
      <c r="G776" s="10"/>
      <c r="H776" s="10"/>
      <c r="I776" s="11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7"/>
      <c r="B777" s="7"/>
      <c r="C777" s="5"/>
      <c r="D777" s="8"/>
      <c r="E777" s="9"/>
      <c r="F777" s="9"/>
      <c r="G777" s="10"/>
      <c r="H777" s="10"/>
      <c r="I777" s="11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7"/>
      <c r="B778" s="7"/>
      <c r="C778" s="5"/>
      <c r="D778" s="8"/>
      <c r="E778" s="9"/>
      <c r="F778" s="9"/>
      <c r="G778" s="10"/>
      <c r="H778" s="10"/>
      <c r="I778" s="11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7"/>
      <c r="B779" s="7"/>
      <c r="C779" s="5"/>
      <c r="D779" s="8"/>
      <c r="E779" s="9"/>
      <c r="F779" s="9"/>
      <c r="G779" s="10"/>
      <c r="H779" s="10"/>
      <c r="I779" s="11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7"/>
      <c r="B780" s="7"/>
      <c r="C780" s="5"/>
      <c r="D780" s="8"/>
      <c r="E780" s="9"/>
      <c r="F780" s="9"/>
      <c r="G780" s="10"/>
      <c r="H780" s="10"/>
      <c r="I780" s="11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7"/>
      <c r="B781" s="7"/>
      <c r="C781" s="5"/>
      <c r="D781" s="8"/>
      <c r="E781" s="9"/>
      <c r="F781" s="9"/>
      <c r="G781" s="10"/>
      <c r="H781" s="10"/>
      <c r="I781" s="11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7"/>
      <c r="B782" s="7"/>
      <c r="C782" s="5"/>
      <c r="D782" s="8"/>
      <c r="E782" s="9"/>
      <c r="F782" s="9"/>
      <c r="G782" s="10"/>
      <c r="H782" s="10"/>
      <c r="I782" s="11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7"/>
      <c r="B783" s="7"/>
      <c r="C783" s="5"/>
      <c r="D783" s="8"/>
      <c r="E783" s="9"/>
      <c r="F783" s="9"/>
      <c r="G783" s="10"/>
      <c r="H783" s="10"/>
      <c r="I783" s="11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7"/>
      <c r="B784" s="7"/>
      <c r="C784" s="5"/>
      <c r="D784" s="8"/>
      <c r="E784" s="9"/>
      <c r="F784" s="9"/>
      <c r="G784" s="10"/>
      <c r="H784" s="10"/>
      <c r="I784" s="11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7"/>
      <c r="B785" s="7"/>
      <c r="C785" s="5"/>
      <c r="D785" s="8"/>
      <c r="E785" s="9"/>
      <c r="F785" s="9"/>
      <c r="G785" s="10"/>
      <c r="H785" s="10"/>
      <c r="I785" s="11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7"/>
      <c r="B786" s="7"/>
      <c r="C786" s="5"/>
      <c r="D786" s="8"/>
      <c r="E786" s="9"/>
      <c r="F786" s="9"/>
      <c r="G786" s="10"/>
      <c r="H786" s="10"/>
      <c r="I786" s="11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7"/>
      <c r="B787" s="7"/>
      <c r="C787" s="5"/>
      <c r="D787" s="8"/>
      <c r="E787" s="9"/>
      <c r="F787" s="9"/>
      <c r="G787" s="10"/>
      <c r="H787" s="10"/>
      <c r="I787" s="11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7"/>
      <c r="B788" s="7"/>
      <c r="C788" s="5"/>
      <c r="D788" s="8"/>
      <c r="E788" s="9"/>
      <c r="F788" s="9"/>
      <c r="G788" s="10"/>
      <c r="H788" s="10"/>
      <c r="I788" s="11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7"/>
      <c r="B789" s="7"/>
      <c r="C789" s="5"/>
      <c r="D789" s="8"/>
      <c r="E789" s="9"/>
      <c r="F789" s="9"/>
      <c r="G789" s="10"/>
      <c r="H789" s="10"/>
      <c r="I789" s="11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7"/>
      <c r="B790" s="7"/>
      <c r="C790" s="5"/>
      <c r="D790" s="8"/>
      <c r="E790" s="9"/>
      <c r="F790" s="9"/>
      <c r="G790" s="10"/>
      <c r="H790" s="10"/>
      <c r="I790" s="11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7"/>
      <c r="B791" s="7"/>
      <c r="C791" s="5"/>
      <c r="D791" s="8"/>
      <c r="E791" s="9"/>
      <c r="F791" s="9"/>
      <c r="G791" s="10"/>
      <c r="H791" s="10"/>
      <c r="I791" s="11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7"/>
      <c r="B792" s="7"/>
      <c r="C792" s="5"/>
      <c r="D792" s="8"/>
      <c r="E792" s="9"/>
      <c r="F792" s="9"/>
      <c r="G792" s="10"/>
      <c r="H792" s="10"/>
      <c r="I792" s="11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7"/>
      <c r="B793" s="7"/>
      <c r="C793" s="5"/>
      <c r="D793" s="8"/>
      <c r="E793" s="9"/>
      <c r="F793" s="9"/>
      <c r="G793" s="10"/>
      <c r="H793" s="10"/>
      <c r="I793" s="11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7"/>
      <c r="B794" s="7"/>
      <c r="C794" s="5"/>
      <c r="D794" s="8"/>
      <c r="E794" s="9"/>
      <c r="F794" s="9"/>
      <c r="G794" s="10"/>
      <c r="H794" s="10"/>
      <c r="I794" s="11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7"/>
      <c r="B795" s="7"/>
      <c r="C795" s="5"/>
      <c r="D795" s="8"/>
      <c r="E795" s="9"/>
      <c r="F795" s="9"/>
      <c r="G795" s="10"/>
      <c r="H795" s="10"/>
      <c r="I795" s="11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7"/>
      <c r="B796" s="7"/>
      <c r="C796" s="5"/>
      <c r="D796" s="8"/>
      <c r="E796" s="9"/>
      <c r="F796" s="9"/>
      <c r="G796" s="10"/>
      <c r="H796" s="10"/>
      <c r="I796" s="11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7"/>
      <c r="B797" s="7"/>
      <c r="C797" s="5"/>
      <c r="D797" s="8"/>
      <c r="E797" s="9"/>
      <c r="F797" s="9"/>
      <c r="G797" s="10"/>
      <c r="H797" s="10"/>
      <c r="I797" s="11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7"/>
      <c r="B798" s="7"/>
      <c r="C798" s="5"/>
      <c r="D798" s="8"/>
      <c r="E798" s="9"/>
      <c r="F798" s="9"/>
      <c r="G798" s="10"/>
      <c r="H798" s="10"/>
      <c r="I798" s="11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7"/>
      <c r="B799" s="7"/>
      <c r="C799" s="5"/>
      <c r="D799" s="8"/>
      <c r="E799" s="9"/>
      <c r="F799" s="9"/>
      <c r="G799" s="10"/>
      <c r="H799" s="10"/>
      <c r="I799" s="11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7"/>
      <c r="B800" s="7"/>
      <c r="C800" s="5"/>
      <c r="D800" s="8"/>
      <c r="E800" s="9"/>
      <c r="F800" s="9"/>
      <c r="G800" s="10"/>
      <c r="H800" s="10"/>
      <c r="I800" s="11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7"/>
      <c r="B801" s="7"/>
      <c r="C801" s="5"/>
      <c r="D801" s="8"/>
      <c r="E801" s="9"/>
      <c r="F801" s="9"/>
      <c r="G801" s="10"/>
      <c r="H801" s="10"/>
      <c r="I801" s="11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7"/>
      <c r="B802" s="7"/>
      <c r="C802" s="5"/>
      <c r="D802" s="8"/>
      <c r="E802" s="9"/>
      <c r="F802" s="9"/>
      <c r="G802" s="10"/>
      <c r="H802" s="10"/>
      <c r="I802" s="11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7"/>
      <c r="B803" s="7"/>
      <c r="C803" s="5"/>
      <c r="D803" s="8"/>
      <c r="E803" s="9"/>
      <c r="F803" s="9"/>
      <c r="G803" s="10"/>
      <c r="H803" s="10"/>
      <c r="I803" s="11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7"/>
      <c r="B804" s="7"/>
      <c r="C804" s="5"/>
      <c r="D804" s="8"/>
      <c r="E804" s="9"/>
      <c r="F804" s="9"/>
      <c r="G804" s="10"/>
      <c r="H804" s="10"/>
      <c r="I804" s="11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7"/>
      <c r="B805" s="7"/>
      <c r="C805" s="5"/>
      <c r="D805" s="8"/>
      <c r="E805" s="9"/>
      <c r="F805" s="9"/>
      <c r="G805" s="10"/>
      <c r="H805" s="10"/>
      <c r="I805" s="11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7"/>
      <c r="B806" s="7"/>
      <c r="C806" s="5"/>
      <c r="D806" s="8"/>
      <c r="E806" s="9"/>
      <c r="F806" s="9"/>
      <c r="G806" s="10"/>
      <c r="H806" s="10"/>
      <c r="I806" s="11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7"/>
      <c r="B807" s="7"/>
      <c r="C807" s="5"/>
      <c r="D807" s="8"/>
      <c r="E807" s="9"/>
      <c r="F807" s="9"/>
      <c r="G807" s="10"/>
      <c r="H807" s="10"/>
      <c r="I807" s="11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7"/>
      <c r="B808" s="7"/>
      <c r="C808" s="5"/>
      <c r="D808" s="8"/>
      <c r="E808" s="9"/>
      <c r="F808" s="9"/>
      <c r="G808" s="10"/>
      <c r="H808" s="10"/>
      <c r="I808" s="11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7"/>
      <c r="B809" s="7"/>
      <c r="C809" s="5"/>
      <c r="D809" s="8"/>
      <c r="E809" s="9"/>
      <c r="F809" s="9"/>
      <c r="G809" s="10"/>
      <c r="H809" s="10"/>
      <c r="I809" s="11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7"/>
      <c r="B810" s="7"/>
      <c r="C810" s="5"/>
      <c r="D810" s="8"/>
      <c r="E810" s="9"/>
      <c r="F810" s="9"/>
      <c r="G810" s="10"/>
      <c r="H810" s="10"/>
      <c r="I810" s="11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7"/>
      <c r="B811" s="7"/>
      <c r="C811" s="5"/>
      <c r="D811" s="8"/>
      <c r="E811" s="9"/>
      <c r="F811" s="9"/>
      <c r="G811" s="10"/>
      <c r="H811" s="10"/>
      <c r="I811" s="11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7"/>
      <c r="B812" s="7"/>
      <c r="C812" s="5"/>
      <c r="D812" s="8"/>
      <c r="E812" s="9"/>
      <c r="F812" s="9"/>
      <c r="G812" s="10"/>
      <c r="H812" s="10"/>
      <c r="I812" s="11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7"/>
      <c r="B813" s="7"/>
      <c r="C813" s="5"/>
      <c r="D813" s="8"/>
      <c r="E813" s="9"/>
      <c r="F813" s="9"/>
      <c r="G813" s="10"/>
      <c r="H813" s="10"/>
      <c r="I813" s="11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7"/>
      <c r="B814" s="7"/>
      <c r="C814" s="5"/>
      <c r="D814" s="8"/>
      <c r="E814" s="9"/>
      <c r="F814" s="9"/>
      <c r="G814" s="10"/>
      <c r="H814" s="10"/>
      <c r="I814" s="11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7"/>
      <c r="B815" s="7"/>
      <c r="C815" s="5"/>
      <c r="D815" s="8"/>
      <c r="E815" s="9"/>
      <c r="F815" s="9"/>
      <c r="G815" s="10"/>
      <c r="H815" s="10"/>
      <c r="I815" s="11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7"/>
      <c r="B816" s="7"/>
      <c r="C816" s="5"/>
      <c r="D816" s="8"/>
      <c r="E816" s="9"/>
      <c r="F816" s="9"/>
      <c r="G816" s="10"/>
      <c r="H816" s="10"/>
      <c r="I816" s="11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7"/>
      <c r="B817" s="7"/>
      <c r="C817" s="5"/>
      <c r="D817" s="8"/>
      <c r="E817" s="9"/>
      <c r="F817" s="9"/>
      <c r="G817" s="10"/>
      <c r="H817" s="10"/>
      <c r="I817" s="11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7"/>
      <c r="B818" s="7"/>
      <c r="C818" s="5"/>
      <c r="D818" s="8"/>
      <c r="E818" s="9"/>
      <c r="F818" s="9"/>
      <c r="G818" s="10"/>
      <c r="H818" s="10"/>
      <c r="I818" s="11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7"/>
      <c r="B819" s="7"/>
      <c r="C819" s="5"/>
      <c r="D819" s="8"/>
      <c r="E819" s="9"/>
      <c r="F819" s="9"/>
      <c r="G819" s="10"/>
      <c r="H819" s="10"/>
      <c r="I819" s="11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7"/>
      <c r="B820" s="7"/>
      <c r="C820" s="5"/>
      <c r="D820" s="8"/>
      <c r="E820" s="9"/>
      <c r="F820" s="9"/>
      <c r="G820" s="10"/>
      <c r="H820" s="10"/>
      <c r="I820" s="11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7"/>
      <c r="B821" s="7"/>
      <c r="C821" s="5"/>
      <c r="D821" s="8"/>
      <c r="E821" s="9"/>
      <c r="F821" s="9"/>
      <c r="G821" s="10"/>
      <c r="H821" s="10"/>
      <c r="I821" s="11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7"/>
      <c r="B822" s="7"/>
      <c r="C822" s="5"/>
      <c r="D822" s="8"/>
      <c r="E822" s="9"/>
      <c r="F822" s="9"/>
      <c r="G822" s="10"/>
      <c r="H822" s="10"/>
      <c r="I822" s="11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7"/>
      <c r="B823" s="7"/>
      <c r="C823" s="5"/>
      <c r="D823" s="8"/>
      <c r="E823" s="9"/>
      <c r="F823" s="9"/>
      <c r="G823" s="10"/>
      <c r="H823" s="10"/>
      <c r="I823" s="11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7"/>
      <c r="B824" s="7"/>
      <c r="C824" s="5"/>
      <c r="D824" s="8"/>
      <c r="E824" s="9"/>
      <c r="F824" s="9"/>
      <c r="G824" s="10"/>
      <c r="H824" s="10"/>
      <c r="I824" s="11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7"/>
      <c r="B825" s="7"/>
      <c r="C825" s="5"/>
      <c r="D825" s="8"/>
      <c r="E825" s="9"/>
      <c r="F825" s="9"/>
      <c r="G825" s="10"/>
      <c r="H825" s="10"/>
      <c r="I825" s="11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7"/>
      <c r="B826" s="7"/>
      <c r="C826" s="5"/>
      <c r="D826" s="8"/>
      <c r="E826" s="9"/>
      <c r="F826" s="9"/>
      <c r="G826" s="10"/>
      <c r="H826" s="10"/>
      <c r="I826" s="11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7"/>
      <c r="B827" s="7"/>
      <c r="C827" s="5"/>
      <c r="D827" s="8"/>
      <c r="E827" s="9"/>
      <c r="F827" s="9"/>
      <c r="G827" s="10"/>
      <c r="H827" s="10"/>
      <c r="I827" s="11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7"/>
      <c r="B828" s="7"/>
      <c r="C828" s="5"/>
      <c r="D828" s="8"/>
      <c r="E828" s="9"/>
      <c r="F828" s="9"/>
      <c r="G828" s="10"/>
      <c r="H828" s="10"/>
      <c r="I828" s="11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7"/>
      <c r="B829" s="7"/>
      <c r="C829" s="5"/>
      <c r="D829" s="8"/>
      <c r="E829" s="9"/>
      <c r="F829" s="9"/>
      <c r="G829" s="10"/>
      <c r="H829" s="10"/>
      <c r="I829" s="11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7"/>
      <c r="B830" s="7"/>
      <c r="C830" s="5"/>
      <c r="D830" s="8"/>
      <c r="E830" s="9"/>
      <c r="F830" s="9"/>
      <c r="G830" s="10"/>
      <c r="H830" s="10"/>
      <c r="I830" s="11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7"/>
      <c r="B831" s="7"/>
      <c r="C831" s="5"/>
      <c r="D831" s="8"/>
      <c r="E831" s="9"/>
      <c r="F831" s="9"/>
      <c r="G831" s="10"/>
      <c r="H831" s="10"/>
      <c r="I831" s="11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7"/>
      <c r="B832" s="7"/>
      <c r="C832" s="5"/>
      <c r="D832" s="8"/>
      <c r="E832" s="9"/>
      <c r="F832" s="9"/>
      <c r="G832" s="10"/>
      <c r="H832" s="10"/>
      <c r="I832" s="11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7"/>
      <c r="B833" s="7"/>
      <c r="C833" s="5"/>
      <c r="D833" s="8"/>
      <c r="E833" s="9"/>
      <c r="F833" s="9"/>
      <c r="G833" s="10"/>
      <c r="H833" s="10"/>
      <c r="I833" s="11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7"/>
      <c r="B834" s="7"/>
      <c r="C834" s="5"/>
      <c r="D834" s="8"/>
      <c r="E834" s="9"/>
      <c r="F834" s="9"/>
      <c r="G834" s="10"/>
      <c r="H834" s="10"/>
      <c r="I834" s="11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7"/>
      <c r="B835" s="7"/>
      <c r="C835" s="5"/>
      <c r="D835" s="8"/>
      <c r="E835" s="9"/>
      <c r="F835" s="9"/>
      <c r="G835" s="10"/>
      <c r="H835" s="10"/>
      <c r="I835" s="11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7"/>
      <c r="B836" s="7"/>
      <c r="C836" s="5"/>
      <c r="D836" s="8"/>
      <c r="E836" s="9"/>
      <c r="F836" s="9"/>
      <c r="G836" s="10"/>
      <c r="H836" s="10"/>
      <c r="I836" s="11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7"/>
      <c r="B837" s="7"/>
      <c r="C837" s="5"/>
      <c r="D837" s="8"/>
      <c r="E837" s="9"/>
      <c r="F837" s="9"/>
      <c r="G837" s="10"/>
      <c r="H837" s="10"/>
      <c r="I837" s="11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7"/>
      <c r="B838" s="7"/>
      <c r="C838" s="5"/>
      <c r="D838" s="8"/>
      <c r="E838" s="9"/>
      <c r="F838" s="9"/>
      <c r="G838" s="10"/>
      <c r="H838" s="10"/>
      <c r="I838" s="11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7"/>
      <c r="B839" s="7"/>
      <c r="C839" s="5"/>
      <c r="D839" s="8"/>
      <c r="E839" s="9"/>
      <c r="F839" s="9"/>
      <c r="G839" s="10"/>
      <c r="H839" s="10"/>
      <c r="I839" s="11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7"/>
      <c r="B840" s="7"/>
      <c r="C840" s="5"/>
      <c r="D840" s="8"/>
      <c r="E840" s="9"/>
      <c r="F840" s="9"/>
      <c r="G840" s="10"/>
      <c r="H840" s="10"/>
      <c r="I840" s="11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7"/>
      <c r="B841" s="7"/>
      <c r="C841" s="5"/>
      <c r="D841" s="8"/>
      <c r="E841" s="9"/>
      <c r="F841" s="9"/>
      <c r="G841" s="10"/>
      <c r="H841" s="10"/>
      <c r="I841" s="11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7"/>
      <c r="B842" s="7"/>
      <c r="C842" s="5"/>
      <c r="D842" s="8"/>
      <c r="E842" s="9"/>
      <c r="F842" s="9"/>
      <c r="G842" s="10"/>
      <c r="H842" s="10"/>
      <c r="I842" s="11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7"/>
      <c r="B843" s="7"/>
      <c r="C843" s="5"/>
      <c r="D843" s="8"/>
      <c r="E843" s="9"/>
      <c r="F843" s="9"/>
      <c r="G843" s="10"/>
      <c r="H843" s="10"/>
      <c r="I843" s="11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7"/>
      <c r="B844" s="7"/>
      <c r="C844" s="5"/>
      <c r="D844" s="8"/>
      <c r="E844" s="9"/>
      <c r="F844" s="9"/>
      <c r="G844" s="10"/>
      <c r="H844" s="10"/>
      <c r="I844" s="11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7"/>
      <c r="B845" s="7"/>
      <c r="C845" s="5"/>
      <c r="D845" s="8"/>
      <c r="E845" s="9"/>
      <c r="F845" s="9"/>
      <c r="G845" s="10"/>
      <c r="H845" s="10"/>
      <c r="I845" s="11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7"/>
      <c r="B846" s="7"/>
      <c r="C846" s="5"/>
      <c r="D846" s="8"/>
      <c r="E846" s="9"/>
      <c r="F846" s="9"/>
      <c r="G846" s="10"/>
      <c r="H846" s="10"/>
      <c r="I846" s="11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7"/>
      <c r="B847" s="7"/>
      <c r="C847" s="5"/>
      <c r="D847" s="8"/>
      <c r="E847" s="9"/>
      <c r="F847" s="9"/>
      <c r="G847" s="10"/>
      <c r="H847" s="10"/>
      <c r="I847" s="11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7"/>
      <c r="B848" s="7"/>
      <c r="C848" s="5"/>
      <c r="D848" s="8"/>
      <c r="E848" s="9"/>
      <c r="F848" s="9"/>
      <c r="G848" s="10"/>
      <c r="H848" s="10"/>
      <c r="I848" s="11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7"/>
      <c r="B849" s="7"/>
      <c r="C849" s="5"/>
      <c r="D849" s="8"/>
      <c r="E849" s="9"/>
      <c r="F849" s="9"/>
      <c r="G849" s="10"/>
      <c r="H849" s="10"/>
      <c r="I849" s="11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7"/>
      <c r="B850" s="7"/>
      <c r="C850" s="5"/>
      <c r="D850" s="8"/>
      <c r="E850" s="9"/>
      <c r="F850" s="9"/>
      <c r="G850" s="10"/>
      <c r="H850" s="10"/>
      <c r="I850" s="11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7"/>
      <c r="B851" s="7"/>
      <c r="C851" s="5"/>
      <c r="D851" s="8"/>
      <c r="E851" s="9"/>
      <c r="F851" s="9"/>
      <c r="G851" s="10"/>
      <c r="H851" s="10"/>
      <c r="I851" s="11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7"/>
      <c r="B852" s="7"/>
      <c r="C852" s="5"/>
      <c r="D852" s="8"/>
      <c r="E852" s="9"/>
      <c r="F852" s="9"/>
      <c r="G852" s="10"/>
      <c r="H852" s="10"/>
      <c r="I852" s="11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7"/>
      <c r="B853" s="7"/>
      <c r="C853" s="5"/>
      <c r="D853" s="8"/>
      <c r="E853" s="9"/>
      <c r="F853" s="9"/>
      <c r="G853" s="10"/>
      <c r="H853" s="10"/>
      <c r="I853" s="11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7"/>
      <c r="B854" s="7"/>
      <c r="C854" s="5"/>
      <c r="D854" s="8"/>
      <c r="E854" s="9"/>
      <c r="F854" s="9"/>
      <c r="G854" s="10"/>
      <c r="H854" s="10"/>
      <c r="I854" s="11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7"/>
      <c r="B855" s="7"/>
      <c r="C855" s="5"/>
      <c r="D855" s="8"/>
      <c r="E855" s="9"/>
      <c r="F855" s="9"/>
      <c r="G855" s="10"/>
      <c r="H855" s="10"/>
      <c r="I855" s="11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7"/>
      <c r="B856" s="7"/>
      <c r="C856" s="5"/>
      <c r="D856" s="8"/>
      <c r="E856" s="9"/>
      <c r="F856" s="9"/>
      <c r="G856" s="10"/>
      <c r="H856" s="10"/>
      <c r="I856" s="11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7"/>
      <c r="B857" s="7"/>
      <c r="C857" s="5"/>
      <c r="D857" s="8"/>
      <c r="E857" s="9"/>
      <c r="F857" s="9"/>
      <c r="G857" s="10"/>
      <c r="H857" s="10"/>
      <c r="I857" s="11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7"/>
      <c r="B858" s="7"/>
      <c r="C858" s="5"/>
      <c r="D858" s="8"/>
      <c r="E858" s="9"/>
      <c r="F858" s="9"/>
      <c r="G858" s="10"/>
      <c r="H858" s="10"/>
      <c r="I858" s="11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7"/>
      <c r="B859" s="7"/>
      <c r="C859" s="5"/>
      <c r="D859" s="8"/>
      <c r="E859" s="9"/>
      <c r="F859" s="9"/>
      <c r="G859" s="10"/>
      <c r="H859" s="10"/>
      <c r="I859" s="11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7"/>
      <c r="B860" s="7"/>
      <c r="C860" s="5"/>
      <c r="D860" s="8"/>
      <c r="E860" s="9"/>
      <c r="F860" s="9"/>
      <c r="G860" s="10"/>
      <c r="H860" s="10"/>
      <c r="I860" s="11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7"/>
      <c r="B861" s="7"/>
      <c r="C861" s="5"/>
      <c r="D861" s="8"/>
      <c r="E861" s="9"/>
      <c r="F861" s="9"/>
      <c r="G861" s="10"/>
      <c r="H861" s="10"/>
      <c r="I861" s="11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7"/>
      <c r="B862" s="7"/>
      <c r="C862" s="5"/>
      <c r="D862" s="8"/>
      <c r="E862" s="9"/>
      <c r="F862" s="9"/>
      <c r="G862" s="10"/>
      <c r="H862" s="10"/>
      <c r="I862" s="11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7"/>
      <c r="B863" s="7"/>
      <c r="C863" s="5"/>
      <c r="D863" s="8"/>
      <c r="E863" s="9"/>
      <c r="F863" s="9"/>
      <c r="G863" s="10"/>
      <c r="H863" s="10"/>
      <c r="I863" s="11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7"/>
      <c r="B864" s="7"/>
      <c r="C864" s="5"/>
      <c r="D864" s="8"/>
      <c r="E864" s="9"/>
      <c r="F864" s="9"/>
      <c r="G864" s="10"/>
      <c r="H864" s="10"/>
      <c r="I864" s="11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7"/>
      <c r="B865" s="7"/>
      <c r="C865" s="5"/>
      <c r="D865" s="8"/>
      <c r="E865" s="9"/>
      <c r="F865" s="9"/>
      <c r="G865" s="10"/>
      <c r="H865" s="10"/>
      <c r="I865" s="11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7"/>
      <c r="B866" s="7"/>
      <c r="C866" s="5"/>
      <c r="D866" s="8"/>
      <c r="E866" s="9"/>
      <c r="F866" s="9"/>
      <c r="G866" s="10"/>
      <c r="H866" s="10"/>
      <c r="I866" s="11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7"/>
      <c r="B867" s="7"/>
      <c r="C867" s="5"/>
      <c r="D867" s="8"/>
      <c r="E867" s="9"/>
      <c r="F867" s="9"/>
      <c r="G867" s="10"/>
      <c r="H867" s="10"/>
      <c r="I867" s="11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7"/>
      <c r="B868" s="7"/>
      <c r="C868" s="5"/>
      <c r="D868" s="8"/>
      <c r="E868" s="9"/>
      <c r="F868" s="9"/>
      <c r="G868" s="10"/>
      <c r="H868" s="10"/>
      <c r="I868" s="11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7"/>
      <c r="B869" s="7"/>
      <c r="C869" s="5"/>
      <c r="D869" s="8"/>
      <c r="E869" s="9"/>
      <c r="F869" s="9"/>
      <c r="G869" s="10"/>
      <c r="H869" s="10"/>
      <c r="I869" s="11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7"/>
      <c r="B870" s="7"/>
      <c r="C870" s="5"/>
      <c r="D870" s="8"/>
      <c r="E870" s="9"/>
      <c r="F870" s="9"/>
      <c r="G870" s="10"/>
      <c r="H870" s="10"/>
      <c r="I870" s="11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7"/>
      <c r="B871" s="7"/>
      <c r="C871" s="5"/>
      <c r="D871" s="8"/>
      <c r="E871" s="9"/>
      <c r="F871" s="9"/>
      <c r="G871" s="10"/>
      <c r="H871" s="10"/>
      <c r="I871" s="11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7"/>
      <c r="B872" s="7"/>
      <c r="C872" s="5"/>
      <c r="D872" s="8"/>
      <c r="E872" s="9"/>
      <c r="F872" s="9"/>
      <c r="G872" s="10"/>
      <c r="H872" s="10"/>
      <c r="I872" s="11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7"/>
      <c r="B873" s="7"/>
      <c r="C873" s="5"/>
      <c r="D873" s="8"/>
      <c r="E873" s="9"/>
      <c r="F873" s="9"/>
      <c r="G873" s="10"/>
      <c r="H873" s="10"/>
      <c r="I873" s="11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7"/>
      <c r="B874" s="7"/>
      <c r="C874" s="5"/>
      <c r="D874" s="8"/>
      <c r="E874" s="9"/>
      <c r="F874" s="9"/>
      <c r="G874" s="10"/>
      <c r="H874" s="10"/>
      <c r="I874" s="11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7"/>
      <c r="B875" s="7"/>
      <c r="C875" s="5"/>
      <c r="D875" s="8"/>
      <c r="E875" s="9"/>
      <c r="F875" s="9"/>
      <c r="G875" s="10"/>
      <c r="H875" s="10"/>
      <c r="I875" s="11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7"/>
      <c r="B876" s="7"/>
      <c r="C876" s="5"/>
      <c r="D876" s="8"/>
      <c r="E876" s="9"/>
      <c r="F876" s="9"/>
      <c r="G876" s="10"/>
      <c r="H876" s="10"/>
      <c r="I876" s="11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7"/>
      <c r="B877" s="7"/>
      <c r="C877" s="5"/>
      <c r="D877" s="8"/>
      <c r="E877" s="9"/>
      <c r="F877" s="9"/>
      <c r="G877" s="10"/>
      <c r="H877" s="10"/>
      <c r="I877" s="11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7"/>
      <c r="B878" s="7"/>
      <c r="C878" s="5"/>
      <c r="D878" s="8"/>
      <c r="E878" s="9"/>
      <c r="F878" s="9"/>
      <c r="G878" s="10"/>
      <c r="H878" s="10"/>
      <c r="I878" s="11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7"/>
      <c r="B879" s="7"/>
      <c r="C879" s="5"/>
      <c r="D879" s="8"/>
      <c r="E879" s="9"/>
      <c r="F879" s="9"/>
      <c r="G879" s="10"/>
      <c r="H879" s="10"/>
      <c r="I879" s="11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7"/>
      <c r="B880" s="7"/>
      <c r="C880" s="5"/>
      <c r="D880" s="8"/>
      <c r="E880" s="9"/>
      <c r="F880" s="9"/>
      <c r="G880" s="10"/>
      <c r="H880" s="10"/>
      <c r="I880" s="11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7"/>
      <c r="B881" s="7"/>
      <c r="C881" s="5"/>
      <c r="D881" s="8"/>
      <c r="E881" s="9"/>
      <c r="F881" s="9"/>
      <c r="G881" s="10"/>
      <c r="H881" s="10"/>
      <c r="I881" s="11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7"/>
      <c r="B882" s="7"/>
      <c r="C882" s="5"/>
      <c r="D882" s="8"/>
      <c r="E882" s="9"/>
      <c r="F882" s="9"/>
      <c r="G882" s="10"/>
      <c r="H882" s="10"/>
      <c r="I882" s="11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7"/>
      <c r="B883" s="7"/>
      <c r="C883" s="5"/>
      <c r="D883" s="8"/>
      <c r="E883" s="9"/>
      <c r="F883" s="9"/>
      <c r="G883" s="10"/>
      <c r="H883" s="10"/>
      <c r="I883" s="11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7"/>
      <c r="B884" s="7"/>
      <c r="C884" s="5"/>
      <c r="D884" s="8"/>
      <c r="E884" s="9"/>
      <c r="F884" s="9"/>
      <c r="G884" s="10"/>
      <c r="H884" s="10"/>
      <c r="I884" s="11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7"/>
      <c r="B885" s="7"/>
      <c r="C885" s="5"/>
      <c r="D885" s="8"/>
      <c r="E885" s="9"/>
      <c r="F885" s="9"/>
      <c r="G885" s="10"/>
      <c r="H885" s="10"/>
      <c r="I885" s="11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7"/>
      <c r="B886" s="7"/>
      <c r="C886" s="5"/>
      <c r="D886" s="8"/>
      <c r="E886" s="9"/>
      <c r="F886" s="9"/>
      <c r="G886" s="10"/>
      <c r="H886" s="10"/>
      <c r="I886" s="11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7"/>
      <c r="B887" s="7"/>
      <c r="C887" s="5"/>
      <c r="D887" s="8"/>
      <c r="E887" s="9"/>
      <c r="F887" s="9"/>
      <c r="G887" s="10"/>
      <c r="H887" s="10"/>
      <c r="I887" s="11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7"/>
      <c r="B888" s="7"/>
      <c r="C888" s="5"/>
      <c r="D888" s="8"/>
      <c r="E888" s="9"/>
      <c r="F888" s="9"/>
      <c r="G888" s="10"/>
      <c r="H888" s="10"/>
      <c r="I888" s="11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7"/>
      <c r="B889" s="7"/>
      <c r="C889" s="5"/>
      <c r="D889" s="8"/>
      <c r="E889" s="9"/>
      <c r="F889" s="9"/>
      <c r="G889" s="10"/>
      <c r="H889" s="10"/>
      <c r="I889" s="11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7"/>
      <c r="B890" s="7"/>
      <c r="C890" s="5"/>
      <c r="D890" s="8"/>
      <c r="E890" s="9"/>
      <c r="F890" s="9"/>
      <c r="G890" s="10"/>
      <c r="H890" s="10"/>
      <c r="I890" s="11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7"/>
      <c r="B891" s="7"/>
      <c r="C891" s="5"/>
      <c r="D891" s="8"/>
      <c r="E891" s="9"/>
      <c r="F891" s="9"/>
      <c r="G891" s="10"/>
      <c r="H891" s="10"/>
      <c r="I891" s="11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7"/>
      <c r="B892" s="7"/>
      <c r="C892" s="5"/>
      <c r="D892" s="8"/>
      <c r="E892" s="9"/>
      <c r="F892" s="9"/>
      <c r="G892" s="10"/>
      <c r="H892" s="10"/>
      <c r="I892" s="11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7"/>
      <c r="B893" s="7"/>
      <c r="C893" s="5"/>
      <c r="D893" s="8"/>
      <c r="E893" s="9"/>
      <c r="F893" s="9"/>
      <c r="G893" s="10"/>
      <c r="H893" s="10"/>
      <c r="I893" s="11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7"/>
      <c r="B894" s="7"/>
      <c r="C894" s="5"/>
      <c r="D894" s="8"/>
      <c r="E894" s="9"/>
      <c r="F894" s="9"/>
      <c r="G894" s="10"/>
      <c r="H894" s="10"/>
      <c r="I894" s="11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7"/>
      <c r="B895" s="7"/>
      <c r="C895" s="5"/>
      <c r="D895" s="8"/>
      <c r="E895" s="9"/>
      <c r="F895" s="9"/>
      <c r="G895" s="10"/>
      <c r="H895" s="10"/>
      <c r="I895" s="11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7"/>
      <c r="B896" s="7"/>
      <c r="C896" s="5"/>
      <c r="D896" s="8"/>
      <c r="E896" s="9"/>
      <c r="F896" s="9"/>
      <c r="G896" s="10"/>
      <c r="H896" s="10"/>
      <c r="I896" s="11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7"/>
      <c r="B897" s="7"/>
      <c r="C897" s="5"/>
      <c r="D897" s="8"/>
      <c r="E897" s="9"/>
      <c r="F897" s="9"/>
      <c r="G897" s="10"/>
      <c r="H897" s="10"/>
      <c r="I897" s="11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7"/>
      <c r="B898" s="7"/>
      <c r="C898" s="5"/>
      <c r="D898" s="8"/>
      <c r="E898" s="9"/>
      <c r="F898" s="9"/>
      <c r="G898" s="10"/>
      <c r="H898" s="10"/>
      <c r="I898" s="11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7"/>
      <c r="B899" s="7"/>
      <c r="C899" s="5"/>
      <c r="D899" s="8"/>
      <c r="E899" s="9"/>
      <c r="F899" s="9"/>
      <c r="G899" s="10"/>
      <c r="H899" s="10"/>
      <c r="I899" s="11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7"/>
      <c r="B900" s="7"/>
      <c r="C900" s="5"/>
      <c r="D900" s="8"/>
      <c r="E900" s="9"/>
      <c r="F900" s="9"/>
      <c r="G900" s="10"/>
      <c r="H900" s="10"/>
      <c r="I900" s="11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7"/>
      <c r="B901" s="7"/>
      <c r="C901" s="5"/>
      <c r="D901" s="8"/>
      <c r="E901" s="9"/>
      <c r="F901" s="9"/>
      <c r="G901" s="10"/>
      <c r="H901" s="10"/>
      <c r="I901" s="11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7"/>
      <c r="B902" s="7"/>
      <c r="C902" s="5"/>
      <c r="D902" s="8"/>
      <c r="E902" s="9"/>
      <c r="F902" s="9"/>
      <c r="G902" s="10"/>
      <c r="H902" s="10"/>
      <c r="I902" s="11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7"/>
      <c r="B903" s="7"/>
      <c r="C903" s="5"/>
      <c r="D903" s="8"/>
      <c r="E903" s="9"/>
      <c r="F903" s="9"/>
      <c r="G903" s="10"/>
      <c r="H903" s="10"/>
      <c r="I903" s="11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7"/>
      <c r="B904" s="7"/>
      <c r="C904" s="5"/>
      <c r="D904" s="8"/>
      <c r="E904" s="9"/>
      <c r="F904" s="9"/>
      <c r="G904" s="10"/>
      <c r="H904" s="10"/>
      <c r="I904" s="11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7"/>
      <c r="B905" s="7"/>
      <c r="C905" s="5"/>
      <c r="D905" s="8"/>
      <c r="E905" s="9"/>
      <c r="F905" s="9"/>
      <c r="G905" s="10"/>
      <c r="H905" s="10"/>
      <c r="I905" s="11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7"/>
      <c r="B906" s="7"/>
      <c r="C906" s="5"/>
      <c r="D906" s="8"/>
      <c r="E906" s="9"/>
      <c r="F906" s="9"/>
      <c r="G906" s="10"/>
      <c r="H906" s="10"/>
      <c r="I906" s="11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7"/>
      <c r="B907" s="7"/>
      <c r="C907" s="5"/>
      <c r="D907" s="8"/>
      <c r="E907" s="9"/>
      <c r="F907" s="9"/>
      <c r="G907" s="10"/>
      <c r="H907" s="10"/>
      <c r="I907" s="11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7"/>
      <c r="B908" s="7"/>
      <c r="C908" s="5"/>
      <c r="D908" s="8"/>
      <c r="E908" s="9"/>
      <c r="F908" s="9"/>
      <c r="G908" s="10"/>
      <c r="H908" s="10"/>
      <c r="I908" s="11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7"/>
      <c r="B909" s="7"/>
      <c r="C909" s="5"/>
      <c r="D909" s="8"/>
      <c r="E909" s="9"/>
      <c r="F909" s="9"/>
      <c r="G909" s="10"/>
      <c r="H909" s="10"/>
      <c r="I909" s="11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7"/>
      <c r="B910" s="7"/>
      <c r="C910" s="5"/>
      <c r="D910" s="8"/>
      <c r="E910" s="9"/>
      <c r="F910" s="9"/>
      <c r="G910" s="10"/>
      <c r="H910" s="10"/>
      <c r="I910" s="11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7"/>
      <c r="B911" s="7"/>
      <c r="C911" s="5"/>
      <c r="D911" s="8"/>
      <c r="E911" s="9"/>
      <c r="F911" s="9"/>
      <c r="G911" s="10"/>
      <c r="H911" s="10"/>
      <c r="I911" s="11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7"/>
      <c r="B912" s="7"/>
      <c r="C912" s="5"/>
      <c r="D912" s="8"/>
      <c r="E912" s="9"/>
      <c r="F912" s="9"/>
      <c r="G912" s="10"/>
      <c r="H912" s="10"/>
      <c r="I912" s="11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7"/>
      <c r="B913" s="7"/>
      <c r="C913" s="5"/>
      <c r="D913" s="8"/>
      <c r="E913" s="9"/>
      <c r="F913" s="9"/>
      <c r="G913" s="10"/>
      <c r="H913" s="10"/>
      <c r="I913" s="11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7"/>
      <c r="B914" s="7"/>
      <c r="C914" s="5"/>
      <c r="D914" s="8"/>
      <c r="E914" s="9"/>
      <c r="F914" s="9"/>
      <c r="G914" s="10"/>
      <c r="H914" s="10"/>
      <c r="I914" s="11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7"/>
      <c r="B915" s="7"/>
      <c r="C915" s="5"/>
      <c r="D915" s="8"/>
      <c r="E915" s="9"/>
      <c r="F915" s="9"/>
      <c r="G915" s="10"/>
      <c r="H915" s="10"/>
      <c r="I915" s="11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7"/>
      <c r="B916" s="7"/>
      <c r="C916" s="5"/>
      <c r="D916" s="8"/>
      <c r="E916" s="9"/>
      <c r="F916" s="9"/>
      <c r="G916" s="10"/>
      <c r="H916" s="10"/>
      <c r="I916" s="11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7"/>
      <c r="B917" s="7"/>
      <c r="C917" s="5"/>
      <c r="D917" s="8"/>
      <c r="E917" s="9"/>
      <c r="F917" s="9"/>
      <c r="G917" s="10"/>
      <c r="H917" s="10"/>
      <c r="I917" s="11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7"/>
      <c r="B918" s="7"/>
      <c r="C918" s="5"/>
      <c r="D918" s="8"/>
      <c r="E918" s="9"/>
      <c r="F918" s="9"/>
      <c r="G918" s="10"/>
      <c r="H918" s="10"/>
      <c r="I918" s="11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7"/>
      <c r="B919" s="7"/>
      <c r="C919" s="5"/>
      <c r="D919" s="8"/>
      <c r="E919" s="9"/>
      <c r="F919" s="9"/>
      <c r="G919" s="10"/>
      <c r="H919" s="10"/>
      <c r="I919" s="11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7"/>
      <c r="B920" s="7"/>
      <c r="C920" s="5"/>
      <c r="D920" s="8"/>
      <c r="E920" s="9"/>
      <c r="F920" s="9"/>
      <c r="G920" s="10"/>
      <c r="H920" s="10"/>
      <c r="I920" s="11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7"/>
      <c r="B921" s="7"/>
      <c r="C921" s="5"/>
      <c r="D921" s="8"/>
      <c r="E921" s="9"/>
      <c r="F921" s="9"/>
      <c r="G921" s="10"/>
      <c r="H921" s="10"/>
      <c r="I921" s="11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7"/>
      <c r="B922" s="7"/>
      <c r="C922" s="5"/>
      <c r="D922" s="8"/>
      <c r="E922" s="9"/>
      <c r="F922" s="9"/>
      <c r="G922" s="10"/>
      <c r="H922" s="10"/>
      <c r="I922" s="11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7"/>
      <c r="B923" s="7"/>
      <c r="C923" s="5"/>
      <c r="D923" s="8"/>
      <c r="E923" s="9"/>
      <c r="F923" s="9"/>
      <c r="G923" s="10"/>
      <c r="H923" s="10"/>
      <c r="I923" s="11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7"/>
      <c r="B924" s="7"/>
      <c r="C924" s="5"/>
      <c r="D924" s="8"/>
      <c r="E924" s="9"/>
      <c r="F924" s="9"/>
      <c r="G924" s="10"/>
      <c r="H924" s="10"/>
      <c r="I924" s="11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7"/>
      <c r="B925" s="7"/>
      <c r="C925" s="5"/>
      <c r="D925" s="8"/>
      <c r="E925" s="9"/>
      <c r="F925" s="9"/>
      <c r="G925" s="10"/>
      <c r="H925" s="10"/>
      <c r="I925" s="11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7"/>
      <c r="B926" s="7"/>
      <c r="C926" s="5"/>
      <c r="D926" s="8"/>
      <c r="E926" s="9"/>
      <c r="F926" s="9"/>
      <c r="G926" s="10"/>
      <c r="H926" s="10"/>
      <c r="I926" s="11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7"/>
      <c r="B927" s="7"/>
      <c r="C927" s="5"/>
      <c r="D927" s="8"/>
      <c r="E927" s="9"/>
      <c r="F927" s="9"/>
      <c r="G927" s="10"/>
      <c r="H927" s="10"/>
      <c r="I927" s="11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7"/>
      <c r="B928" s="7"/>
      <c r="C928" s="5"/>
      <c r="D928" s="8"/>
      <c r="E928" s="9"/>
      <c r="F928" s="9"/>
      <c r="G928" s="10"/>
      <c r="H928" s="10"/>
      <c r="I928" s="11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7"/>
      <c r="B929" s="7"/>
      <c r="C929" s="5"/>
      <c r="D929" s="8"/>
      <c r="E929" s="9"/>
      <c r="F929" s="9"/>
      <c r="G929" s="10"/>
      <c r="H929" s="10"/>
      <c r="I929" s="11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7"/>
      <c r="B930" s="7"/>
      <c r="C930" s="5"/>
      <c r="D930" s="8"/>
      <c r="E930" s="9"/>
      <c r="F930" s="9"/>
      <c r="G930" s="10"/>
      <c r="H930" s="10"/>
      <c r="I930" s="11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7"/>
      <c r="B931" s="7"/>
      <c r="C931" s="5"/>
      <c r="D931" s="8"/>
      <c r="E931" s="9"/>
      <c r="F931" s="9"/>
      <c r="G931" s="10"/>
      <c r="H931" s="10"/>
      <c r="I931" s="11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7"/>
      <c r="B932" s="7"/>
      <c r="C932" s="5"/>
      <c r="D932" s="8"/>
      <c r="E932" s="9"/>
      <c r="F932" s="9"/>
      <c r="G932" s="10"/>
      <c r="H932" s="10"/>
      <c r="I932" s="11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7"/>
      <c r="B933" s="7"/>
      <c r="C933" s="5"/>
      <c r="D933" s="8"/>
      <c r="E933" s="9"/>
      <c r="F933" s="9"/>
      <c r="G933" s="10"/>
      <c r="H933" s="10"/>
      <c r="I933" s="11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7"/>
      <c r="B934" s="7"/>
      <c r="C934" s="5"/>
      <c r="D934" s="8"/>
      <c r="E934" s="9"/>
      <c r="F934" s="9"/>
      <c r="G934" s="10"/>
      <c r="H934" s="10"/>
      <c r="I934" s="11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7"/>
      <c r="B935" s="7"/>
      <c r="C935" s="5"/>
      <c r="D935" s="8"/>
      <c r="E935" s="9"/>
      <c r="F935" s="9"/>
      <c r="G935" s="10"/>
      <c r="H935" s="10"/>
      <c r="I935" s="11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7"/>
      <c r="B936" s="7"/>
      <c r="C936" s="5"/>
      <c r="D936" s="8"/>
      <c r="E936" s="9"/>
      <c r="F936" s="9"/>
      <c r="G936" s="10"/>
      <c r="H936" s="10"/>
      <c r="I936" s="11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7"/>
      <c r="B937" s="7"/>
      <c r="C937" s="5"/>
      <c r="D937" s="8"/>
      <c r="E937" s="9"/>
      <c r="F937" s="9"/>
      <c r="G937" s="10"/>
      <c r="H937" s="10"/>
      <c r="I937" s="11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7"/>
      <c r="B938" s="7"/>
      <c r="C938" s="5"/>
      <c r="D938" s="8"/>
      <c r="E938" s="9"/>
      <c r="F938" s="9"/>
      <c r="G938" s="10"/>
      <c r="H938" s="10"/>
      <c r="I938" s="11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7"/>
      <c r="B939" s="7"/>
      <c r="C939" s="5"/>
      <c r="D939" s="8"/>
      <c r="E939" s="9"/>
      <c r="F939" s="9"/>
      <c r="G939" s="10"/>
      <c r="H939" s="10"/>
      <c r="I939" s="11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7"/>
      <c r="B940" s="7"/>
      <c r="C940" s="5"/>
      <c r="D940" s="8"/>
      <c r="E940" s="9"/>
      <c r="F940" s="9"/>
      <c r="G940" s="10"/>
      <c r="H940" s="10"/>
      <c r="I940" s="11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7"/>
      <c r="B941" s="7"/>
      <c r="C941" s="5"/>
      <c r="D941" s="8"/>
      <c r="E941" s="9"/>
      <c r="F941" s="9"/>
      <c r="G941" s="10"/>
      <c r="H941" s="10"/>
      <c r="I941" s="11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7"/>
      <c r="B942" s="7"/>
      <c r="C942" s="5"/>
      <c r="D942" s="8"/>
      <c r="E942" s="9"/>
      <c r="F942" s="9"/>
      <c r="G942" s="10"/>
      <c r="H942" s="10"/>
      <c r="I942" s="11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7"/>
      <c r="B943" s="7"/>
      <c r="C943" s="5"/>
      <c r="D943" s="8"/>
      <c r="E943" s="9"/>
      <c r="F943" s="9"/>
      <c r="G943" s="10"/>
      <c r="H943" s="10"/>
      <c r="I943" s="11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7"/>
      <c r="B944" s="7"/>
      <c r="C944" s="5"/>
      <c r="D944" s="8"/>
      <c r="E944" s="9"/>
      <c r="F944" s="9"/>
      <c r="G944" s="10"/>
      <c r="H944" s="10"/>
      <c r="I944" s="11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7"/>
      <c r="B945" s="7"/>
      <c r="C945" s="5"/>
      <c r="D945" s="8"/>
      <c r="E945" s="9"/>
      <c r="F945" s="9"/>
      <c r="G945" s="10"/>
      <c r="H945" s="10"/>
      <c r="I945" s="11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7"/>
      <c r="B946" s="7"/>
      <c r="C946" s="5"/>
      <c r="D946" s="8"/>
      <c r="E946" s="9"/>
      <c r="F946" s="9"/>
      <c r="G946" s="10"/>
      <c r="H946" s="10"/>
      <c r="I946" s="11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7"/>
      <c r="B947" s="7"/>
      <c r="C947" s="5"/>
      <c r="D947" s="8"/>
      <c r="E947" s="9"/>
      <c r="F947" s="9"/>
      <c r="G947" s="10"/>
      <c r="H947" s="10"/>
      <c r="I947" s="11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7"/>
      <c r="B948" s="7"/>
      <c r="C948" s="5"/>
      <c r="D948" s="8"/>
      <c r="E948" s="9"/>
      <c r="F948" s="9"/>
      <c r="G948" s="10"/>
      <c r="H948" s="10"/>
      <c r="I948" s="11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7"/>
      <c r="B949" s="7"/>
      <c r="C949" s="5"/>
      <c r="D949" s="8"/>
      <c r="E949" s="9"/>
      <c r="F949" s="9"/>
      <c r="G949" s="10"/>
      <c r="H949" s="10"/>
      <c r="I949" s="11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7"/>
      <c r="B950" s="7"/>
      <c r="C950" s="5"/>
      <c r="D950" s="8"/>
      <c r="E950" s="9"/>
      <c r="F950" s="9"/>
      <c r="G950" s="10"/>
      <c r="H950" s="10"/>
      <c r="I950" s="11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7"/>
      <c r="B951" s="7"/>
      <c r="C951" s="5"/>
      <c r="D951" s="8"/>
      <c r="E951" s="9"/>
      <c r="F951" s="9"/>
      <c r="G951" s="10"/>
      <c r="H951" s="10"/>
      <c r="I951" s="11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7"/>
      <c r="B952" s="7"/>
      <c r="C952" s="5"/>
      <c r="D952" s="8"/>
      <c r="E952" s="9"/>
      <c r="F952" s="9"/>
      <c r="G952" s="10"/>
      <c r="H952" s="10"/>
      <c r="I952" s="11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7"/>
      <c r="B953" s="7"/>
      <c r="C953" s="5"/>
      <c r="D953" s="8"/>
      <c r="E953" s="9"/>
      <c r="F953" s="9"/>
      <c r="G953" s="10"/>
      <c r="H953" s="10"/>
      <c r="I953" s="11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7"/>
      <c r="B954" s="7"/>
      <c r="C954" s="5"/>
      <c r="D954" s="8"/>
      <c r="E954" s="9"/>
      <c r="F954" s="9"/>
      <c r="G954" s="10"/>
      <c r="H954" s="10"/>
      <c r="I954" s="11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7"/>
      <c r="B955" s="7"/>
      <c r="C955" s="5"/>
      <c r="D955" s="8"/>
      <c r="E955" s="9"/>
      <c r="F955" s="9"/>
      <c r="G955" s="10"/>
      <c r="H955" s="10"/>
      <c r="I955" s="11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7"/>
      <c r="B956" s="7"/>
      <c r="C956" s="5"/>
      <c r="D956" s="8"/>
      <c r="E956" s="9"/>
      <c r="F956" s="9"/>
      <c r="G956" s="10"/>
      <c r="H956" s="10"/>
      <c r="I956" s="11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7"/>
      <c r="B957" s="7"/>
      <c r="C957" s="5"/>
      <c r="D957" s="8"/>
      <c r="E957" s="9"/>
      <c r="F957" s="9"/>
      <c r="G957" s="10"/>
      <c r="H957" s="10"/>
      <c r="I957" s="11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7"/>
      <c r="B958" s="7"/>
      <c r="C958" s="5"/>
      <c r="D958" s="8"/>
      <c r="E958" s="9"/>
      <c r="F958" s="9"/>
      <c r="G958" s="10"/>
      <c r="H958" s="10"/>
      <c r="I958" s="11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7"/>
      <c r="B959" s="7"/>
      <c r="C959" s="5"/>
      <c r="D959" s="8"/>
      <c r="E959" s="9"/>
      <c r="F959" s="9"/>
      <c r="G959" s="10"/>
      <c r="H959" s="10"/>
      <c r="I959" s="11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7"/>
      <c r="B960" s="7"/>
      <c r="C960" s="5"/>
      <c r="D960" s="8"/>
      <c r="E960" s="9"/>
      <c r="F960" s="9"/>
      <c r="G960" s="10"/>
      <c r="H960" s="10"/>
      <c r="I960" s="11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7"/>
      <c r="B961" s="7"/>
      <c r="C961" s="5"/>
      <c r="D961" s="8"/>
      <c r="E961" s="9"/>
      <c r="F961" s="9"/>
      <c r="G961" s="10"/>
      <c r="H961" s="10"/>
      <c r="I961" s="11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7"/>
      <c r="B962" s="7"/>
      <c r="C962" s="5"/>
      <c r="D962" s="8"/>
      <c r="E962" s="9"/>
      <c r="F962" s="9"/>
      <c r="G962" s="10"/>
      <c r="H962" s="10"/>
      <c r="I962" s="11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7"/>
      <c r="B963" s="7"/>
      <c r="C963" s="5"/>
      <c r="D963" s="8"/>
      <c r="E963" s="9"/>
      <c r="F963" s="9"/>
      <c r="G963" s="10"/>
      <c r="H963" s="10"/>
      <c r="I963" s="11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7"/>
      <c r="B964" s="7"/>
      <c r="C964" s="5"/>
      <c r="D964" s="8"/>
      <c r="E964" s="9"/>
      <c r="F964" s="9"/>
      <c r="G964" s="10"/>
      <c r="H964" s="10"/>
      <c r="I964" s="11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7"/>
      <c r="B965" s="7"/>
      <c r="C965" s="5"/>
      <c r="D965" s="8"/>
      <c r="E965" s="9"/>
      <c r="F965" s="9"/>
      <c r="G965" s="10"/>
      <c r="H965" s="10"/>
      <c r="I965" s="11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7"/>
      <c r="B966" s="7"/>
      <c r="C966" s="5"/>
      <c r="D966" s="8"/>
      <c r="E966" s="9"/>
      <c r="F966" s="9"/>
      <c r="G966" s="10"/>
      <c r="H966" s="10"/>
      <c r="I966" s="11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7"/>
      <c r="B967" s="7"/>
      <c r="C967" s="5"/>
      <c r="D967" s="8"/>
      <c r="E967" s="9"/>
      <c r="F967" s="9"/>
      <c r="G967" s="10"/>
      <c r="H967" s="10"/>
      <c r="I967" s="11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7"/>
      <c r="B968" s="7"/>
      <c r="C968" s="5"/>
      <c r="D968" s="8"/>
      <c r="E968" s="9"/>
      <c r="F968" s="9"/>
      <c r="G968" s="10"/>
      <c r="H968" s="10"/>
      <c r="I968" s="11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7"/>
      <c r="B969" s="7"/>
      <c r="C969" s="5"/>
      <c r="D969" s="8"/>
      <c r="E969" s="9"/>
      <c r="F969" s="9"/>
      <c r="G969" s="10"/>
      <c r="H969" s="10"/>
      <c r="I969" s="11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7"/>
      <c r="B970" s="7"/>
      <c r="C970" s="5"/>
      <c r="D970" s="8"/>
      <c r="E970" s="9"/>
      <c r="F970" s="9"/>
      <c r="G970" s="10"/>
      <c r="H970" s="10"/>
      <c r="I970" s="11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7"/>
      <c r="B971" s="7"/>
      <c r="C971" s="5"/>
      <c r="D971" s="8"/>
      <c r="E971" s="9"/>
      <c r="F971" s="9"/>
      <c r="G971" s="10"/>
      <c r="H971" s="10"/>
      <c r="I971" s="11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7"/>
      <c r="B972" s="7"/>
      <c r="C972" s="5"/>
      <c r="D972" s="8"/>
      <c r="E972" s="9"/>
      <c r="F972" s="9"/>
      <c r="G972" s="10"/>
      <c r="H972" s="10"/>
      <c r="I972" s="11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7"/>
      <c r="B973" s="7"/>
      <c r="C973" s="5"/>
      <c r="D973" s="8"/>
      <c r="E973" s="9"/>
      <c r="F973" s="9"/>
      <c r="G973" s="10"/>
      <c r="H973" s="10"/>
      <c r="I973" s="11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7"/>
      <c r="B974" s="7"/>
      <c r="C974" s="5"/>
      <c r="D974" s="8"/>
      <c r="E974" s="9"/>
      <c r="F974" s="9"/>
      <c r="G974" s="10"/>
      <c r="H974" s="10"/>
      <c r="I974" s="11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7"/>
      <c r="B975" s="7"/>
      <c r="C975" s="5"/>
      <c r="D975" s="8"/>
      <c r="E975" s="9"/>
      <c r="F975" s="9"/>
      <c r="G975" s="10"/>
      <c r="H975" s="10"/>
      <c r="I975" s="11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7"/>
      <c r="B976" s="7"/>
      <c r="C976" s="5"/>
      <c r="D976" s="8"/>
      <c r="E976" s="9"/>
      <c r="F976" s="9"/>
      <c r="G976" s="10"/>
      <c r="H976" s="10"/>
      <c r="I976" s="11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7"/>
      <c r="B977" s="7"/>
      <c r="C977" s="5"/>
      <c r="D977" s="8"/>
      <c r="E977" s="9"/>
      <c r="F977" s="9"/>
      <c r="G977" s="10"/>
      <c r="H977" s="10"/>
      <c r="I977" s="11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7"/>
      <c r="B978" s="7"/>
      <c r="C978" s="5"/>
      <c r="D978" s="8"/>
      <c r="E978" s="9"/>
      <c r="F978" s="9"/>
      <c r="G978" s="10"/>
      <c r="H978" s="10"/>
      <c r="I978" s="11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7"/>
      <c r="B979" s="7"/>
      <c r="C979" s="5"/>
      <c r="D979" s="8"/>
      <c r="E979" s="9"/>
      <c r="F979" s="9"/>
      <c r="G979" s="10"/>
      <c r="H979" s="10"/>
      <c r="I979" s="11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7"/>
      <c r="B980" s="7"/>
      <c r="C980" s="5"/>
      <c r="D980" s="8"/>
      <c r="E980" s="9"/>
      <c r="F980" s="9"/>
      <c r="G980" s="10"/>
      <c r="H980" s="10"/>
      <c r="I980" s="11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7"/>
      <c r="B981" s="7"/>
      <c r="C981" s="5"/>
      <c r="D981" s="8"/>
      <c r="E981" s="9"/>
      <c r="F981" s="9"/>
      <c r="G981" s="10"/>
      <c r="H981" s="10"/>
      <c r="I981" s="11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7"/>
      <c r="B982" s="7"/>
      <c r="C982" s="5"/>
      <c r="D982" s="8"/>
      <c r="E982" s="9"/>
      <c r="F982" s="9"/>
      <c r="G982" s="10"/>
      <c r="H982" s="10"/>
      <c r="I982" s="11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7"/>
      <c r="B983" s="7"/>
      <c r="C983" s="5"/>
      <c r="D983" s="8"/>
      <c r="E983" s="9"/>
      <c r="F983" s="9"/>
      <c r="G983" s="10"/>
      <c r="H983" s="10"/>
      <c r="I983" s="11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7"/>
      <c r="B984" s="7"/>
      <c r="C984" s="5"/>
      <c r="D984" s="8"/>
      <c r="E984" s="9"/>
      <c r="F984" s="9"/>
      <c r="G984" s="10"/>
      <c r="H984" s="10"/>
      <c r="I984" s="11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7"/>
      <c r="B985" s="7"/>
      <c r="C985" s="5"/>
      <c r="D985" s="8"/>
      <c r="E985" s="9"/>
      <c r="F985" s="9"/>
      <c r="G985" s="10"/>
      <c r="H985" s="10"/>
      <c r="I985" s="11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7"/>
      <c r="B986" s="7"/>
      <c r="C986" s="5"/>
      <c r="D986" s="8"/>
      <c r="E986" s="9"/>
      <c r="F986" s="9"/>
      <c r="G986" s="10"/>
      <c r="H986" s="10"/>
      <c r="I986" s="11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7"/>
      <c r="B987" s="7"/>
      <c r="C987" s="5"/>
      <c r="D987" s="8"/>
      <c r="E987" s="9"/>
      <c r="F987" s="9"/>
      <c r="G987" s="10"/>
      <c r="H987" s="10"/>
      <c r="I987" s="11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7"/>
      <c r="B988" s="7"/>
      <c r="C988" s="5"/>
      <c r="D988" s="8"/>
      <c r="E988" s="9"/>
      <c r="F988" s="9"/>
      <c r="G988" s="10"/>
      <c r="H988" s="10"/>
      <c r="I988" s="11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7"/>
      <c r="B989" s="7"/>
      <c r="C989" s="5"/>
      <c r="D989" s="8"/>
      <c r="E989" s="9"/>
      <c r="F989" s="9"/>
      <c r="G989" s="10"/>
      <c r="H989" s="10"/>
      <c r="I989" s="11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7"/>
      <c r="B990" s="7"/>
      <c r="C990" s="5"/>
      <c r="D990" s="8"/>
      <c r="E990" s="9"/>
      <c r="F990" s="9"/>
      <c r="G990" s="10"/>
      <c r="H990" s="10"/>
      <c r="I990" s="11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7"/>
      <c r="B991" s="7"/>
      <c r="C991" s="5"/>
      <c r="D991" s="8"/>
      <c r="E991" s="9"/>
      <c r="F991" s="9"/>
      <c r="G991" s="10"/>
      <c r="H991" s="10"/>
      <c r="I991" s="11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7"/>
      <c r="B992" s="7"/>
      <c r="C992" s="5"/>
      <c r="D992" s="8"/>
      <c r="E992" s="9"/>
      <c r="F992" s="9"/>
      <c r="G992" s="10"/>
      <c r="H992" s="10"/>
      <c r="I992" s="11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7"/>
      <c r="B993" s="7"/>
      <c r="C993" s="5"/>
      <c r="D993" s="8"/>
      <c r="E993" s="9"/>
      <c r="F993" s="9"/>
      <c r="G993" s="10"/>
      <c r="H993" s="10"/>
      <c r="I993" s="11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</sheetData>
  <autoFilter ref="$A$6:$I$22">
    <sortState ref="A6:I22">
      <sortCondition descending="1" ref="F6:F22"/>
    </sortState>
  </autoFilter>
  <mergeCells count="8">
    <mergeCell ref="A1:I1"/>
    <mergeCell ref="A2:I2"/>
    <mergeCell ref="A5:I5"/>
    <mergeCell ref="A7:I7"/>
    <mergeCell ref="A32:D32"/>
    <mergeCell ref="A33:I33"/>
    <mergeCell ref="A45:D45"/>
    <mergeCell ref="A46:D46"/>
  </mergeCells>
  <printOptions/>
  <pageMargins bottom="0.75" footer="0.0" header="0.0" left="0.2" right="0.2" top="0.75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4.71"/>
    <col customWidth="1" min="2" max="2" width="21.71"/>
    <col customWidth="1" min="3" max="3" width="10.57"/>
    <col customWidth="1" min="4" max="4" width="6.43"/>
    <col customWidth="1" min="5" max="8" width="11.29"/>
    <col customWidth="1" min="9" max="9" width="15.14"/>
    <col customWidth="1" min="10" max="12" width="9.14"/>
    <col customWidth="1" min="13" max="26" width="8.71"/>
  </cols>
  <sheetData>
    <row r="1" ht="16.5" customHeight="1">
      <c r="A1" s="1" t="s">
        <v>1</v>
      </c>
      <c r="B1" s="3"/>
      <c r="C1" s="3"/>
      <c r="D1" s="3"/>
      <c r="E1" s="3"/>
      <c r="F1" s="3"/>
      <c r="G1" s="3"/>
      <c r="H1" s="3"/>
      <c r="I1" s="4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6" t="s">
        <v>2</v>
      </c>
      <c r="B2" s="3"/>
      <c r="C2" s="3"/>
      <c r="D2" s="3"/>
      <c r="E2" s="3"/>
      <c r="F2" s="3"/>
      <c r="G2" s="3"/>
      <c r="H2" s="3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7"/>
      <c r="B3" s="7"/>
      <c r="C3" s="5"/>
      <c r="D3" s="8"/>
      <c r="E3" s="9"/>
      <c r="F3" s="9"/>
      <c r="G3" s="10"/>
      <c r="H3" s="10"/>
      <c r="I3" s="11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7"/>
      <c r="B4" s="7"/>
      <c r="C4" s="5"/>
      <c r="D4" s="8"/>
      <c r="E4" s="9"/>
      <c r="F4" s="9"/>
      <c r="G4" s="10"/>
      <c r="H4" s="10"/>
      <c r="I4" s="11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9.0" customHeight="1">
      <c r="A5" s="12"/>
      <c r="B5" s="3"/>
      <c r="C5" s="3"/>
      <c r="D5" s="3"/>
      <c r="E5" s="3"/>
      <c r="F5" s="3"/>
      <c r="G5" s="3"/>
      <c r="H5" s="3"/>
      <c r="I5" s="4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13" t="s">
        <v>3</v>
      </c>
      <c r="B6" s="15" t="s">
        <v>4</v>
      </c>
      <c r="C6" s="16" t="s">
        <v>5</v>
      </c>
      <c r="D6" s="17" t="s">
        <v>8</v>
      </c>
      <c r="E6" s="16" t="s">
        <v>7</v>
      </c>
      <c r="F6" s="16" t="s">
        <v>9</v>
      </c>
      <c r="G6" s="16" t="s">
        <v>10</v>
      </c>
      <c r="H6" s="16" t="s">
        <v>11</v>
      </c>
      <c r="I6" s="18" t="s">
        <v>12</v>
      </c>
      <c r="J6" s="19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9.5" customHeight="1">
      <c r="A7" s="20" t="s">
        <v>13</v>
      </c>
      <c r="B7" s="21"/>
      <c r="C7" s="21"/>
      <c r="D7" s="21"/>
      <c r="E7" s="21"/>
      <c r="F7" s="21"/>
      <c r="G7" s="21"/>
      <c r="H7" s="21"/>
      <c r="I7" s="22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6.5" customHeight="1">
      <c r="A8" s="23" t="s">
        <v>14</v>
      </c>
      <c r="B8" s="24" t="s">
        <v>15</v>
      </c>
      <c r="C8" s="25">
        <v>45791.0</v>
      </c>
      <c r="D8" s="26">
        <f>31</f>
        <v>31</v>
      </c>
      <c r="E8" s="27">
        <f>145000+55000</f>
        <v>200000</v>
      </c>
      <c r="F8" s="28">
        <f t="shared" ref="F8:F9" si="1">E8/31*D8</f>
        <v>200000</v>
      </c>
      <c r="G8" s="29">
        <f>50000+20000+20000+10000</f>
        <v>100000</v>
      </c>
      <c r="H8" s="30">
        <f t="shared" ref="H8:H22" si="2">F8-G8</f>
        <v>100000</v>
      </c>
      <c r="I8" s="32" t="s">
        <v>17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33" t="s">
        <v>18</v>
      </c>
      <c r="B9" s="35" t="s">
        <v>19</v>
      </c>
      <c r="C9" s="36">
        <v>43822.0</v>
      </c>
      <c r="D9" s="37">
        <f>31-0-2</f>
        <v>29</v>
      </c>
      <c r="E9" s="38">
        <v>120000.0</v>
      </c>
      <c r="F9" s="39">
        <f t="shared" si="1"/>
        <v>112258.0645</v>
      </c>
      <c r="G9" s="40"/>
      <c r="H9" s="41">
        <f t="shared" si="2"/>
        <v>112258.0645</v>
      </c>
      <c r="I9" s="43" t="s">
        <v>21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6.5" customHeight="1">
      <c r="A10" s="37" t="s">
        <v>22</v>
      </c>
      <c r="B10" s="35" t="s">
        <v>23</v>
      </c>
      <c r="C10" s="36">
        <v>45787.0</v>
      </c>
      <c r="D10" s="37">
        <f>31-1</f>
        <v>30</v>
      </c>
      <c r="E10" s="38">
        <v>75000.0</v>
      </c>
      <c r="F10" s="39">
        <f>E10/31*D10-1200</f>
        <v>71380.64516</v>
      </c>
      <c r="G10" s="40"/>
      <c r="H10" s="41">
        <f t="shared" si="2"/>
        <v>71380.64516</v>
      </c>
      <c r="I10" s="43" t="s">
        <v>24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6.5" customHeight="1">
      <c r="A11" s="37" t="s">
        <v>25</v>
      </c>
      <c r="B11" s="35" t="s">
        <v>26</v>
      </c>
      <c r="C11" s="36">
        <v>44251.0</v>
      </c>
      <c r="D11" s="37">
        <f>31-2-1</f>
        <v>28</v>
      </c>
      <c r="E11" s="38">
        <v>75000.0</v>
      </c>
      <c r="F11" s="39">
        <f>E11/31*D11-417-1250</f>
        <v>66074.93548</v>
      </c>
      <c r="G11" s="40"/>
      <c r="H11" s="41">
        <f t="shared" si="2"/>
        <v>66074.93548</v>
      </c>
      <c r="I11" s="43" t="s">
        <v>24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6.5" customHeight="1">
      <c r="A12" s="37" t="s">
        <v>27</v>
      </c>
      <c r="B12" s="35" t="s">
        <v>28</v>
      </c>
      <c r="C12" s="36">
        <v>45792.0</v>
      </c>
      <c r="D12" s="37">
        <f>31</f>
        <v>31</v>
      </c>
      <c r="E12" s="38">
        <v>50000.0</v>
      </c>
      <c r="F12" s="39">
        <f>E12/31*D12-1150</f>
        <v>48850</v>
      </c>
      <c r="G12" s="40"/>
      <c r="H12" s="41">
        <f t="shared" si="2"/>
        <v>48850</v>
      </c>
      <c r="I12" s="48" t="s">
        <v>32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6.5" customHeight="1">
      <c r="A13" s="37" t="s">
        <v>30</v>
      </c>
      <c r="B13" s="46" t="s">
        <v>31</v>
      </c>
      <c r="C13" s="36">
        <v>45871.0</v>
      </c>
      <c r="D13" s="37">
        <f>31-0-4</f>
        <v>27</v>
      </c>
      <c r="E13" s="47">
        <v>60000.0</v>
      </c>
      <c r="F13" s="39">
        <f t="shared" ref="F13:F14" si="3">E13/31*D13</f>
        <v>52258.06452</v>
      </c>
      <c r="G13" s="40"/>
      <c r="H13" s="41">
        <f t="shared" si="2"/>
        <v>52258.06452</v>
      </c>
      <c r="I13" s="48" t="s">
        <v>32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6.5" customHeight="1">
      <c r="A14" s="37" t="s">
        <v>34</v>
      </c>
      <c r="B14" s="46" t="s">
        <v>35</v>
      </c>
      <c r="C14" s="36">
        <v>45886.0</v>
      </c>
      <c r="D14" s="37">
        <f>31</f>
        <v>31</v>
      </c>
      <c r="E14" s="47">
        <v>25000.0</v>
      </c>
      <c r="F14" s="39">
        <f t="shared" si="3"/>
        <v>25000</v>
      </c>
      <c r="G14" s="40"/>
      <c r="H14" s="41">
        <f t="shared" si="2"/>
        <v>25000</v>
      </c>
      <c r="I14" s="44" t="s">
        <v>36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6.5" customHeight="1">
      <c r="A15" s="37" t="s">
        <v>37</v>
      </c>
      <c r="B15" s="50" t="s">
        <v>38</v>
      </c>
      <c r="C15" s="53">
        <v>45787.0</v>
      </c>
      <c r="D15" s="37">
        <f>31-0-1</f>
        <v>30</v>
      </c>
      <c r="E15" s="38">
        <v>20000.0</v>
      </c>
      <c r="F15" s="39">
        <f>E15/31*D15-5000-1450-1</f>
        <v>12903.83871</v>
      </c>
      <c r="G15" s="40">
        <f>8750+4154</f>
        <v>12904</v>
      </c>
      <c r="H15" s="41">
        <f t="shared" si="2"/>
        <v>-0.1612903226</v>
      </c>
      <c r="I15" s="48" t="s">
        <v>43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6.5" customHeight="1">
      <c r="A16" s="37" t="s">
        <v>41</v>
      </c>
      <c r="B16" s="50" t="s">
        <v>42</v>
      </c>
      <c r="C16" s="53">
        <v>45823.0</v>
      </c>
      <c r="D16" s="37">
        <f>31-1-1</f>
        <v>29</v>
      </c>
      <c r="E16" s="38">
        <v>20000.0</v>
      </c>
      <c r="F16" s="39">
        <f t="shared" ref="F16:F17" si="4">E16/31*D16-1050</f>
        <v>17659.67742</v>
      </c>
      <c r="G16" s="40"/>
      <c r="H16" s="41">
        <f t="shared" si="2"/>
        <v>17659.67742</v>
      </c>
      <c r="I16" s="48" t="s">
        <v>43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6.5" customHeight="1">
      <c r="A17" s="37" t="s">
        <v>44</v>
      </c>
      <c r="B17" s="55" t="s">
        <v>46</v>
      </c>
      <c r="C17" s="56">
        <v>45846.0</v>
      </c>
      <c r="D17" s="37">
        <f>31-1</f>
        <v>30</v>
      </c>
      <c r="E17" s="47">
        <v>35000.0</v>
      </c>
      <c r="F17" s="52">
        <f t="shared" si="4"/>
        <v>32820.96774</v>
      </c>
      <c r="G17" s="40"/>
      <c r="H17" s="54">
        <f t="shared" si="2"/>
        <v>32820.96774</v>
      </c>
      <c r="I17" s="44" t="s">
        <v>24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6.5" customHeight="1">
      <c r="A18" s="37" t="s">
        <v>47</v>
      </c>
      <c r="B18" s="57" t="s">
        <v>48</v>
      </c>
      <c r="C18" s="53">
        <v>45972.0</v>
      </c>
      <c r="D18" s="37">
        <f>31-1-2</f>
        <v>28</v>
      </c>
      <c r="E18" s="47">
        <v>35000.0</v>
      </c>
      <c r="F18" s="39">
        <f>E18/31*D18-1200</f>
        <v>30412.90323</v>
      </c>
      <c r="G18" s="40">
        <f>5000+21000+500</f>
        <v>26500</v>
      </c>
      <c r="H18" s="41">
        <f t="shared" si="2"/>
        <v>3912.903226</v>
      </c>
      <c r="I18" s="48" t="s">
        <v>40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6.5" customHeight="1">
      <c r="A19" s="37" t="s">
        <v>49</v>
      </c>
      <c r="B19" s="35" t="s">
        <v>50</v>
      </c>
      <c r="C19" s="36">
        <v>45972.0</v>
      </c>
      <c r="D19" s="37">
        <f>31-1</f>
        <v>30</v>
      </c>
      <c r="E19" s="47">
        <v>20000.0</v>
      </c>
      <c r="F19" s="39">
        <f>E19/31*D19-1200-1</f>
        <v>18153.83871</v>
      </c>
      <c r="G19" s="58">
        <f>500+1000+5000</f>
        <v>6500</v>
      </c>
      <c r="H19" s="41">
        <f t="shared" si="2"/>
        <v>11653.83871</v>
      </c>
      <c r="I19" s="48" t="s">
        <v>43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6.5" customHeight="1">
      <c r="A20" s="37" t="s">
        <v>51</v>
      </c>
      <c r="B20" s="35" t="s">
        <v>52</v>
      </c>
      <c r="C20" s="36">
        <v>45997.0</v>
      </c>
      <c r="D20" s="37">
        <f t="shared" ref="D20:D21" si="5">31</f>
        <v>31</v>
      </c>
      <c r="E20" s="47">
        <v>20000.0</v>
      </c>
      <c r="F20" s="39">
        <f t="shared" ref="F20:F21" si="6">E20/31*D20-1200</f>
        <v>18800</v>
      </c>
      <c r="G20" s="40"/>
      <c r="H20" s="41">
        <f t="shared" si="2"/>
        <v>18800</v>
      </c>
      <c r="I20" s="48" t="s">
        <v>43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6.5" customHeight="1">
      <c r="A21" s="37" t="s">
        <v>53</v>
      </c>
      <c r="B21" s="35" t="s">
        <v>54</v>
      </c>
      <c r="C21" s="36">
        <v>46023.0</v>
      </c>
      <c r="D21" s="37">
        <f t="shared" si="5"/>
        <v>31</v>
      </c>
      <c r="E21" s="47">
        <v>50000.0</v>
      </c>
      <c r="F21" s="39">
        <f t="shared" si="6"/>
        <v>48800</v>
      </c>
      <c r="G21" s="58">
        <f>2000</f>
        <v>2000</v>
      </c>
      <c r="H21" s="41">
        <f t="shared" si="2"/>
        <v>46800</v>
      </c>
      <c r="I21" s="48" t="s">
        <v>32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6.5" customHeight="1">
      <c r="A22" s="37" t="s">
        <v>55</v>
      </c>
      <c r="B22" s="50" t="s">
        <v>56</v>
      </c>
      <c r="C22" s="56">
        <v>46032.0</v>
      </c>
      <c r="D22" s="37">
        <f>31-1-1</f>
        <v>29</v>
      </c>
      <c r="E22" s="47">
        <v>25000.0</v>
      </c>
      <c r="F22" s="39">
        <f>E22/31*D22-1150</f>
        <v>22237.09677</v>
      </c>
      <c r="G22" s="40"/>
      <c r="H22" s="41">
        <f t="shared" si="2"/>
        <v>22237.09677</v>
      </c>
      <c r="I22" s="44" t="s">
        <v>36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6.5" customHeight="1">
      <c r="A23" s="37" t="s">
        <v>60</v>
      </c>
      <c r="B23" s="55" t="s">
        <v>61</v>
      </c>
      <c r="C23" s="56">
        <v>46054.0</v>
      </c>
      <c r="D23" s="37">
        <f>31-9-2</f>
        <v>20</v>
      </c>
      <c r="E23" s="47">
        <v>25000.0</v>
      </c>
      <c r="F23" s="52">
        <f t="shared" ref="F23:F24" si="7">E23/31*D23</f>
        <v>16129.03226</v>
      </c>
      <c r="G23" s="40"/>
      <c r="H23" s="54"/>
      <c r="I23" s="44" t="s">
        <v>36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6.5" customHeight="1">
      <c r="A24" s="37" t="s">
        <v>65</v>
      </c>
      <c r="B24" s="55" t="s">
        <v>67</v>
      </c>
      <c r="C24" s="56">
        <v>46144.0</v>
      </c>
      <c r="D24" s="37">
        <f>31-14</f>
        <v>17</v>
      </c>
      <c r="E24" s="38">
        <v>25000.0</v>
      </c>
      <c r="F24" s="52">
        <f t="shared" si="7"/>
        <v>13709.67742</v>
      </c>
      <c r="G24" s="58"/>
      <c r="H24" s="54"/>
      <c r="I24" s="43" t="s">
        <v>36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6.5" customHeight="1">
      <c r="A25" s="37" t="s">
        <v>68</v>
      </c>
      <c r="B25" s="35" t="s">
        <v>69</v>
      </c>
      <c r="C25" s="56">
        <v>46152.0</v>
      </c>
      <c r="D25" s="37">
        <f>31-10-2</f>
        <v>19</v>
      </c>
      <c r="E25" s="38">
        <v>25000.0</v>
      </c>
      <c r="F25" s="39">
        <f>E25/31*D25-350</f>
        <v>14972.58065</v>
      </c>
      <c r="G25" s="40"/>
      <c r="H25" s="41">
        <f t="shared" ref="H25:H31" si="8">F25-G25</f>
        <v>14972.58065</v>
      </c>
      <c r="I25" s="43" t="s">
        <v>36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6.5" customHeight="1">
      <c r="A26" s="37" t="s">
        <v>57</v>
      </c>
      <c r="B26" s="59" t="s">
        <v>58</v>
      </c>
      <c r="C26" s="60">
        <v>45854.0</v>
      </c>
      <c r="D26" s="37">
        <f>31-1-2</f>
        <v>28</v>
      </c>
      <c r="E26" s="38">
        <v>25000.0</v>
      </c>
      <c r="F26" s="39">
        <f>E26/31*D26-1000+1613-1</f>
        <v>23192.64516</v>
      </c>
      <c r="G26" s="40">
        <f>2000+21193</f>
        <v>23193</v>
      </c>
      <c r="H26" s="41">
        <f t="shared" si="8"/>
        <v>-0.3548387097</v>
      </c>
      <c r="I26" s="43" t="s">
        <v>36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6.5" customHeight="1">
      <c r="A27" s="37" t="s">
        <v>62</v>
      </c>
      <c r="B27" s="59" t="s">
        <v>63</v>
      </c>
      <c r="C27" s="60">
        <v>45910.0</v>
      </c>
      <c r="D27" s="37">
        <f>31-2-2</f>
        <v>27</v>
      </c>
      <c r="E27" s="38">
        <v>25000.0</v>
      </c>
      <c r="F27" s="39">
        <f>E27/31*D27</f>
        <v>21774.19355</v>
      </c>
      <c r="G27" s="40"/>
      <c r="H27" s="41">
        <f t="shared" si="8"/>
        <v>21774.19355</v>
      </c>
      <c r="I27" s="43" t="s">
        <v>43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6.5" customHeight="1">
      <c r="A28" s="37" t="s">
        <v>64</v>
      </c>
      <c r="B28" s="63" t="s">
        <v>66</v>
      </c>
      <c r="C28" s="60">
        <v>45857.0</v>
      </c>
      <c r="D28" s="37">
        <f>31-0-2</f>
        <v>29</v>
      </c>
      <c r="E28" s="61">
        <v>20000.0</v>
      </c>
      <c r="F28" s="39">
        <f>E28/31*D28-900-1</f>
        <v>17808.67742</v>
      </c>
      <c r="G28" s="40">
        <f>5000</f>
        <v>5000</v>
      </c>
      <c r="H28" s="41">
        <f t="shared" si="8"/>
        <v>12808.67742</v>
      </c>
      <c r="I28" s="43" t="s">
        <v>43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6.5" customHeight="1">
      <c r="A29" s="37" t="s">
        <v>70</v>
      </c>
      <c r="B29" s="63" t="s">
        <v>71</v>
      </c>
      <c r="C29" s="60">
        <v>45945.0</v>
      </c>
      <c r="D29" s="37">
        <f>31-0</f>
        <v>31</v>
      </c>
      <c r="E29" s="61">
        <v>150000.0</v>
      </c>
      <c r="F29" s="39">
        <f>E29/31*D29-4000</f>
        <v>146000</v>
      </c>
      <c r="G29" s="40"/>
      <c r="H29" s="41">
        <f t="shared" si="8"/>
        <v>146000</v>
      </c>
      <c r="I29" s="45" t="s">
        <v>16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6.5" customHeight="1">
      <c r="A30" s="37" t="s">
        <v>72</v>
      </c>
      <c r="B30" s="59" t="s">
        <v>73</v>
      </c>
      <c r="C30" s="60">
        <v>45931.0</v>
      </c>
      <c r="D30" s="37">
        <f>31</f>
        <v>31</v>
      </c>
      <c r="E30" s="61">
        <v>120000.0</v>
      </c>
      <c r="F30" s="39">
        <f>E30/31*D30-1100-750</f>
        <v>118150</v>
      </c>
      <c r="G30" s="40"/>
      <c r="H30" s="41">
        <f t="shared" si="8"/>
        <v>118150</v>
      </c>
      <c r="I30" s="42" t="s">
        <v>74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6.5" customHeight="1">
      <c r="A31" s="37" t="s">
        <v>75</v>
      </c>
      <c r="B31" s="59" t="s">
        <v>76</v>
      </c>
      <c r="C31" s="60">
        <v>46204.0</v>
      </c>
      <c r="D31" s="37">
        <f>31-3-2</f>
        <v>26</v>
      </c>
      <c r="E31" s="38">
        <f>30000</f>
        <v>30000</v>
      </c>
      <c r="F31" s="39">
        <f>E31/31*D31-300</f>
        <v>24861.29032</v>
      </c>
      <c r="G31" s="40">
        <f>24861</f>
        <v>24861</v>
      </c>
      <c r="H31" s="41">
        <f t="shared" si="8"/>
        <v>0.2903225806</v>
      </c>
      <c r="I31" s="43" t="s">
        <v>36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6.5" customHeight="1">
      <c r="A32" s="62"/>
      <c r="B32" s="35"/>
      <c r="C32" s="56"/>
      <c r="D32" s="34"/>
      <c r="E32" s="38"/>
      <c r="F32" s="39"/>
      <c r="G32" s="40"/>
      <c r="H32" s="41"/>
      <c r="I32" s="64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6.5" customHeight="1">
      <c r="A33" s="62"/>
      <c r="B33" s="35"/>
      <c r="C33" s="56"/>
      <c r="D33" s="34"/>
      <c r="E33" s="38"/>
      <c r="F33" s="39"/>
      <c r="G33" s="40"/>
      <c r="H33" s="41"/>
      <c r="I33" s="64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65"/>
      <c r="B34" s="35"/>
      <c r="C34" s="56"/>
      <c r="D34" s="34"/>
      <c r="E34" s="38"/>
      <c r="F34" s="39"/>
      <c r="G34" s="40"/>
      <c r="H34" s="41"/>
      <c r="I34" s="48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9.5" customHeight="1">
      <c r="A35" s="66" t="s">
        <v>78</v>
      </c>
      <c r="B35" s="21"/>
      <c r="C35" s="21"/>
      <c r="D35" s="67"/>
      <c r="E35" s="68">
        <f t="shared" ref="E35:H35" si="9">SUM(E8:E34)</f>
        <v>1275000</v>
      </c>
      <c r="F35" s="68">
        <f t="shared" si="9"/>
        <v>1174208.129</v>
      </c>
      <c r="G35" s="68">
        <f t="shared" si="9"/>
        <v>200958</v>
      </c>
      <c r="H35" s="68">
        <f t="shared" si="9"/>
        <v>943411.4194</v>
      </c>
      <c r="I35" s="69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9.5" customHeight="1">
      <c r="A36" s="70" t="s">
        <v>80</v>
      </c>
      <c r="B36" s="71"/>
      <c r="C36" s="71"/>
      <c r="D36" s="71"/>
      <c r="E36" s="71"/>
      <c r="F36" s="71"/>
      <c r="G36" s="71"/>
      <c r="H36" s="71"/>
      <c r="I36" s="72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73" t="s">
        <v>14</v>
      </c>
      <c r="B37" s="74" t="s">
        <v>81</v>
      </c>
      <c r="C37" s="75">
        <v>45783.0</v>
      </c>
      <c r="D37" s="76">
        <f t="shared" ref="D37:D38" si="10">31</f>
        <v>31</v>
      </c>
      <c r="E37" s="77">
        <f>60000</f>
        <v>60000</v>
      </c>
      <c r="F37" s="39">
        <f>E37/31*D37</f>
        <v>60000</v>
      </c>
      <c r="G37" s="78">
        <f>30000+20000</f>
        <v>50000</v>
      </c>
      <c r="H37" s="78">
        <f t="shared" ref="H37:H46" si="11">F37-G37</f>
        <v>10000</v>
      </c>
      <c r="I37" s="80" t="s">
        <v>32</v>
      </c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65" t="s">
        <v>18</v>
      </c>
      <c r="B38" s="74" t="s">
        <v>86</v>
      </c>
      <c r="C38" s="75">
        <v>46023.0</v>
      </c>
      <c r="D38" s="76">
        <f t="shared" si="10"/>
        <v>31</v>
      </c>
      <c r="E38" s="77">
        <v>35000.0</v>
      </c>
      <c r="F38" s="39">
        <f>E38/31*D38-850</f>
        <v>34150</v>
      </c>
      <c r="G38" s="78">
        <f t="shared" ref="G38:G39" si="12">10000</f>
        <v>10000</v>
      </c>
      <c r="H38" s="78">
        <f t="shared" si="11"/>
        <v>24150</v>
      </c>
      <c r="I38" s="80" t="s">
        <v>40</v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6.5" customHeight="1">
      <c r="A39" s="65" t="s">
        <v>22</v>
      </c>
      <c r="B39" s="81" t="s">
        <v>87</v>
      </c>
      <c r="C39" s="75">
        <v>45934.0</v>
      </c>
      <c r="D39" s="76">
        <f>31-0-1</f>
        <v>30</v>
      </c>
      <c r="E39" s="77">
        <v>20000.0</v>
      </c>
      <c r="F39" s="39">
        <f>E39/31*D39-50-1</f>
        <v>19303.83871</v>
      </c>
      <c r="G39" s="78">
        <f t="shared" si="12"/>
        <v>10000</v>
      </c>
      <c r="H39" s="78">
        <f t="shared" si="11"/>
        <v>9303.83871</v>
      </c>
      <c r="I39" s="80" t="s">
        <v>43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6.5" customHeight="1">
      <c r="A40" s="65" t="s">
        <v>25</v>
      </c>
      <c r="B40" s="82" t="s">
        <v>88</v>
      </c>
      <c r="C40" s="83">
        <v>46033.0</v>
      </c>
      <c r="D40" s="84">
        <f t="shared" ref="D40:D46" si="13">31</f>
        <v>31</v>
      </c>
      <c r="E40" s="85">
        <v>30000.0</v>
      </c>
      <c r="F40" s="39">
        <f>E40/31*D40-750</f>
        <v>29250</v>
      </c>
      <c r="G40" s="40">
        <f>10000+3000</f>
        <v>13000</v>
      </c>
      <c r="H40" s="40">
        <f t="shared" si="11"/>
        <v>16250</v>
      </c>
      <c r="I40" s="86" t="s">
        <v>90</v>
      </c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6.5" customHeight="1">
      <c r="A41" s="65" t="s">
        <v>27</v>
      </c>
      <c r="B41" s="87" t="s">
        <v>92</v>
      </c>
      <c r="C41" s="88">
        <v>45783.0</v>
      </c>
      <c r="D41" s="89">
        <f t="shared" si="13"/>
        <v>31</v>
      </c>
      <c r="E41" s="90">
        <v>20000.0</v>
      </c>
      <c r="F41" s="39">
        <f t="shared" ref="F41:F46" si="14">E41/31*D41</f>
        <v>20000</v>
      </c>
      <c r="G41" s="91">
        <f>1000+2000</f>
        <v>3000</v>
      </c>
      <c r="H41" s="91">
        <f t="shared" si="11"/>
        <v>17000</v>
      </c>
      <c r="I41" s="93" t="s">
        <v>95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65" t="s">
        <v>30</v>
      </c>
      <c r="B42" s="94" t="s">
        <v>96</v>
      </c>
      <c r="C42" s="96">
        <v>45322.0</v>
      </c>
      <c r="D42" s="89">
        <f t="shared" si="13"/>
        <v>31</v>
      </c>
      <c r="E42" s="90">
        <v>14000.0</v>
      </c>
      <c r="F42" s="39">
        <f t="shared" si="14"/>
        <v>14000</v>
      </c>
      <c r="G42" s="98">
        <f>14000</f>
        <v>14000</v>
      </c>
      <c r="H42" s="91">
        <f t="shared" si="11"/>
        <v>0</v>
      </c>
      <c r="I42" s="99" t="s">
        <v>102</v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65" t="s">
        <v>34</v>
      </c>
      <c r="B43" s="94" t="s">
        <v>103</v>
      </c>
      <c r="C43" s="96">
        <v>45322.0</v>
      </c>
      <c r="D43" s="89">
        <f t="shared" si="13"/>
        <v>31</v>
      </c>
      <c r="E43" s="90">
        <v>14000.0</v>
      </c>
      <c r="F43" s="39">
        <f t="shared" si="14"/>
        <v>14000</v>
      </c>
      <c r="G43" s="98"/>
      <c r="H43" s="91">
        <f t="shared" si="11"/>
        <v>14000</v>
      </c>
      <c r="I43" s="99" t="s">
        <v>102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65" t="s">
        <v>37</v>
      </c>
      <c r="B44" s="87" t="s">
        <v>105</v>
      </c>
      <c r="C44" s="88">
        <v>45773.0</v>
      </c>
      <c r="D44" s="89">
        <f t="shared" si="13"/>
        <v>31</v>
      </c>
      <c r="E44" s="90">
        <v>12000.0</v>
      </c>
      <c r="F44" s="39">
        <f t="shared" si="14"/>
        <v>12000</v>
      </c>
      <c r="G44" s="98"/>
      <c r="H44" s="91">
        <f t="shared" si="11"/>
        <v>12000</v>
      </c>
      <c r="I44" s="99" t="s">
        <v>102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65" t="s">
        <v>41</v>
      </c>
      <c r="B45" s="101" t="s">
        <v>106</v>
      </c>
      <c r="C45" s="102">
        <v>44992.0</v>
      </c>
      <c r="D45" s="103">
        <f t="shared" si="13"/>
        <v>31</v>
      </c>
      <c r="E45" s="104">
        <v>24000.0</v>
      </c>
      <c r="F45" s="39">
        <f t="shared" si="14"/>
        <v>24000</v>
      </c>
      <c r="G45" s="105">
        <f>14000+10000</f>
        <v>24000</v>
      </c>
      <c r="H45" s="105">
        <f t="shared" si="11"/>
        <v>0</v>
      </c>
      <c r="I45" s="106" t="s">
        <v>109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65" t="s">
        <v>44</v>
      </c>
      <c r="B46" s="107" t="s">
        <v>110</v>
      </c>
      <c r="C46" s="109">
        <v>46204.0</v>
      </c>
      <c r="D46" s="103">
        <f t="shared" si="13"/>
        <v>31</v>
      </c>
      <c r="E46" s="104">
        <f>23000</f>
        <v>23000</v>
      </c>
      <c r="F46" s="95">
        <f t="shared" si="14"/>
        <v>23000</v>
      </c>
      <c r="G46" s="105">
        <f>5000+5000+13000</f>
        <v>23000</v>
      </c>
      <c r="H46" s="105">
        <f t="shared" si="11"/>
        <v>0</v>
      </c>
      <c r="I46" s="106" t="s">
        <v>109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110"/>
      <c r="B47" s="111"/>
      <c r="C47" s="112"/>
      <c r="D47" s="113"/>
      <c r="E47" s="114"/>
      <c r="F47" s="114"/>
      <c r="G47" s="115"/>
      <c r="H47" s="115"/>
      <c r="I47" s="11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9.5" customHeight="1">
      <c r="A48" s="66" t="s">
        <v>78</v>
      </c>
      <c r="B48" s="21"/>
      <c r="C48" s="21"/>
      <c r="D48" s="67"/>
      <c r="E48" s="68">
        <f t="shared" ref="E48:H48" si="15">SUM(E37:E47)</f>
        <v>252000</v>
      </c>
      <c r="F48" s="68">
        <f t="shared" si="15"/>
        <v>249703.8387</v>
      </c>
      <c r="G48" s="68">
        <f t="shared" si="15"/>
        <v>147000</v>
      </c>
      <c r="H48" s="68">
        <f t="shared" si="15"/>
        <v>102703.8387</v>
      </c>
      <c r="I48" s="69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24.75" customHeight="1">
      <c r="A49" s="117" t="s">
        <v>78</v>
      </c>
      <c r="B49" s="21"/>
      <c r="C49" s="21"/>
      <c r="D49" s="67"/>
      <c r="E49" s="118">
        <f t="shared" ref="E49:H49" si="16">E35+E48</f>
        <v>1527000</v>
      </c>
      <c r="F49" s="118">
        <f t="shared" si="16"/>
        <v>1423911.968</v>
      </c>
      <c r="G49" s="118">
        <f t="shared" si="16"/>
        <v>347958</v>
      </c>
      <c r="H49" s="118">
        <f t="shared" si="16"/>
        <v>1046115.258</v>
      </c>
      <c r="I49" s="119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120"/>
      <c r="B50" s="120"/>
      <c r="C50" s="121"/>
      <c r="D50" s="11"/>
      <c r="E50" s="122"/>
      <c r="F50" s="122"/>
      <c r="G50" s="123"/>
      <c r="H50" s="123"/>
      <c r="I50" s="11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120"/>
      <c r="B51" s="120"/>
      <c r="C51" s="121"/>
      <c r="D51" s="11"/>
      <c r="E51" s="122"/>
      <c r="F51" s="122"/>
      <c r="G51" s="123"/>
      <c r="H51" s="123"/>
      <c r="I51" s="11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120"/>
      <c r="B52" s="120"/>
      <c r="C52" s="121"/>
      <c r="D52" s="11"/>
      <c r="E52" s="122"/>
      <c r="F52" s="122"/>
      <c r="G52" s="123"/>
      <c r="H52" s="123"/>
      <c r="I52" s="11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120"/>
      <c r="B53" s="120"/>
      <c r="C53" s="121"/>
      <c r="D53" s="11"/>
      <c r="E53" s="122"/>
      <c r="F53" s="122"/>
      <c r="G53" s="123"/>
      <c r="H53" s="123"/>
      <c r="I53" s="11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120"/>
      <c r="B54" s="120"/>
      <c r="C54" s="121"/>
      <c r="D54" s="11"/>
      <c r="E54" s="122"/>
      <c r="F54" s="122"/>
      <c r="G54" s="123"/>
      <c r="H54" s="123"/>
      <c r="I54" s="11"/>
      <c r="J54" s="5"/>
      <c r="K54" s="5"/>
      <c r="L54" s="5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6.5" customHeight="1">
      <c r="A55" s="120"/>
      <c r="B55" s="120"/>
      <c r="C55" s="121"/>
      <c r="D55" s="11"/>
      <c r="E55" s="122"/>
      <c r="F55" s="122"/>
      <c r="G55" s="123"/>
      <c r="H55" s="123"/>
      <c r="I55" s="11"/>
      <c r="J55" s="5"/>
      <c r="K55" s="5"/>
      <c r="L55" s="5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6.5" customHeight="1">
      <c r="A56" s="120"/>
      <c r="B56" s="120"/>
      <c r="C56" s="121"/>
      <c r="D56" s="11"/>
      <c r="E56" s="122"/>
      <c r="F56" s="122"/>
      <c r="G56" s="123"/>
      <c r="H56" s="123"/>
      <c r="I56" s="11"/>
      <c r="J56" s="5"/>
      <c r="K56" s="5"/>
      <c r="L56" s="5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6.5" customHeight="1">
      <c r="A57" s="120"/>
      <c r="B57" s="120"/>
      <c r="C57" s="121"/>
      <c r="D57" s="11"/>
      <c r="E57" s="122"/>
      <c r="F57" s="122"/>
      <c r="G57" s="123"/>
      <c r="H57" s="123"/>
      <c r="I57" s="11"/>
      <c r="J57" s="5"/>
      <c r="K57" s="5"/>
      <c r="L57" s="5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6.5" customHeight="1">
      <c r="A58" s="120"/>
      <c r="B58" s="120"/>
      <c r="C58" s="121"/>
      <c r="D58" s="11"/>
      <c r="E58" s="122"/>
      <c r="F58" s="122"/>
      <c r="G58" s="123"/>
      <c r="H58" s="123"/>
      <c r="I58" s="11"/>
      <c r="J58" s="5"/>
      <c r="K58" s="5"/>
      <c r="L58" s="5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6.5" customHeight="1">
      <c r="A59" s="7"/>
      <c r="B59" s="7"/>
      <c r="C59" s="5"/>
      <c r="D59" s="8"/>
      <c r="E59" s="9"/>
      <c r="F59" s="9"/>
      <c r="G59" s="10"/>
      <c r="H59" s="10"/>
      <c r="I59" s="11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7"/>
      <c r="B60" s="7"/>
      <c r="C60" s="5"/>
      <c r="D60" s="8"/>
      <c r="E60" s="9"/>
      <c r="F60" s="9"/>
      <c r="G60" s="10"/>
      <c r="H60" s="10"/>
      <c r="I60" s="11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7"/>
      <c r="B61" s="7"/>
      <c r="C61" s="5"/>
      <c r="D61" s="8"/>
      <c r="E61" s="9"/>
      <c r="F61" s="9"/>
      <c r="G61" s="10"/>
      <c r="H61" s="10"/>
      <c r="I61" s="11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7"/>
      <c r="B62" s="7"/>
      <c r="C62" s="5"/>
      <c r="D62" s="8"/>
      <c r="E62" s="9"/>
      <c r="F62" s="9"/>
      <c r="G62" s="10"/>
      <c r="H62" s="10"/>
      <c r="I62" s="11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7"/>
      <c r="B63" s="7"/>
      <c r="C63" s="5"/>
      <c r="D63" s="8"/>
      <c r="E63" s="9"/>
      <c r="F63" s="9"/>
      <c r="G63" s="10"/>
      <c r="H63" s="10"/>
      <c r="I63" s="11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7"/>
      <c r="B64" s="7"/>
      <c r="C64" s="5"/>
      <c r="D64" s="8"/>
      <c r="E64" s="9"/>
      <c r="F64" s="9"/>
      <c r="G64" s="10"/>
      <c r="H64" s="10"/>
      <c r="I64" s="11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7"/>
      <c r="B65" s="7"/>
      <c r="C65" s="5"/>
      <c r="D65" s="8"/>
      <c r="E65" s="9"/>
      <c r="F65" s="9"/>
      <c r="G65" s="10"/>
      <c r="H65" s="10"/>
      <c r="I65" s="11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7"/>
      <c r="B66" s="7"/>
      <c r="C66" s="5"/>
      <c r="D66" s="8"/>
      <c r="E66" s="9"/>
      <c r="F66" s="9"/>
      <c r="G66" s="10"/>
      <c r="H66" s="10"/>
      <c r="I66" s="11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7"/>
      <c r="B67" s="7"/>
      <c r="C67" s="5"/>
      <c r="D67" s="8"/>
      <c r="E67" s="9"/>
      <c r="F67" s="9"/>
      <c r="G67" s="10"/>
      <c r="H67" s="10"/>
      <c r="I67" s="11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7"/>
      <c r="B68" s="7"/>
      <c r="C68" s="5"/>
      <c r="D68" s="8"/>
      <c r="E68" s="9"/>
      <c r="F68" s="9"/>
      <c r="G68" s="10"/>
      <c r="H68" s="10"/>
      <c r="I68" s="11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7"/>
      <c r="B69" s="7"/>
      <c r="C69" s="5"/>
      <c r="D69" s="8"/>
      <c r="E69" s="9"/>
      <c r="F69" s="9"/>
      <c r="G69" s="10"/>
      <c r="H69" s="10"/>
      <c r="I69" s="11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7"/>
      <c r="B70" s="7"/>
      <c r="C70" s="5"/>
      <c r="D70" s="8"/>
      <c r="E70" s="9"/>
      <c r="F70" s="9"/>
      <c r="G70" s="10"/>
      <c r="H70" s="10"/>
      <c r="I70" s="11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7"/>
      <c r="B71" s="7"/>
      <c r="C71" s="5"/>
      <c r="D71" s="8"/>
      <c r="E71" s="9"/>
      <c r="F71" s="9"/>
      <c r="G71" s="10"/>
      <c r="H71" s="10"/>
      <c r="I71" s="11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7"/>
      <c r="B72" s="7"/>
      <c r="C72" s="5"/>
      <c r="D72" s="8"/>
      <c r="E72" s="9"/>
      <c r="F72" s="9"/>
      <c r="G72" s="10"/>
      <c r="H72" s="10"/>
      <c r="I72" s="11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7"/>
      <c r="B73" s="7"/>
      <c r="C73" s="5"/>
      <c r="D73" s="8"/>
      <c r="E73" s="9"/>
      <c r="F73" s="9"/>
      <c r="G73" s="10"/>
      <c r="H73" s="10"/>
      <c r="I73" s="11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7"/>
      <c r="B74" s="7"/>
      <c r="C74" s="5"/>
      <c r="D74" s="8"/>
      <c r="E74" s="9"/>
      <c r="F74" s="9"/>
      <c r="G74" s="10"/>
      <c r="H74" s="10"/>
      <c r="I74" s="11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7"/>
      <c r="B75" s="7"/>
      <c r="C75" s="5"/>
      <c r="D75" s="8"/>
      <c r="E75" s="9"/>
      <c r="F75" s="9"/>
      <c r="G75" s="10"/>
      <c r="H75" s="10"/>
      <c r="I75" s="11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7"/>
      <c r="B76" s="7"/>
      <c r="C76" s="5"/>
      <c r="D76" s="8"/>
      <c r="E76" s="9"/>
      <c r="F76" s="9"/>
      <c r="G76" s="10"/>
      <c r="H76" s="10"/>
      <c r="I76" s="11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7"/>
      <c r="B77" s="7"/>
      <c r="C77" s="5"/>
      <c r="D77" s="8"/>
      <c r="E77" s="9"/>
      <c r="F77" s="9"/>
      <c r="G77" s="10"/>
      <c r="H77" s="10"/>
      <c r="I77" s="11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7"/>
      <c r="B78" s="7"/>
      <c r="C78" s="5"/>
      <c r="D78" s="8"/>
      <c r="E78" s="9"/>
      <c r="F78" s="9"/>
      <c r="G78" s="10"/>
      <c r="H78" s="10"/>
      <c r="I78" s="11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7"/>
      <c r="B79" s="7"/>
      <c r="C79" s="5"/>
      <c r="D79" s="8"/>
      <c r="E79" s="9"/>
      <c r="F79" s="9"/>
      <c r="G79" s="10"/>
      <c r="H79" s="10"/>
      <c r="I79" s="11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7"/>
      <c r="B80" s="7"/>
      <c r="C80" s="5"/>
      <c r="D80" s="8"/>
      <c r="E80" s="9"/>
      <c r="F80" s="9"/>
      <c r="G80" s="10"/>
      <c r="H80" s="10"/>
      <c r="I80" s="11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7"/>
      <c r="B81" s="7"/>
      <c r="C81" s="5"/>
      <c r="D81" s="8"/>
      <c r="E81" s="9"/>
      <c r="F81" s="9"/>
      <c r="G81" s="10"/>
      <c r="H81" s="10"/>
      <c r="I81" s="11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7"/>
      <c r="B82" s="7"/>
      <c r="C82" s="5"/>
      <c r="D82" s="8"/>
      <c r="E82" s="9"/>
      <c r="F82" s="9"/>
      <c r="G82" s="10"/>
      <c r="H82" s="10"/>
      <c r="I82" s="11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7"/>
      <c r="B83" s="7"/>
      <c r="C83" s="5"/>
      <c r="D83" s="8"/>
      <c r="E83" s="9"/>
      <c r="F83" s="9"/>
      <c r="G83" s="10"/>
      <c r="H83" s="10"/>
      <c r="I83" s="11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7"/>
      <c r="B84" s="7"/>
      <c r="C84" s="5"/>
      <c r="D84" s="8"/>
      <c r="E84" s="9"/>
      <c r="F84" s="9"/>
      <c r="G84" s="10"/>
      <c r="H84" s="10"/>
      <c r="I84" s="11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7"/>
      <c r="B85" s="7"/>
      <c r="C85" s="5"/>
      <c r="D85" s="8"/>
      <c r="E85" s="9"/>
      <c r="F85" s="9"/>
      <c r="G85" s="10"/>
      <c r="H85" s="10"/>
      <c r="I85" s="11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7"/>
      <c r="B86" s="7"/>
      <c r="C86" s="5"/>
      <c r="D86" s="8"/>
      <c r="E86" s="9"/>
      <c r="F86" s="9"/>
      <c r="G86" s="10"/>
      <c r="H86" s="10"/>
      <c r="I86" s="11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7"/>
      <c r="B87" s="7"/>
      <c r="C87" s="5"/>
      <c r="D87" s="8"/>
      <c r="E87" s="9"/>
      <c r="F87" s="9"/>
      <c r="G87" s="10"/>
      <c r="H87" s="10"/>
      <c r="I87" s="11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7"/>
      <c r="B88" s="7"/>
      <c r="C88" s="5"/>
      <c r="D88" s="8"/>
      <c r="E88" s="9"/>
      <c r="F88" s="9"/>
      <c r="G88" s="10"/>
      <c r="H88" s="10"/>
      <c r="I88" s="11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7"/>
      <c r="B89" s="7"/>
      <c r="C89" s="5"/>
      <c r="D89" s="8"/>
      <c r="E89" s="9"/>
      <c r="F89" s="9"/>
      <c r="G89" s="10"/>
      <c r="H89" s="10"/>
      <c r="I89" s="11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7"/>
      <c r="B90" s="7"/>
      <c r="C90" s="5"/>
      <c r="D90" s="8"/>
      <c r="E90" s="9"/>
      <c r="F90" s="9"/>
      <c r="G90" s="10"/>
      <c r="H90" s="10"/>
      <c r="I90" s="11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7"/>
      <c r="B91" s="7"/>
      <c r="C91" s="5"/>
      <c r="D91" s="8"/>
      <c r="E91" s="9"/>
      <c r="F91" s="9"/>
      <c r="G91" s="10"/>
      <c r="H91" s="10"/>
      <c r="I91" s="11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7"/>
      <c r="B92" s="7"/>
      <c r="C92" s="5"/>
      <c r="D92" s="8"/>
      <c r="E92" s="9"/>
      <c r="F92" s="9"/>
      <c r="G92" s="10"/>
      <c r="H92" s="10"/>
      <c r="I92" s="11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7"/>
      <c r="B93" s="7"/>
      <c r="C93" s="5"/>
      <c r="D93" s="8"/>
      <c r="E93" s="9"/>
      <c r="F93" s="9"/>
      <c r="G93" s="10"/>
      <c r="H93" s="10"/>
      <c r="I93" s="11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7"/>
      <c r="B94" s="7"/>
      <c r="C94" s="5"/>
      <c r="D94" s="8"/>
      <c r="E94" s="9"/>
      <c r="F94" s="9"/>
      <c r="G94" s="10"/>
      <c r="H94" s="10"/>
      <c r="I94" s="11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7"/>
      <c r="B95" s="7"/>
      <c r="C95" s="5"/>
      <c r="D95" s="8"/>
      <c r="E95" s="9"/>
      <c r="F95" s="9"/>
      <c r="G95" s="10"/>
      <c r="H95" s="10"/>
      <c r="I95" s="11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7"/>
      <c r="B96" s="7"/>
      <c r="C96" s="5"/>
      <c r="D96" s="8"/>
      <c r="E96" s="9"/>
      <c r="F96" s="9"/>
      <c r="G96" s="10"/>
      <c r="H96" s="10"/>
      <c r="I96" s="11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7"/>
      <c r="B97" s="7"/>
      <c r="C97" s="5"/>
      <c r="D97" s="8"/>
      <c r="E97" s="9"/>
      <c r="F97" s="9"/>
      <c r="G97" s="10"/>
      <c r="H97" s="10"/>
      <c r="I97" s="11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7"/>
      <c r="B98" s="7"/>
      <c r="C98" s="5"/>
      <c r="D98" s="8"/>
      <c r="E98" s="9"/>
      <c r="F98" s="9"/>
      <c r="G98" s="10"/>
      <c r="H98" s="10"/>
      <c r="I98" s="11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7"/>
      <c r="B99" s="7"/>
      <c r="C99" s="5"/>
      <c r="D99" s="8"/>
      <c r="E99" s="9"/>
      <c r="F99" s="9"/>
      <c r="G99" s="10"/>
      <c r="H99" s="10"/>
      <c r="I99" s="11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7"/>
      <c r="B100" s="7"/>
      <c r="C100" s="5"/>
      <c r="D100" s="8"/>
      <c r="E100" s="9"/>
      <c r="F100" s="9"/>
      <c r="G100" s="10"/>
      <c r="H100" s="10"/>
      <c r="I100" s="11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7"/>
      <c r="B101" s="7"/>
      <c r="C101" s="5"/>
      <c r="D101" s="8"/>
      <c r="E101" s="9"/>
      <c r="F101" s="9"/>
      <c r="G101" s="10"/>
      <c r="H101" s="10"/>
      <c r="I101" s="11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7"/>
      <c r="B102" s="7"/>
      <c r="C102" s="5"/>
      <c r="D102" s="8"/>
      <c r="E102" s="9"/>
      <c r="F102" s="9"/>
      <c r="G102" s="10"/>
      <c r="H102" s="10"/>
      <c r="I102" s="11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7"/>
      <c r="B103" s="7"/>
      <c r="C103" s="5"/>
      <c r="D103" s="8"/>
      <c r="E103" s="9"/>
      <c r="F103" s="9"/>
      <c r="G103" s="10"/>
      <c r="H103" s="10"/>
      <c r="I103" s="11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7"/>
      <c r="B104" s="7"/>
      <c r="C104" s="5"/>
      <c r="D104" s="8"/>
      <c r="E104" s="9"/>
      <c r="F104" s="9"/>
      <c r="G104" s="10"/>
      <c r="H104" s="10"/>
      <c r="I104" s="11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7"/>
      <c r="B105" s="7"/>
      <c r="C105" s="5"/>
      <c r="D105" s="8"/>
      <c r="E105" s="9"/>
      <c r="F105" s="9"/>
      <c r="G105" s="10"/>
      <c r="H105" s="10"/>
      <c r="I105" s="11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7"/>
      <c r="B106" s="7"/>
      <c r="C106" s="5"/>
      <c r="D106" s="8"/>
      <c r="E106" s="9"/>
      <c r="F106" s="9"/>
      <c r="G106" s="10"/>
      <c r="H106" s="10"/>
      <c r="I106" s="11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7"/>
      <c r="B107" s="7"/>
      <c r="C107" s="5"/>
      <c r="D107" s="8"/>
      <c r="E107" s="9"/>
      <c r="F107" s="9"/>
      <c r="G107" s="10"/>
      <c r="H107" s="10"/>
      <c r="I107" s="11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7"/>
      <c r="B108" s="7"/>
      <c r="C108" s="5"/>
      <c r="D108" s="8"/>
      <c r="E108" s="9"/>
      <c r="F108" s="9"/>
      <c r="G108" s="10"/>
      <c r="H108" s="10"/>
      <c r="I108" s="11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7"/>
      <c r="B109" s="7"/>
      <c r="C109" s="5"/>
      <c r="D109" s="8"/>
      <c r="E109" s="9"/>
      <c r="F109" s="9"/>
      <c r="G109" s="10"/>
      <c r="H109" s="10"/>
      <c r="I109" s="11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7"/>
      <c r="B110" s="7"/>
      <c r="C110" s="5"/>
      <c r="D110" s="8"/>
      <c r="E110" s="9"/>
      <c r="F110" s="9"/>
      <c r="G110" s="10"/>
      <c r="H110" s="10"/>
      <c r="I110" s="11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7"/>
      <c r="B111" s="7"/>
      <c r="C111" s="5"/>
      <c r="D111" s="8"/>
      <c r="E111" s="9"/>
      <c r="F111" s="9"/>
      <c r="G111" s="10"/>
      <c r="H111" s="10"/>
      <c r="I111" s="11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7"/>
      <c r="B112" s="7"/>
      <c r="C112" s="5"/>
      <c r="D112" s="8"/>
      <c r="E112" s="9"/>
      <c r="F112" s="9"/>
      <c r="G112" s="10"/>
      <c r="H112" s="10"/>
      <c r="I112" s="11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7"/>
      <c r="B113" s="7"/>
      <c r="C113" s="5"/>
      <c r="D113" s="8"/>
      <c r="E113" s="9"/>
      <c r="F113" s="9"/>
      <c r="G113" s="10"/>
      <c r="H113" s="10"/>
      <c r="I113" s="11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7"/>
      <c r="B114" s="7"/>
      <c r="C114" s="5"/>
      <c r="D114" s="8"/>
      <c r="E114" s="9"/>
      <c r="F114" s="9"/>
      <c r="G114" s="10"/>
      <c r="H114" s="10"/>
      <c r="I114" s="11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7"/>
      <c r="B115" s="7"/>
      <c r="C115" s="5"/>
      <c r="D115" s="8"/>
      <c r="E115" s="9"/>
      <c r="F115" s="9"/>
      <c r="G115" s="10"/>
      <c r="H115" s="10"/>
      <c r="I115" s="11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7"/>
      <c r="B116" s="7"/>
      <c r="C116" s="5"/>
      <c r="D116" s="8"/>
      <c r="E116" s="9"/>
      <c r="F116" s="9"/>
      <c r="G116" s="10"/>
      <c r="H116" s="10"/>
      <c r="I116" s="11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7"/>
      <c r="B117" s="7"/>
      <c r="C117" s="5"/>
      <c r="D117" s="8"/>
      <c r="E117" s="9"/>
      <c r="F117" s="9"/>
      <c r="G117" s="10"/>
      <c r="H117" s="10"/>
      <c r="I117" s="11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7"/>
      <c r="B118" s="7"/>
      <c r="C118" s="5"/>
      <c r="D118" s="8"/>
      <c r="E118" s="9"/>
      <c r="F118" s="9"/>
      <c r="G118" s="10"/>
      <c r="H118" s="10"/>
      <c r="I118" s="11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7"/>
      <c r="B119" s="7"/>
      <c r="C119" s="5"/>
      <c r="D119" s="8"/>
      <c r="E119" s="9"/>
      <c r="F119" s="9"/>
      <c r="G119" s="10"/>
      <c r="H119" s="10"/>
      <c r="I119" s="11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7"/>
      <c r="B120" s="7"/>
      <c r="C120" s="5"/>
      <c r="D120" s="8"/>
      <c r="E120" s="9"/>
      <c r="F120" s="9"/>
      <c r="G120" s="10"/>
      <c r="H120" s="10"/>
      <c r="I120" s="11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7"/>
      <c r="B121" s="7"/>
      <c r="C121" s="5"/>
      <c r="D121" s="8"/>
      <c r="E121" s="9"/>
      <c r="F121" s="9"/>
      <c r="G121" s="10"/>
      <c r="H121" s="10"/>
      <c r="I121" s="11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7"/>
      <c r="B122" s="7"/>
      <c r="C122" s="5"/>
      <c r="D122" s="8"/>
      <c r="E122" s="9"/>
      <c r="F122" s="9"/>
      <c r="G122" s="10"/>
      <c r="H122" s="10"/>
      <c r="I122" s="11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7"/>
      <c r="B123" s="7"/>
      <c r="C123" s="5"/>
      <c r="D123" s="8"/>
      <c r="E123" s="9"/>
      <c r="F123" s="9"/>
      <c r="G123" s="10"/>
      <c r="H123" s="10"/>
      <c r="I123" s="11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7"/>
      <c r="B124" s="7"/>
      <c r="C124" s="5"/>
      <c r="D124" s="8"/>
      <c r="E124" s="9"/>
      <c r="F124" s="9"/>
      <c r="G124" s="10"/>
      <c r="H124" s="10"/>
      <c r="I124" s="11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7"/>
      <c r="B125" s="7"/>
      <c r="C125" s="5"/>
      <c r="D125" s="8"/>
      <c r="E125" s="9"/>
      <c r="F125" s="9"/>
      <c r="G125" s="10"/>
      <c r="H125" s="10"/>
      <c r="I125" s="11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7"/>
      <c r="B126" s="7"/>
      <c r="C126" s="5"/>
      <c r="D126" s="8"/>
      <c r="E126" s="9"/>
      <c r="F126" s="9"/>
      <c r="G126" s="10"/>
      <c r="H126" s="10"/>
      <c r="I126" s="11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7"/>
      <c r="B127" s="7"/>
      <c r="C127" s="5"/>
      <c r="D127" s="8"/>
      <c r="E127" s="9"/>
      <c r="F127" s="9"/>
      <c r="G127" s="10"/>
      <c r="H127" s="10"/>
      <c r="I127" s="11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7"/>
      <c r="B128" s="7"/>
      <c r="C128" s="5"/>
      <c r="D128" s="8"/>
      <c r="E128" s="9"/>
      <c r="F128" s="9"/>
      <c r="G128" s="10"/>
      <c r="H128" s="10"/>
      <c r="I128" s="11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7"/>
      <c r="B129" s="7"/>
      <c r="C129" s="5"/>
      <c r="D129" s="8"/>
      <c r="E129" s="9"/>
      <c r="F129" s="9"/>
      <c r="G129" s="10"/>
      <c r="H129" s="10"/>
      <c r="I129" s="11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7"/>
      <c r="B130" s="7"/>
      <c r="C130" s="5"/>
      <c r="D130" s="8"/>
      <c r="E130" s="9"/>
      <c r="F130" s="9"/>
      <c r="G130" s="10"/>
      <c r="H130" s="10"/>
      <c r="I130" s="11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7"/>
      <c r="B131" s="7"/>
      <c r="C131" s="5"/>
      <c r="D131" s="8"/>
      <c r="E131" s="9"/>
      <c r="F131" s="9"/>
      <c r="G131" s="10"/>
      <c r="H131" s="10"/>
      <c r="I131" s="11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7"/>
      <c r="B132" s="7"/>
      <c r="C132" s="5"/>
      <c r="D132" s="8"/>
      <c r="E132" s="9"/>
      <c r="F132" s="9"/>
      <c r="G132" s="10"/>
      <c r="H132" s="10"/>
      <c r="I132" s="11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7"/>
      <c r="B133" s="7"/>
      <c r="C133" s="5"/>
      <c r="D133" s="8"/>
      <c r="E133" s="9"/>
      <c r="F133" s="9"/>
      <c r="G133" s="10"/>
      <c r="H133" s="10"/>
      <c r="I133" s="11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7"/>
      <c r="B134" s="7"/>
      <c r="C134" s="5"/>
      <c r="D134" s="8"/>
      <c r="E134" s="9"/>
      <c r="F134" s="9"/>
      <c r="G134" s="10"/>
      <c r="H134" s="10"/>
      <c r="I134" s="11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7"/>
      <c r="B135" s="7"/>
      <c r="C135" s="5"/>
      <c r="D135" s="8"/>
      <c r="E135" s="9"/>
      <c r="F135" s="9"/>
      <c r="G135" s="10"/>
      <c r="H135" s="10"/>
      <c r="I135" s="11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7"/>
      <c r="B136" s="7"/>
      <c r="C136" s="5"/>
      <c r="D136" s="8"/>
      <c r="E136" s="9"/>
      <c r="F136" s="9"/>
      <c r="G136" s="10"/>
      <c r="H136" s="10"/>
      <c r="I136" s="11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7"/>
      <c r="B137" s="7"/>
      <c r="C137" s="5"/>
      <c r="D137" s="8"/>
      <c r="E137" s="9"/>
      <c r="F137" s="9"/>
      <c r="G137" s="10"/>
      <c r="H137" s="10"/>
      <c r="I137" s="11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7"/>
      <c r="B138" s="7"/>
      <c r="C138" s="5"/>
      <c r="D138" s="8"/>
      <c r="E138" s="9"/>
      <c r="F138" s="9"/>
      <c r="G138" s="10"/>
      <c r="H138" s="10"/>
      <c r="I138" s="11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7"/>
      <c r="B139" s="7"/>
      <c r="C139" s="5"/>
      <c r="D139" s="8"/>
      <c r="E139" s="9"/>
      <c r="F139" s="9"/>
      <c r="G139" s="10"/>
      <c r="H139" s="10"/>
      <c r="I139" s="11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7"/>
      <c r="B140" s="7"/>
      <c r="C140" s="5"/>
      <c r="D140" s="8"/>
      <c r="E140" s="9"/>
      <c r="F140" s="9"/>
      <c r="G140" s="10"/>
      <c r="H140" s="10"/>
      <c r="I140" s="11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7"/>
      <c r="B141" s="7"/>
      <c r="C141" s="5"/>
      <c r="D141" s="8"/>
      <c r="E141" s="9"/>
      <c r="F141" s="9"/>
      <c r="G141" s="10"/>
      <c r="H141" s="10"/>
      <c r="I141" s="11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7"/>
      <c r="B142" s="7"/>
      <c r="C142" s="5"/>
      <c r="D142" s="8"/>
      <c r="E142" s="9"/>
      <c r="F142" s="9"/>
      <c r="G142" s="10"/>
      <c r="H142" s="10"/>
      <c r="I142" s="11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7"/>
      <c r="B143" s="7"/>
      <c r="C143" s="5"/>
      <c r="D143" s="8"/>
      <c r="E143" s="9"/>
      <c r="F143" s="9"/>
      <c r="G143" s="10"/>
      <c r="H143" s="10"/>
      <c r="I143" s="11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7"/>
      <c r="B144" s="7"/>
      <c r="C144" s="5"/>
      <c r="D144" s="8"/>
      <c r="E144" s="9"/>
      <c r="F144" s="9"/>
      <c r="G144" s="10"/>
      <c r="H144" s="10"/>
      <c r="I144" s="11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7"/>
      <c r="B145" s="7"/>
      <c r="C145" s="5"/>
      <c r="D145" s="8"/>
      <c r="E145" s="9"/>
      <c r="F145" s="9"/>
      <c r="G145" s="10"/>
      <c r="H145" s="10"/>
      <c r="I145" s="11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7"/>
      <c r="B146" s="7"/>
      <c r="C146" s="5"/>
      <c r="D146" s="8"/>
      <c r="E146" s="9"/>
      <c r="F146" s="9"/>
      <c r="G146" s="10"/>
      <c r="H146" s="10"/>
      <c r="I146" s="11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7"/>
      <c r="B147" s="7"/>
      <c r="C147" s="5"/>
      <c r="D147" s="8"/>
      <c r="E147" s="9"/>
      <c r="F147" s="9"/>
      <c r="G147" s="10"/>
      <c r="H147" s="10"/>
      <c r="I147" s="11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7"/>
      <c r="B148" s="7"/>
      <c r="C148" s="5"/>
      <c r="D148" s="8"/>
      <c r="E148" s="9"/>
      <c r="F148" s="9"/>
      <c r="G148" s="10"/>
      <c r="H148" s="10"/>
      <c r="I148" s="11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7"/>
      <c r="B149" s="7"/>
      <c r="C149" s="5"/>
      <c r="D149" s="8"/>
      <c r="E149" s="9"/>
      <c r="F149" s="9"/>
      <c r="G149" s="10"/>
      <c r="H149" s="10"/>
      <c r="I149" s="11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7"/>
      <c r="B150" s="7"/>
      <c r="C150" s="5"/>
      <c r="D150" s="8"/>
      <c r="E150" s="9"/>
      <c r="F150" s="9"/>
      <c r="G150" s="10"/>
      <c r="H150" s="10"/>
      <c r="I150" s="11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7"/>
      <c r="B151" s="7"/>
      <c r="C151" s="5"/>
      <c r="D151" s="8"/>
      <c r="E151" s="9"/>
      <c r="F151" s="9"/>
      <c r="G151" s="10"/>
      <c r="H151" s="10"/>
      <c r="I151" s="11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7"/>
      <c r="B152" s="7"/>
      <c r="C152" s="5"/>
      <c r="D152" s="8"/>
      <c r="E152" s="9"/>
      <c r="F152" s="9"/>
      <c r="G152" s="10"/>
      <c r="H152" s="10"/>
      <c r="I152" s="11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7"/>
      <c r="B153" s="7"/>
      <c r="C153" s="5"/>
      <c r="D153" s="8"/>
      <c r="E153" s="9"/>
      <c r="F153" s="9"/>
      <c r="G153" s="10"/>
      <c r="H153" s="10"/>
      <c r="I153" s="11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7"/>
      <c r="B154" s="7"/>
      <c r="C154" s="5"/>
      <c r="D154" s="8"/>
      <c r="E154" s="9"/>
      <c r="F154" s="9"/>
      <c r="G154" s="10"/>
      <c r="H154" s="10"/>
      <c r="I154" s="11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7"/>
      <c r="B155" s="7"/>
      <c r="C155" s="5"/>
      <c r="D155" s="8"/>
      <c r="E155" s="9"/>
      <c r="F155" s="9"/>
      <c r="G155" s="10"/>
      <c r="H155" s="10"/>
      <c r="I155" s="11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7"/>
      <c r="B156" s="7"/>
      <c r="C156" s="5"/>
      <c r="D156" s="8"/>
      <c r="E156" s="9"/>
      <c r="F156" s="9"/>
      <c r="G156" s="10"/>
      <c r="H156" s="10"/>
      <c r="I156" s="11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7"/>
      <c r="B157" s="7"/>
      <c r="C157" s="5"/>
      <c r="D157" s="8"/>
      <c r="E157" s="9"/>
      <c r="F157" s="9"/>
      <c r="G157" s="10"/>
      <c r="H157" s="10"/>
      <c r="I157" s="11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7"/>
      <c r="B158" s="7"/>
      <c r="C158" s="5"/>
      <c r="D158" s="8"/>
      <c r="E158" s="9"/>
      <c r="F158" s="9"/>
      <c r="G158" s="10"/>
      <c r="H158" s="10"/>
      <c r="I158" s="11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7"/>
      <c r="B159" s="7"/>
      <c r="C159" s="5"/>
      <c r="D159" s="8"/>
      <c r="E159" s="9"/>
      <c r="F159" s="9"/>
      <c r="G159" s="10"/>
      <c r="H159" s="10"/>
      <c r="I159" s="11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7"/>
      <c r="B160" s="7"/>
      <c r="C160" s="5"/>
      <c r="D160" s="8"/>
      <c r="E160" s="9"/>
      <c r="F160" s="9"/>
      <c r="G160" s="10"/>
      <c r="H160" s="10"/>
      <c r="I160" s="11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7"/>
      <c r="B161" s="7"/>
      <c r="C161" s="5"/>
      <c r="D161" s="8"/>
      <c r="E161" s="9"/>
      <c r="F161" s="9"/>
      <c r="G161" s="10"/>
      <c r="H161" s="10"/>
      <c r="I161" s="11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7"/>
      <c r="B162" s="7"/>
      <c r="C162" s="5"/>
      <c r="D162" s="8"/>
      <c r="E162" s="9"/>
      <c r="F162" s="9"/>
      <c r="G162" s="10"/>
      <c r="H162" s="10"/>
      <c r="I162" s="11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7"/>
      <c r="B163" s="7"/>
      <c r="C163" s="5"/>
      <c r="D163" s="8"/>
      <c r="E163" s="9"/>
      <c r="F163" s="9"/>
      <c r="G163" s="10"/>
      <c r="H163" s="10"/>
      <c r="I163" s="11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7"/>
      <c r="B164" s="7"/>
      <c r="C164" s="5"/>
      <c r="D164" s="8"/>
      <c r="E164" s="9"/>
      <c r="F164" s="9"/>
      <c r="G164" s="10"/>
      <c r="H164" s="10"/>
      <c r="I164" s="11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7"/>
      <c r="B165" s="7"/>
      <c r="C165" s="5"/>
      <c r="D165" s="8"/>
      <c r="E165" s="9"/>
      <c r="F165" s="9"/>
      <c r="G165" s="10"/>
      <c r="H165" s="10"/>
      <c r="I165" s="11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7"/>
      <c r="B166" s="7"/>
      <c r="C166" s="5"/>
      <c r="D166" s="8"/>
      <c r="E166" s="9"/>
      <c r="F166" s="9"/>
      <c r="G166" s="10"/>
      <c r="H166" s="10"/>
      <c r="I166" s="11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7"/>
      <c r="B167" s="7"/>
      <c r="C167" s="5"/>
      <c r="D167" s="8"/>
      <c r="E167" s="9"/>
      <c r="F167" s="9"/>
      <c r="G167" s="10"/>
      <c r="H167" s="10"/>
      <c r="I167" s="11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7"/>
      <c r="B168" s="7"/>
      <c r="C168" s="5"/>
      <c r="D168" s="8"/>
      <c r="E168" s="9"/>
      <c r="F168" s="9"/>
      <c r="G168" s="10"/>
      <c r="H168" s="10"/>
      <c r="I168" s="11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7"/>
      <c r="B169" s="7"/>
      <c r="C169" s="5"/>
      <c r="D169" s="8"/>
      <c r="E169" s="9"/>
      <c r="F169" s="9"/>
      <c r="G169" s="10"/>
      <c r="H169" s="10"/>
      <c r="I169" s="11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7"/>
      <c r="B170" s="7"/>
      <c r="C170" s="5"/>
      <c r="D170" s="8"/>
      <c r="E170" s="9"/>
      <c r="F170" s="9"/>
      <c r="G170" s="10"/>
      <c r="H170" s="10"/>
      <c r="I170" s="11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7"/>
      <c r="B171" s="7"/>
      <c r="C171" s="5"/>
      <c r="D171" s="8"/>
      <c r="E171" s="9"/>
      <c r="F171" s="9"/>
      <c r="G171" s="10"/>
      <c r="H171" s="10"/>
      <c r="I171" s="11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7"/>
      <c r="B172" s="7"/>
      <c r="C172" s="5"/>
      <c r="D172" s="8"/>
      <c r="E172" s="9"/>
      <c r="F172" s="9"/>
      <c r="G172" s="10"/>
      <c r="H172" s="10"/>
      <c r="I172" s="11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7"/>
      <c r="B173" s="7"/>
      <c r="C173" s="5"/>
      <c r="D173" s="8"/>
      <c r="E173" s="9"/>
      <c r="F173" s="9"/>
      <c r="G173" s="10"/>
      <c r="H173" s="10"/>
      <c r="I173" s="11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7"/>
      <c r="B174" s="7"/>
      <c r="C174" s="5"/>
      <c r="D174" s="8"/>
      <c r="E174" s="9"/>
      <c r="F174" s="9"/>
      <c r="G174" s="10"/>
      <c r="H174" s="10"/>
      <c r="I174" s="11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7"/>
      <c r="B175" s="7"/>
      <c r="C175" s="5"/>
      <c r="D175" s="8"/>
      <c r="E175" s="9"/>
      <c r="F175" s="9"/>
      <c r="G175" s="10"/>
      <c r="H175" s="10"/>
      <c r="I175" s="11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7"/>
      <c r="B176" s="7"/>
      <c r="C176" s="5"/>
      <c r="D176" s="8"/>
      <c r="E176" s="9"/>
      <c r="F176" s="9"/>
      <c r="G176" s="10"/>
      <c r="H176" s="10"/>
      <c r="I176" s="11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7"/>
      <c r="B177" s="7"/>
      <c r="C177" s="5"/>
      <c r="D177" s="8"/>
      <c r="E177" s="9"/>
      <c r="F177" s="9"/>
      <c r="G177" s="10"/>
      <c r="H177" s="10"/>
      <c r="I177" s="11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7"/>
      <c r="B178" s="7"/>
      <c r="C178" s="5"/>
      <c r="D178" s="8"/>
      <c r="E178" s="9"/>
      <c r="F178" s="9"/>
      <c r="G178" s="10"/>
      <c r="H178" s="10"/>
      <c r="I178" s="11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7"/>
      <c r="B179" s="7"/>
      <c r="C179" s="5"/>
      <c r="D179" s="8"/>
      <c r="E179" s="9"/>
      <c r="F179" s="9"/>
      <c r="G179" s="10"/>
      <c r="H179" s="10"/>
      <c r="I179" s="11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7"/>
      <c r="B180" s="7"/>
      <c r="C180" s="5"/>
      <c r="D180" s="8"/>
      <c r="E180" s="9"/>
      <c r="F180" s="9"/>
      <c r="G180" s="10"/>
      <c r="H180" s="10"/>
      <c r="I180" s="11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7"/>
      <c r="B181" s="7"/>
      <c r="C181" s="5"/>
      <c r="D181" s="8"/>
      <c r="E181" s="9"/>
      <c r="F181" s="9"/>
      <c r="G181" s="10"/>
      <c r="H181" s="10"/>
      <c r="I181" s="11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7"/>
      <c r="B182" s="7"/>
      <c r="C182" s="5"/>
      <c r="D182" s="8"/>
      <c r="E182" s="9"/>
      <c r="F182" s="9"/>
      <c r="G182" s="10"/>
      <c r="H182" s="10"/>
      <c r="I182" s="11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7"/>
      <c r="B183" s="7"/>
      <c r="C183" s="5"/>
      <c r="D183" s="8"/>
      <c r="E183" s="9"/>
      <c r="F183" s="9"/>
      <c r="G183" s="10"/>
      <c r="H183" s="10"/>
      <c r="I183" s="11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7"/>
      <c r="B184" s="7"/>
      <c r="C184" s="5"/>
      <c r="D184" s="8"/>
      <c r="E184" s="9"/>
      <c r="F184" s="9"/>
      <c r="G184" s="10"/>
      <c r="H184" s="10"/>
      <c r="I184" s="11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7"/>
      <c r="B185" s="7"/>
      <c r="C185" s="5"/>
      <c r="D185" s="8"/>
      <c r="E185" s="9"/>
      <c r="F185" s="9"/>
      <c r="G185" s="10"/>
      <c r="H185" s="10"/>
      <c r="I185" s="11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7"/>
      <c r="B186" s="7"/>
      <c r="C186" s="5"/>
      <c r="D186" s="8"/>
      <c r="E186" s="9"/>
      <c r="F186" s="9"/>
      <c r="G186" s="10"/>
      <c r="H186" s="10"/>
      <c r="I186" s="11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7"/>
      <c r="B187" s="7"/>
      <c r="C187" s="5"/>
      <c r="D187" s="8"/>
      <c r="E187" s="9"/>
      <c r="F187" s="9"/>
      <c r="G187" s="10"/>
      <c r="H187" s="10"/>
      <c r="I187" s="11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7"/>
      <c r="B188" s="7"/>
      <c r="C188" s="5"/>
      <c r="D188" s="8"/>
      <c r="E188" s="9"/>
      <c r="F188" s="9"/>
      <c r="G188" s="10"/>
      <c r="H188" s="10"/>
      <c r="I188" s="11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7"/>
      <c r="B189" s="7"/>
      <c r="C189" s="5"/>
      <c r="D189" s="8"/>
      <c r="E189" s="9"/>
      <c r="F189" s="9"/>
      <c r="G189" s="10"/>
      <c r="H189" s="10"/>
      <c r="I189" s="11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7"/>
      <c r="B190" s="7"/>
      <c r="C190" s="5"/>
      <c r="D190" s="8"/>
      <c r="E190" s="9"/>
      <c r="F190" s="9"/>
      <c r="G190" s="10"/>
      <c r="H190" s="10"/>
      <c r="I190" s="11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7"/>
      <c r="B191" s="7"/>
      <c r="C191" s="5"/>
      <c r="D191" s="8"/>
      <c r="E191" s="9"/>
      <c r="F191" s="9"/>
      <c r="G191" s="10"/>
      <c r="H191" s="10"/>
      <c r="I191" s="11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7"/>
      <c r="B192" s="7"/>
      <c r="C192" s="5"/>
      <c r="D192" s="8"/>
      <c r="E192" s="9"/>
      <c r="F192" s="9"/>
      <c r="G192" s="10"/>
      <c r="H192" s="10"/>
      <c r="I192" s="11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7"/>
      <c r="B193" s="7"/>
      <c r="C193" s="5"/>
      <c r="D193" s="8"/>
      <c r="E193" s="9"/>
      <c r="F193" s="9"/>
      <c r="G193" s="10"/>
      <c r="H193" s="10"/>
      <c r="I193" s="11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7"/>
      <c r="B194" s="7"/>
      <c r="C194" s="5"/>
      <c r="D194" s="8"/>
      <c r="E194" s="9"/>
      <c r="F194" s="9"/>
      <c r="G194" s="10"/>
      <c r="H194" s="10"/>
      <c r="I194" s="11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7"/>
      <c r="B195" s="7"/>
      <c r="C195" s="5"/>
      <c r="D195" s="8"/>
      <c r="E195" s="9"/>
      <c r="F195" s="9"/>
      <c r="G195" s="10"/>
      <c r="H195" s="10"/>
      <c r="I195" s="11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7"/>
      <c r="B196" s="7"/>
      <c r="C196" s="5"/>
      <c r="D196" s="8"/>
      <c r="E196" s="9"/>
      <c r="F196" s="9"/>
      <c r="G196" s="10"/>
      <c r="H196" s="10"/>
      <c r="I196" s="11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7"/>
      <c r="B197" s="7"/>
      <c r="C197" s="5"/>
      <c r="D197" s="8"/>
      <c r="E197" s="9"/>
      <c r="F197" s="9"/>
      <c r="G197" s="10"/>
      <c r="H197" s="10"/>
      <c r="I197" s="11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7"/>
      <c r="B198" s="7"/>
      <c r="C198" s="5"/>
      <c r="D198" s="8"/>
      <c r="E198" s="9"/>
      <c r="F198" s="9"/>
      <c r="G198" s="10"/>
      <c r="H198" s="10"/>
      <c r="I198" s="11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7"/>
      <c r="B199" s="7"/>
      <c r="C199" s="5"/>
      <c r="D199" s="8"/>
      <c r="E199" s="9"/>
      <c r="F199" s="9"/>
      <c r="G199" s="10"/>
      <c r="H199" s="10"/>
      <c r="I199" s="11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7"/>
      <c r="B200" s="7"/>
      <c r="C200" s="5"/>
      <c r="D200" s="8"/>
      <c r="E200" s="9"/>
      <c r="F200" s="9"/>
      <c r="G200" s="10"/>
      <c r="H200" s="10"/>
      <c r="I200" s="11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7"/>
      <c r="B201" s="7"/>
      <c r="C201" s="5"/>
      <c r="D201" s="8"/>
      <c r="E201" s="9"/>
      <c r="F201" s="9"/>
      <c r="G201" s="10"/>
      <c r="H201" s="10"/>
      <c r="I201" s="11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7"/>
      <c r="B202" s="7"/>
      <c r="C202" s="5"/>
      <c r="D202" s="8"/>
      <c r="E202" s="9"/>
      <c r="F202" s="9"/>
      <c r="G202" s="10"/>
      <c r="H202" s="10"/>
      <c r="I202" s="11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7"/>
      <c r="B203" s="7"/>
      <c r="C203" s="5"/>
      <c r="D203" s="8"/>
      <c r="E203" s="9"/>
      <c r="F203" s="9"/>
      <c r="G203" s="10"/>
      <c r="H203" s="10"/>
      <c r="I203" s="11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7"/>
      <c r="B204" s="7"/>
      <c r="C204" s="5"/>
      <c r="D204" s="8"/>
      <c r="E204" s="9"/>
      <c r="F204" s="9"/>
      <c r="G204" s="10"/>
      <c r="H204" s="10"/>
      <c r="I204" s="11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7"/>
      <c r="B205" s="7"/>
      <c r="C205" s="5"/>
      <c r="D205" s="8"/>
      <c r="E205" s="9"/>
      <c r="F205" s="9"/>
      <c r="G205" s="10"/>
      <c r="H205" s="10"/>
      <c r="I205" s="11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7"/>
      <c r="B206" s="7"/>
      <c r="C206" s="5"/>
      <c r="D206" s="8"/>
      <c r="E206" s="9"/>
      <c r="F206" s="9"/>
      <c r="G206" s="10"/>
      <c r="H206" s="10"/>
      <c r="I206" s="11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7"/>
      <c r="B207" s="7"/>
      <c r="C207" s="5"/>
      <c r="D207" s="8"/>
      <c r="E207" s="9"/>
      <c r="F207" s="9"/>
      <c r="G207" s="10"/>
      <c r="H207" s="10"/>
      <c r="I207" s="11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7"/>
      <c r="B208" s="7"/>
      <c r="C208" s="5"/>
      <c r="D208" s="8"/>
      <c r="E208" s="9"/>
      <c r="F208" s="9"/>
      <c r="G208" s="10"/>
      <c r="H208" s="10"/>
      <c r="I208" s="11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7"/>
      <c r="B209" s="7"/>
      <c r="C209" s="5"/>
      <c r="D209" s="8"/>
      <c r="E209" s="9"/>
      <c r="F209" s="9"/>
      <c r="G209" s="10"/>
      <c r="H209" s="10"/>
      <c r="I209" s="11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7"/>
      <c r="B210" s="7"/>
      <c r="C210" s="5"/>
      <c r="D210" s="8"/>
      <c r="E210" s="9"/>
      <c r="F210" s="9"/>
      <c r="G210" s="10"/>
      <c r="H210" s="10"/>
      <c r="I210" s="11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7"/>
      <c r="B211" s="7"/>
      <c r="C211" s="5"/>
      <c r="D211" s="8"/>
      <c r="E211" s="9"/>
      <c r="F211" s="9"/>
      <c r="G211" s="10"/>
      <c r="H211" s="10"/>
      <c r="I211" s="11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7"/>
      <c r="B212" s="7"/>
      <c r="C212" s="5"/>
      <c r="D212" s="8"/>
      <c r="E212" s="9"/>
      <c r="F212" s="9"/>
      <c r="G212" s="10"/>
      <c r="H212" s="10"/>
      <c r="I212" s="11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7"/>
      <c r="B213" s="7"/>
      <c r="C213" s="5"/>
      <c r="D213" s="8"/>
      <c r="E213" s="9"/>
      <c r="F213" s="9"/>
      <c r="G213" s="10"/>
      <c r="H213" s="10"/>
      <c r="I213" s="11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7"/>
      <c r="B214" s="7"/>
      <c r="C214" s="5"/>
      <c r="D214" s="8"/>
      <c r="E214" s="9"/>
      <c r="F214" s="9"/>
      <c r="G214" s="10"/>
      <c r="H214" s="10"/>
      <c r="I214" s="11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7"/>
      <c r="B215" s="7"/>
      <c r="C215" s="5"/>
      <c r="D215" s="8"/>
      <c r="E215" s="9"/>
      <c r="F215" s="9"/>
      <c r="G215" s="10"/>
      <c r="H215" s="10"/>
      <c r="I215" s="11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7"/>
      <c r="B216" s="7"/>
      <c r="C216" s="5"/>
      <c r="D216" s="8"/>
      <c r="E216" s="9"/>
      <c r="F216" s="9"/>
      <c r="G216" s="10"/>
      <c r="H216" s="10"/>
      <c r="I216" s="11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7"/>
      <c r="B217" s="7"/>
      <c r="C217" s="5"/>
      <c r="D217" s="8"/>
      <c r="E217" s="9"/>
      <c r="F217" s="9"/>
      <c r="G217" s="10"/>
      <c r="H217" s="10"/>
      <c r="I217" s="11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7"/>
      <c r="B218" s="7"/>
      <c r="C218" s="5"/>
      <c r="D218" s="8"/>
      <c r="E218" s="9"/>
      <c r="F218" s="9"/>
      <c r="G218" s="10"/>
      <c r="H218" s="10"/>
      <c r="I218" s="11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7"/>
      <c r="B219" s="7"/>
      <c r="C219" s="5"/>
      <c r="D219" s="8"/>
      <c r="E219" s="9"/>
      <c r="F219" s="9"/>
      <c r="G219" s="10"/>
      <c r="H219" s="10"/>
      <c r="I219" s="11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7"/>
      <c r="B220" s="7"/>
      <c r="C220" s="5"/>
      <c r="D220" s="8"/>
      <c r="E220" s="9"/>
      <c r="F220" s="9"/>
      <c r="G220" s="10"/>
      <c r="H220" s="10"/>
      <c r="I220" s="11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7"/>
      <c r="B221" s="7"/>
      <c r="C221" s="5"/>
      <c r="D221" s="8"/>
      <c r="E221" s="9"/>
      <c r="F221" s="9"/>
      <c r="G221" s="10"/>
      <c r="H221" s="10"/>
      <c r="I221" s="11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7"/>
      <c r="B222" s="7"/>
      <c r="C222" s="5"/>
      <c r="D222" s="8"/>
      <c r="E222" s="9"/>
      <c r="F222" s="9"/>
      <c r="G222" s="10"/>
      <c r="H222" s="10"/>
      <c r="I222" s="11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7"/>
      <c r="B223" s="7"/>
      <c r="C223" s="5"/>
      <c r="D223" s="8"/>
      <c r="E223" s="9"/>
      <c r="F223" s="9"/>
      <c r="G223" s="10"/>
      <c r="H223" s="10"/>
      <c r="I223" s="11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7"/>
      <c r="B224" s="7"/>
      <c r="C224" s="5"/>
      <c r="D224" s="8"/>
      <c r="E224" s="9"/>
      <c r="F224" s="9"/>
      <c r="G224" s="10"/>
      <c r="H224" s="10"/>
      <c r="I224" s="11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7"/>
      <c r="B225" s="7"/>
      <c r="C225" s="5"/>
      <c r="D225" s="8"/>
      <c r="E225" s="9"/>
      <c r="F225" s="9"/>
      <c r="G225" s="10"/>
      <c r="H225" s="10"/>
      <c r="I225" s="11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7"/>
      <c r="B226" s="7"/>
      <c r="C226" s="5"/>
      <c r="D226" s="8"/>
      <c r="E226" s="9"/>
      <c r="F226" s="9"/>
      <c r="G226" s="10"/>
      <c r="H226" s="10"/>
      <c r="I226" s="11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7"/>
      <c r="B227" s="7"/>
      <c r="C227" s="5"/>
      <c r="D227" s="8"/>
      <c r="E227" s="9"/>
      <c r="F227" s="9"/>
      <c r="G227" s="10"/>
      <c r="H227" s="10"/>
      <c r="I227" s="11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7"/>
      <c r="B228" s="7"/>
      <c r="C228" s="5"/>
      <c r="D228" s="8"/>
      <c r="E228" s="9"/>
      <c r="F228" s="9"/>
      <c r="G228" s="10"/>
      <c r="H228" s="10"/>
      <c r="I228" s="11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7"/>
      <c r="B229" s="7"/>
      <c r="C229" s="5"/>
      <c r="D229" s="8"/>
      <c r="E229" s="9"/>
      <c r="F229" s="9"/>
      <c r="G229" s="10"/>
      <c r="H229" s="10"/>
      <c r="I229" s="11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7"/>
      <c r="B230" s="7"/>
      <c r="C230" s="5"/>
      <c r="D230" s="8"/>
      <c r="E230" s="9"/>
      <c r="F230" s="9"/>
      <c r="G230" s="10"/>
      <c r="H230" s="10"/>
      <c r="I230" s="11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7"/>
      <c r="B231" s="7"/>
      <c r="C231" s="5"/>
      <c r="D231" s="8"/>
      <c r="E231" s="9"/>
      <c r="F231" s="9"/>
      <c r="G231" s="10"/>
      <c r="H231" s="10"/>
      <c r="I231" s="11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7"/>
      <c r="B232" s="7"/>
      <c r="C232" s="5"/>
      <c r="D232" s="8"/>
      <c r="E232" s="9"/>
      <c r="F232" s="9"/>
      <c r="G232" s="10"/>
      <c r="H232" s="10"/>
      <c r="I232" s="11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7"/>
      <c r="B233" s="7"/>
      <c r="C233" s="5"/>
      <c r="D233" s="8"/>
      <c r="E233" s="9"/>
      <c r="F233" s="9"/>
      <c r="G233" s="10"/>
      <c r="H233" s="10"/>
      <c r="I233" s="11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7"/>
      <c r="B234" s="7"/>
      <c r="C234" s="5"/>
      <c r="D234" s="8"/>
      <c r="E234" s="9"/>
      <c r="F234" s="9"/>
      <c r="G234" s="10"/>
      <c r="H234" s="10"/>
      <c r="I234" s="11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7"/>
      <c r="B235" s="7"/>
      <c r="C235" s="5"/>
      <c r="D235" s="8"/>
      <c r="E235" s="9"/>
      <c r="F235" s="9"/>
      <c r="G235" s="10"/>
      <c r="H235" s="10"/>
      <c r="I235" s="11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7"/>
      <c r="B236" s="7"/>
      <c r="C236" s="5"/>
      <c r="D236" s="8"/>
      <c r="E236" s="9"/>
      <c r="F236" s="9"/>
      <c r="G236" s="10"/>
      <c r="H236" s="10"/>
      <c r="I236" s="11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7"/>
      <c r="B237" s="7"/>
      <c r="C237" s="5"/>
      <c r="D237" s="8"/>
      <c r="E237" s="9"/>
      <c r="F237" s="9"/>
      <c r="G237" s="10"/>
      <c r="H237" s="10"/>
      <c r="I237" s="11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7"/>
      <c r="B238" s="7"/>
      <c r="C238" s="5"/>
      <c r="D238" s="8"/>
      <c r="E238" s="9"/>
      <c r="F238" s="9"/>
      <c r="G238" s="10"/>
      <c r="H238" s="10"/>
      <c r="I238" s="11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7"/>
      <c r="B239" s="7"/>
      <c r="C239" s="5"/>
      <c r="D239" s="8"/>
      <c r="E239" s="9"/>
      <c r="F239" s="9"/>
      <c r="G239" s="10"/>
      <c r="H239" s="10"/>
      <c r="I239" s="11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7"/>
      <c r="B240" s="7"/>
      <c r="C240" s="5"/>
      <c r="D240" s="8"/>
      <c r="E240" s="9"/>
      <c r="F240" s="9"/>
      <c r="G240" s="10"/>
      <c r="H240" s="10"/>
      <c r="I240" s="11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7"/>
      <c r="B241" s="7"/>
      <c r="C241" s="5"/>
      <c r="D241" s="8"/>
      <c r="E241" s="9"/>
      <c r="F241" s="9"/>
      <c r="G241" s="10"/>
      <c r="H241" s="10"/>
      <c r="I241" s="11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7"/>
      <c r="B242" s="7"/>
      <c r="C242" s="5"/>
      <c r="D242" s="8"/>
      <c r="E242" s="9"/>
      <c r="F242" s="9"/>
      <c r="G242" s="10"/>
      <c r="H242" s="10"/>
      <c r="I242" s="11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7"/>
      <c r="B243" s="7"/>
      <c r="C243" s="5"/>
      <c r="D243" s="8"/>
      <c r="E243" s="9"/>
      <c r="F243" s="9"/>
      <c r="G243" s="10"/>
      <c r="H243" s="10"/>
      <c r="I243" s="11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7"/>
      <c r="B244" s="7"/>
      <c r="C244" s="5"/>
      <c r="D244" s="8"/>
      <c r="E244" s="9"/>
      <c r="F244" s="9"/>
      <c r="G244" s="10"/>
      <c r="H244" s="10"/>
      <c r="I244" s="11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7"/>
      <c r="B245" s="7"/>
      <c r="C245" s="5"/>
      <c r="D245" s="8"/>
      <c r="E245" s="9"/>
      <c r="F245" s="9"/>
      <c r="G245" s="10"/>
      <c r="H245" s="10"/>
      <c r="I245" s="11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7"/>
      <c r="B246" s="7"/>
      <c r="C246" s="5"/>
      <c r="D246" s="8"/>
      <c r="E246" s="9"/>
      <c r="F246" s="9"/>
      <c r="G246" s="10"/>
      <c r="H246" s="10"/>
      <c r="I246" s="11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7"/>
      <c r="B247" s="7"/>
      <c r="C247" s="5"/>
      <c r="D247" s="8"/>
      <c r="E247" s="9"/>
      <c r="F247" s="9"/>
      <c r="G247" s="10"/>
      <c r="H247" s="10"/>
      <c r="I247" s="11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7"/>
      <c r="B248" s="7"/>
      <c r="C248" s="5"/>
      <c r="D248" s="8"/>
      <c r="E248" s="9"/>
      <c r="F248" s="9"/>
      <c r="G248" s="10"/>
      <c r="H248" s="10"/>
      <c r="I248" s="11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7"/>
      <c r="B249" s="7"/>
      <c r="C249" s="5"/>
      <c r="D249" s="8"/>
      <c r="E249" s="9"/>
      <c r="F249" s="9"/>
      <c r="G249" s="10"/>
      <c r="H249" s="10"/>
      <c r="I249" s="11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7"/>
      <c r="B250" s="7"/>
      <c r="C250" s="5"/>
      <c r="D250" s="8"/>
      <c r="E250" s="9"/>
      <c r="F250" s="9"/>
      <c r="G250" s="10"/>
      <c r="H250" s="10"/>
      <c r="I250" s="11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7"/>
      <c r="B251" s="7"/>
      <c r="C251" s="5"/>
      <c r="D251" s="8"/>
      <c r="E251" s="9"/>
      <c r="F251" s="9"/>
      <c r="G251" s="10"/>
      <c r="H251" s="10"/>
      <c r="I251" s="11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7"/>
      <c r="B252" s="7"/>
      <c r="C252" s="5"/>
      <c r="D252" s="8"/>
      <c r="E252" s="9"/>
      <c r="F252" s="9"/>
      <c r="G252" s="10"/>
      <c r="H252" s="10"/>
      <c r="I252" s="11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7"/>
      <c r="B253" s="7"/>
      <c r="C253" s="5"/>
      <c r="D253" s="8"/>
      <c r="E253" s="9"/>
      <c r="F253" s="9"/>
      <c r="G253" s="10"/>
      <c r="H253" s="10"/>
      <c r="I253" s="11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7"/>
      <c r="B254" s="7"/>
      <c r="C254" s="5"/>
      <c r="D254" s="8"/>
      <c r="E254" s="9"/>
      <c r="F254" s="9"/>
      <c r="G254" s="10"/>
      <c r="H254" s="10"/>
      <c r="I254" s="11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7"/>
      <c r="B255" s="7"/>
      <c r="C255" s="5"/>
      <c r="D255" s="8"/>
      <c r="E255" s="9"/>
      <c r="F255" s="9"/>
      <c r="G255" s="10"/>
      <c r="H255" s="10"/>
      <c r="I255" s="11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7"/>
      <c r="B256" s="7"/>
      <c r="C256" s="5"/>
      <c r="D256" s="8"/>
      <c r="E256" s="9"/>
      <c r="F256" s="9"/>
      <c r="G256" s="10"/>
      <c r="H256" s="10"/>
      <c r="I256" s="11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7"/>
      <c r="B257" s="7"/>
      <c r="C257" s="5"/>
      <c r="D257" s="8"/>
      <c r="E257" s="9"/>
      <c r="F257" s="9"/>
      <c r="G257" s="10"/>
      <c r="H257" s="10"/>
      <c r="I257" s="11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7"/>
      <c r="B258" s="7"/>
      <c r="C258" s="5"/>
      <c r="D258" s="8"/>
      <c r="E258" s="9"/>
      <c r="F258" s="9"/>
      <c r="G258" s="10"/>
      <c r="H258" s="10"/>
      <c r="I258" s="11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7"/>
      <c r="B259" s="7"/>
      <c r="C259" s="5"/>
      <c r="D259" s="8"/>
      <c r="E259" s="9"/>
      <c r="F259" s="9"/>
      <c r="G259" s="10"/>
      <c r="H259" s="10"/>
      <c r="I259" s="11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7"/>
      <c r="B260" s="7"/>
      <c r="C260" s="5"/>
      <c r="D260" s="8"/>
      <c r="E260" s="9"/>
      <c r="F260" s="9"/>
      <c r="G260" s="10"/>
      <c r="H260" s="10"/>
      <c r="I260" s="11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7"/>
      <c r="B261" s="7"/>
      <c r="C261" s="5"/>
      <c r="D261" s="8"/>
      <c r="E261" s="9"/>
      <c r="F261" s="9"/>
      <c r="G261" s="10"/>
      <c r="H261" s="10"/>
      <c r="I261" s="11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7"/>
      <c r="B262" s="7"/>
      <c r="C262" s="5"/>
      <c r="D262" s="8"/>
      <c r="E262" s="9"/>
      <c r="F262" s="9"/>
      <c r="G262" s="10"/>
      <c r="H262" s="10"/>
      <c r="I262" s="11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7"/>
      <c r="B263" s="7"/>
      <c r="C263" s="5"/>
      <c r="D263" s="8"/>
      <c r="E263" s="9"/>
      <c r="F263" s="9"/>
      <c r="G263" s="10"/>
      <c r="H263" s="10"/>
      <c r="I263" s="11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7"/>
      <c r="B264" s="7"/>
      <c r="C264" s="5"/>
      <c r="D264" s="8"/>
      <c r="E264" s="9"/>
      <c r="F264" s="9"/>
      <c r="G264" s="10"/>
      <c r="H264" s="10"/>
      <c r="I264" s="11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7"/>
      <c r="B265" s="7"/>
      <c r="C265" s="5"/>
      <c r="D265" s="8"/>
      <c r="E265" s="9"/>
      <c r="F265" s="9"/>
      <c r="G265" s="10"/>
      <c r="H265" s="10"/>
      <c r="I265" s="11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7"/>
      <c r="B266" s="7"/>
      <c r="C266" s="5"/>
      <c r="D266" s="8"/>
      <c r="E266" s="9"/>
      <c r="F266" s="9"/>
      <c r="G266" s="10"/>
      <c r="H266" s="10"/>
      <c r="I266" s="11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7"/>
      <c r="B267" s="7"/>
      <c r="C267" s="5"/>
      <c r="D267" s="8"/>
      <c r="E267" s="9"/>
      <c r="F267" s="9"/>
      <c r="G267" s="10"/>
      <c r="H267" s="10"/>
      <c r="I267" s="11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7"/>
      <c r="B268" s="7"/>
      <c r="C268" s="5"/>
      <c r="D268" s="8"/>
      <c r="E268" s="9"/>
      <c r="F268" s="9"/>
      <c r="G268" s="10"/>
      <c r="H268" s="10"/>
      <c r="I268" s="11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7"/>
      <c r="B269" s="7"/>
      <c r="C269" s="5"/>
      <c r="D269" s="8"/>
      <c r="E269" s="9"/>
      <c r="F269" s="9"/>
      <c r="G269" s="10"/>
      <c r="H269" s="10"/>
      <c r="I269" s="11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7"/>
      <c r="B270" s="7"/>
      <c r="C270" s="5"/>
      <c r="D270" s="8"/>
      <c r="E270" s="9"/>
      <c r="F270" s="9"/>
      <c r="G270" s="10"/>
      <c r="H270" s="10"/>
      <c r="I270" s="11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7"/>
      <c r="B271" s="7"/>
      <c r="C271" s="5"/>
      <c r="D271" s="8"/>
      <c r="E271" s="9"/>
      <c r="F271" s="9"/>
      <c r="G271" s="10"/>
      <c r="H271" s="10"/>
      <c r="I271" s="11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7"/>
      <c r="B272" s="7"/>
      <c r="C272" s="5"/>
      <c r="D272" s="8"/>
      <c r="E272" s="9"/>
      <c r="F272" s="9"/>
      <c r="G272" s="10"/>
      <c r="H272" s="10"/>
      <c r="I272" s="11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7"/>
      <c r="B273" s="7"/>
      <c r="C273" s="5"/>
      <c r="D273" s="8"/>
      <c r="E273" s="9"/>
      <c r="F273" s="9"/>
      <c r="G273" s="10"/>
      <c r="H273" s="10"/>
      <c r="I273" s="11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7"/>
      <c r="B274" s="7"/>
      <c r="C274" s="5"/>
      <c r="D274" s="8"/>
      <c r="E274" s="9"/>
      <c r="F274" s="9"/>
      <c r="G274" s="10"/>
      <c r="H274" s="10"/>
      <c r="I274" s="11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7"/>
      <c r="B275" s="7"/>
      <c r="C275" s="5"/>
      <c r="D275" s="8"/>
      <c r="E275" s="9"/>
      <c r="F275" s="9"/>
      <c r="G275" s="10"/>
      <c r="H275" s="10"/>
      <c r="I275" s="11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7"/>
      <c r="B276" s="7"/>
      <c r="C276" s="5"/>
      <c r="D276" s="8"/>
      <c r="E276" s="9"/>
      <c r="F276" s="9"/>
      <c r="G276" s="10"/>
      <c r="H276" s="10"/>
      <c r="I276" s="11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7"/>
      <c r="B277" s="7"/>
      <c r="C277" s="5"/>
      <c r="D277" s="8"/>
      <c r="E277" s="9"/>
      <c r="F277" s="9"/>
      <c r="G277" s="10"/>
      <c r="H277" s="10"/>
      <c r="I277" s="11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7"/>
      <c r="B278" s="7"/>
      <c r="C278" s="5"/>
      <c r="D278" s="8"/>
      <c r="E278" s="9"/>
      <c r="F278" s="9"/>
      <c r="G278" s="10"/>
      <c r="H278" s="10"/>
      <c r="I278" s="11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7"/>
      <c r="B279" s="7"/>
      <c r="C279" s="5"/>
      <c r="D279" s="8"/>
      <c r="E279" s="9"/>
      <c r="F279" s="9"/>
      <c r="G279" s="10"/>
      <c r="H279" s="10"/>
      <c r="I279" s="11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7"/>
      <c r="B280" s="7"/>
      <c r="C280" s="5"/>
      <c r="D280" s="8"/>
      <c r="E280" s="9"/>
      <c r="F280" s="9"/>
      <c r="G280" s="10"/>
      <c r="H280" s="10"/>
      <c r="I280" s="11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7"/>
      <c r="B281" s="7"/>
      <c r="C281" s="5"/>
      <c r="D281" s="8"/>
      <c r="E281" s="9"/>
      <c r="F281" s="9"/>
      <c r="G281" s="10"/>
      <c r="H281" s="10"/>
      <c r="I281" s="11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7"/>
      <c r="B282" s="7"/>
      <c r="C282" s="5"/>
      <c r="D282" s="8"/>
      <c r="E282" s="9"/>
      <c r="F282" s="9"/>
      <c r="G282" s="10"/>
      <c r="H282" s="10"/>
      <c r="I282" s="11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7"/>
      <c r="B283" s="7"/>
      <c r="C283" s="5"/>
      <c r="D283" s="8"/>
      <c r="E283" s="9"/>
      <c r="F283" s="9"/>
      <c r="G283" s="10"/>
      <c r="H283" s="10"/>
      <c r="I283" s="11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7"/>
      <c r="B284" s="7"/>
      <c r="C284" s="5"/>
      <c r="D284" s="8"/>
      <c r="E284" s="9"/>
      <c r="F284" s="9"/>
      <c r="G284" s="10"/>
      <c r="H284" s="10"/>
      <c r="I284" s="11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7"/>
      <c r="B285" s="7"/>
      <c r="C285" s="5"/>
      <c r="D285" s="8"/>
      <c r="E285" s="9"/>
      <c r="F285" s="9"/>
      <c r="G285" s="10"/>
      <c r="H285" s="10"/>
      <c r="I285" s="11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7"/>
      <c r="B286" s="7"/>
      <c r="C286" s="5"/>
      <c r="D286" s="8"/>
      <c r="E286" s="9"/>
      <c r="F286" s="9"/>
      <c r="G286" s="10"/>
      <c r="H286" s="10"/>
      <c r="I286" s="11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7"/>
      <c r="B287" s="7"/>
      <c r="C287" s="5"/>
      <c r="D287" s="8"/>
      <c r="E287" s="9"/>
      <c r="F287" s="9"/>
      <c r="G287" s="10"/>
      <c r="H287" s="10"/>
      <c r="I287" s="11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7"/>
      <c r="B288" s="7"/>
      <c r="C288" s="5"/>
      <c r="D288" s="8"/>
      <c r="E288" s="9"/>
      <c r="F288" s="9"/>
      <c r="G288" s="10"/>
      <c r="H288" s="10"/>
      <c r="I288" s="11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7"/>
      <c r="B289" s="7"/>
      <c r="C289" s="5"/>
      <c r="D289" s="8"/>
      <c r="E289" s="9"/>
      <c r="F289" s="9"/>
      <c r="G289" s="10"/>
      <c r="H289" s="10"/>
      <c r="I289" s="11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7"/>
      <c r="B290" s="7"/>
      <c r="C290" s="5"/>
      <c r="D290" s="8"/>
      <c r="E290" s="9"/>
      <c r="F290" s="9"/>
      <c r="G290" s="10"/>
      <c r="H290" s="10"/>
      <c r="I290" s="11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7"/>
      <c r="B291" s="7"/>
      <c r="C291" s="5"/>
      <c r="D291" s="8"/>
      <c r="E291" s="9"/>
      <c r="F291" s="9"/>
      <c r="G291" s="10"/>
      <c r="H291" s="10"/>
      <c r="I291" s="11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7"/>
      <c r="B292" s="7"/>
      <c r="C292" s="5"/>
      <c r="D292" s="8"/>
      <c r="E292" s="9"/>
      <c r="F292" s="9"/>
      <c r="G292" s="10"/>
      <c r="H292" s="10"/>
      <c r="I292" s="11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7"/>
      <c r="B293" s="7"/>
      <c r="C293" s="5"/>
      <c r="D293" s="8"/>
      <c r="E293" s="9"/>
      <c r="F293" s="9"/>
      <c r="G293" s="10"/>
      <c r="H293" s="10"/>
      <c r="I293" s="11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7"/>
      <c r="B294" s="7"/>
      <c r="C294" s="5"/>
      <c r="D294" s="8"/>
      <c r="E294" s="9"/>
      <c r="F294" s="9"/>
      <c r="G294" s="10"/>
      <c r="H294" s="10"/>
      <c r="I294" s="11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7"/>
      <c r="B295" s="7"/>
      <c r="C295" s="5"/>
      <c r="D295" s="8"/>
      <c r="E295" s="9"/>
      <c r="F295" s="9"/>
      <c r="G295" s="10"/>
      <c r="H295" s="10"/>
      <c r="I295" s="11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7"/>
      <c r="B296" s="7"/>
      <c r="C296" s="5"/>
      <c r="D296" s="8"/>
      <c r="E296" s="9"/>
      <c r="F296" s="9"/>
      <c r="G296" s="10"/>
      <c r="H296" s="10"/>
      <c r="I296" s="11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7"/>
      <c r="B297" s="7"/>
      <c r="C297" s="5"/>
      <c r="D297" s="8"/>
      <c r="E297" s="9"/>
      <c r="F297" s="9"/>
      <c r="G297" s="10"/>
      <c r="H297" s="10"/>
      <c r="I297" s="11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7"/>
      <c r="B298" s="7"/>
      <c r="C298" s="5"/>
      <c r="D298" s="8"/>
      <c r="E298" s="9"/>
      <c r="F298" s="9"/>
      <c r="G298" s="10"/>
      <c r="H298" s="10"/>
      <c r="I298" s="11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7"/>
      <c r="B299" s="7"/>
      <c r="C299" s="5"/>
      <c r="D299" s="8"/>
      <c r="E299" s="9"/>
      <c r="F299" s="9"/>
      <c r="G299" s="10"/>
      <c r="H299" s="10"/>
      <c r="I299" s="11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7"/>
      <c r="B300" s="7"/>
      <c r="C300" s="5"/>
      <c r="D300" s="8"/>
      <c r="E300" s="9"/>
      <c r="F300" s="9"/>
      <c r="G300" s="10"/>
      <c r="H300" s="10"/>
      <c r="I300" s="11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7"/>
      <c r="B301" s="7"/>
      <c r="C301" s="5"/>
      <c r="D301" s="8"/>
      <c r="E301" s="9"/>
      <c r="F301" s="9"/>
      <c r="G301" s="10"/>
      <c r="H301" s="10"/>
      <c r="I301" s="11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7"/>
      <c r="B302" s="7"/>
      <c r="C302" s="5"/>
      <c r="D302" s="8"/>
      <c r="E302" s="9"/>
      <c r="F302" s="9"/>
      <c r="G302" s="10"/>
      <c r="H302" s="10"/>
      <c r="I302" s="11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7"/>
      <c r="B303" s="7"/>
      <c r="C303" s="5"/>
      <c r="D303" s="8"/>
      <c r="E303" s="9"/>
      <c r="F303" s="9"/>
      <c r="G303" s="10"/>
      <c r="H303" s="10"/>
      <c r="I303" s="11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7"/>
      <c r="B304" s="7"/>
      <c r="C304" s="5"/>
      <c r="D304" s="8"/>
      <c r="E304" s="9"/>
      <c r="F304" s="9"/>
      <c r="G304" s="10"/>
      <c r="H304" s="10"/>
      <c r="I304" s="11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7"/>
      <c r="B305" s="7"/>
      <c r="C305" s="5"/>
      <c r="D305" s="8"/>
      <c r="E305" s="9"/>
      <c r="F305" s="9"/>
      <c r="G305" s="10"/>
      <c r="H305" s="10"/>
      <c r="I305" s="11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7"/>
      <c r="B306" s="7"/>
      <c r="C306" s="5"/>
      <c r="D306" s="8"/>
      <c r="E306" s="9"/>
      <c r="F306" s="9"/>
      <c r="G306" s="10"/>
      <c r="H306" s="10"/>
      <c r="I306" s="11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7"/>
      <c r="B307" s="7"/>
      <c r="C307" s="5"/>
      <c r="D307" s="8"/>
      <c r="E307" s="9"/>
      <c r="F307" s="9"/>
      <c r="G307" s="10"/>
      <c r="H307" s="10"/>
      <c r="I307" s="11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7"/>
      <c r="B308" s="7"/>
      <c r="C308" s="5"/>
      <c r="D308" s="8"/>
      <c r="E308" s="9"/>
      <c r="F308" s="9"/>
      <c r="G308" s="10"/>
      <c r="H308" s="10"/>
      <c r="I308" s="11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7"/>
      <c r="B309" s="7"/>
      <c r="C309" s="5"/>
      <c r="D309" s="8"/>
      <c r="E309" s="9"/>
      <c r="F309" s="9"/>
      <c r="G309" s="10"/>
      <c r="H309" s="10"/>
      <c r="I309" s="11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7"/>
      <c r="B310" s="7"/>
      <c r="C310" s="5"/>
      <c r="D310" s="8"/>
      <c r="E310" s="9"/>
      <c r="F310" s="9"/>
      <c r="G310" s="10"/>
      <c r="H310" s="10"/>
      <c r="I310" s="11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7"/>
      <c r="B311" s="7"/>
      <c r="C311" s="5"/>
      <c r="D311" s="8"/>
      <c r="E311" s="9"/>
      <c r="F311" s="9"/>
      <c r="G311" s="10"/>
      <c r="H311" s="10"/>
      <c r="I311" s="11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7"/>
      <c r="B312" s="7"/>
      <c r="C312" s="5"/>
      <c r="D312" s="8"/>
      <c r="E312" s="9"/>
      <c r="F312" s="9"/>
      <c r="G312" s="10"/>
      <c r="H312" s="10"/>
      <c r="I312" s="11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7"/>
      <c r="B313" s="7"/>
      <c r="C313" s="5"/>
      <c r="D313" s="8"/>
      <c r="E313" s="9"/>
      <c r="F313" s="9"/>
      <c r="G313" s="10"/>
      <c r="H313" s="10"/>
      <c r="I313" s="11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7"/>
      <c r="B314" s="7"/>
      <c r="C314" s="5"/>
      <c r="D314" s="8"/>
      <c r="E314" s="9"/>
      <c r="F314" s="9"/>
      <c r="G314" s="10"/>
      <c r="H314" s="10"/>
      <c r="I314" s="11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7"/>
      <c r="B315" s="7"/>
      <c r="C315" s="5"/>
      <c r="D315" s="8"/>
      <c r="E315" s="9"/>
      <c r="F315" s="9"/>
      <c r="G315" s="10"/>
      <c r="H315" s="10"/>
      <c r="I315" s="11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7"/>
      <c r="B316" s="7"/>
      <c r="C316" s="5"/>
      <c r="D316" s="8"/>
      <c r="E316" s="9"/>
      <c r="F316" s="9"/>
      <c r="G316" s="10"/>
      <c r="H316" s="10"/>
      <c r="I316" s="11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7"/>
      <c r="B317" s="7"/>
      <c r="C317" s="5"/>
      <c r="D317" s="8"/>
      <c r="E317" s="9"/>
      <c r="F317" s="9"/>
      <c r="G317" s="10"/>
      <c r="H317" s="10"/>
      <c r="I317" s="11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7"/>
      <c r="B318" s="7"/>
      <c r="C318" s="5"/>
      <c r="D318" s="8"/>
      <c r="E318" s="9"/>
      <c r="F318" s="9"/>
      <c r="G318" s="10"/>
      <c r="H318" s="10"/>
      <c r="I318" s="11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7"/>
      <c r="B319" s="7"/>
      <c r="C319" s="5"/>
      <c r="D319" s="8"/>
      <c r="E319" s="9"/>
      <c r="F319" s="9"/>
      <c r="G319" s="10"/>
      <c r="H319" s="10"/>
      <c r="I319" s="11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7"/>
      <c r="B320" s="7"/>
      <c r="C320" s="5"/>
      <c r="D320" s="8"/>
      <c r="E320" s="9"/>
      <c r="F320" s="9"/>
      <c r="G320" s="10"/>
      <c r="H320" s="10"/>
      <c r="I320" s="11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7"/>
      <c r="B321" s="7"/>
      <c r="C321" s="5"/>
      <c r="D321" s="8"/>
      <c r="E321" s="9"/>
      <c r="F321" s="9"/>
      <c r="G321" s="10"/>
      <c r="H321" s="10"/>
      <c r="I321" s="11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7"/>
      <c r="B322" s="7"/>
      <c r="C322" s="5"/>
      <c r="D322" s="8"/>
      <c r="E322" s="9"/>
      <c r="F322" s="9"/>
      <c r="G322" s="10"/>
      <c r="H322" s="10"/>
      <c r="I322" s="11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7"/>
      <c r="B323" s="7"/>
      <c r="C323" s="5"/>
      <c r="D323" s="8"/>
      <c r="E323" s="9"/>
      <c r="F323" s="9"/>
      <c r="G323" s="10"/>
      <c r="H323" s="10"/>
      <c r="I323" s="11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7"/>
      <c r="B324" s="7"/>
      <c r="C324" s="5"/>
      <c r="D324" s="8"/>
      <c r="E324" s="9"/>
      <c r="F324" s="9"/>
      <c r="G324" s="10"/>
      <c r="H324" s="10"/>
      <c r="I324" s="11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7"/>
      <c r="B325" s="7"/>
      <c r="C325" s="5"/>
      <c r="D325" s="8"/>
      <c r="E325" s="9"/>
      <c r="F325" s="9"/>
      <c r="G325" s="10"/>
      <c r="H325" s="10"/>
      <c r="I325" s="11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7"/>
      <c r="B326" s="7"/>
      <c r="C326" s="5"/>
      <c r="D326" s="8"/>
      <c r="E326" s="9"/>
      <c r="F326" s="9"/>
      <c r="G326" s="10"/>
      <c r="H326" s="10"/>
      <c r="I326" s="11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7"/>
      <c r="B327" s="7"/>
      <c r="C327" s="5"/>
      <c r="D327" s="8"/>
      <c r="E327" s="9"/>
      <c r="F327" s="9"/>
      <c r="G327" s="10"/>
      <c r="H327" s="10"/>
      <c r="I327" s="11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7"/>
      <c r="B328" s="7"/>
      <c r="C328" s="5"/>
      <c r="D328" s="8"/>
      <c r="E328" s="9"/>
      <c r="F328" s="9"/>
      <c r="G328" s="10"/>
      <c r="H328" s="10"/>
      <c r="I328" s="11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7"/>
      <c r="B329" s="7"/>
      <c r="C329" s="5"/>
      <c r="D329" s="8"/>
      <c r="E329" s="9"/>
      <c r="F329" s="9"/>
      <c r="G329" s="10"/>
      <c r="H329" s="10"/>
      <c r="I329" s="11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7"/>
      <c r="B330" s="7"/>
      <c r="C330" s="5"/>
      <c r="D330" s="8"/>
      <c r="E330" s="9"/>
      <c r="F330" s="9"/>
      <c r="G330" s="10"/>
      <c r="H330" s="10"/>
      <c r="I330" s="11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7"/>
      <c r="B331" s="7"/>
      <c r="C331" s="5"/>
      <c r="D331" s="8"/>
      <c r="E331" s="9"/>
      <c r="F331" s="9"/>
      <c r="G331" s="10"/>
      <c r="H331" s="10"/>
      <c r="I331" s="11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7"/>
      <c r="B332" s="7"/>
      <c r="C332" s="5"/>
      <c r="D332" s="8"/>
      <c r="E332" s="9"/>
      <c r="F332" s="9"/>
      <c r="G332" s="10"/>
      <c r="H332" s="10"/>
      <c r="I332" s="11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7"/>
      <c r="B333" s="7"/>
      <c r="C333" s="5"/>
      <c r="D333" s="8"/>
      <c r="E333" s="9"/>
      <c r="F333" s="9"/>
      <c r="G333" s="10"/>
      <c r="H333" s="10"/>
      <c r="I333" s="11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7"/>
      <c r="B334" s="7"/>
      <c r="C334" s="5"/>
      <c r="D334" s="8"/>
      <c r="E334" s="9"/>
      <c r="F334" s="9"/>
      <c r="G334" s="10"/>
      <c r="H334" s="10"/>
      <c r="I334" s="11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7"/>
      <c r="B335" s="7"/>
      <c r="C335" s="5"/>
      <c r="D335" s="8"/>
      <c r="E335" s="9"/>
      <c r="F335" s="9"/>
      <c r="G335" s="10"/>
      <c r="H335" s="10"/>
      <c r="I335" s="11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7"/>
      <c r="B336" s="7"/>
      <c r="C336" s="5"/>
      <c r="D336" s="8"/>
      <c r="E336" s="9"/>
      <c r="F336" s="9"/>
      <c r="G336" s="10"/>
      <c r="H336" s="10"/>
      <c r="I336" s="11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7"/>
      <c r="B337" s="7"/>
      <c r="C337" s="5"/>
      <c r="D337" s="8"/>
      <c r="E337" s="9"/>
      <c r="F337" s="9"/>
      <c r="G337" s="10"/>
      <c r="H337" s="10"/>
      <c r="I337" s="11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7"/>
      <c r="B338" s="7"/>
      <c r="C338" s="5"/>
      <c r="D338" s="8"/>
      <c r="E338" s="9"/>
      <c r="F338" s="9"/>
      <c r="G338" s="10"/>
      <c r="H338" s="10"/>
      <c r="I338" s="11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7"/>
      <c r="B339" s="7"/>
      <c r="C339" s="5"/>
      <c r="D339" s="8"/>
      <c r="E339" s="9"/>
      <c r="F339" s="9"/>
      <c r="G339" s="10"/>
      <c r="H339" s="10"/>
      <c r="I339" s="11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7"/>
      <c r="B340" s="7"/>
      <c r="C340" s="5"/>
      <c r="D340" s="8"/>
      <c r="E340" s="9"/>
      <c r="F340" s="9"/>
      <c r="G340" s="10"/>
      <c r="H340" s="10"/>
      <c r="I340" s="11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7"/>
      <c r="B341" s="7"/>
      <c r="C341" s="5"/>
      <c r="D341" s="8"/>
      <c r="E341" s="9"/>
      <c r="F341" s="9"/>
      <c r="G341" s="10"/>
      <c r="H341" s="10"/>
      <c r="I341" s="11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7"/>
      <c r="B342" s="7"/>
      <c r="C342" s="5"/>
      <c r="D342" s="8"/>
      <c r="E342" s="9"/>
      <c r="F342" s="9"/>
      <c r="G342" s="10"/>
      <c r="H342" s="10"/>
      <c r="I342" s="11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7"/>
      <c r="B343" s="7"/>
      <c r="C343" s="5"/>
      <c r="D343" s="8"/>
      <c r="E343" s="9"/>
      <c r="F343" s="9"/>
      <c r="G343" s="10"/>
      <c r="H343" s="10"/>
      <c r="I343" s="11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7"/>
      <c r="B344" s="7"/>
      <c r="C344" s="5"/>
      <c r="D344" s="8"/>
      <c r="E344" s="9"/>
      <c r="F344" s="9"/>
      <c r="G344" s="10"/>
      <c r="H344" s="10"/>
      <c r="I344" s="11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7"/>
      <c r="B345" s="7"/>
      <c r="C345" s="5"/>
      <c r="D345" s="8"/>
      <c r="E345" s="9"/>
      <c r="F345" s="9"/>
      <c r="G345" s="10"/>
      <c r="H345" s="10"/>
      <c r="I345" s="11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7"/>
      <c r="B346" s="7"/>
      <c r="C346" s="5"/>
      <c r="D346" s="8"/>
      <c r="E346" s="9"/>
      <c r="F346" s="9"/>
      <c r="G346" s="10"/>
      <c r="H346" s="10"/>
      <c r="I346" s="11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7"/>
      <c r="B347" s="7"/>
      <c r="C347" s="5"/>
      <c r="D347" s="8"/>
      <c r="E347" s="9"/>
      <c r="F347" s="9"/>
      <c r="G347" s="10"/>
      <c r="H347" s="10"/>
      <c r="I347" s="11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7"/>
      <c r="B348" s="7"/>
      <c r="C348" s="5"/>
      <c r="D348" s="8"/>
      <c r="E348" s="9"/>
      <c r="F348" s="9"/>
      <c r="G348" s="10"/>
      <c r="H348" s="10"/>
      <c r="I348" s="11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7"/>
      <c r="B349" s="7"/>
      <c r="C349" s="5"/>
      <c r="D349" s="8"/>
      <c r="E349" s="9"/>
      <c r="F349" s="9"/>
      <c r="G349" s="10"/>
      <c r="H349" s="10"/>
      <c r="I349" s="11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7"/>
      <c r="B350" s="7"/>
      <c r="C350" s="5"/>
      <c r="D350" s="8"/>
      <c r="E350" s="9"/>
      <c r="F350" s="9"/>
      <c r="G350" s="10"/>
      <c r="H350" s="10"/>
      <c r="I350" s="11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7"/>
      <c r="B351" s="7"/>
      <c r="C351" s="5"/>
      <c r="D351" s="8"/>
      <c r="E351" s="9"/>
      <c r="F351" s="9"/>
      <c r="G351" s="10"/>
      <c r="H351" s="10"/>
      <c r="I351" s="11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7"/>
      <c r="B352" s="7"/>
      <c r="C352" s="5"/>
      <c r="D352" s="8"/>
      <c r="E352" s="9"/>
      <c r="F352" s="9"/>
      <c r="G352" s="10"/>
      <c r="H352" s="10"/>
      <c r="I352" s="11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7"/>
      <c r="B353" s="7"/>
      <c r="C353" s="5"/>
      <c r="D353" s="8"/>
      <c r="E353" s="9"/>
      <c r="F353" s="9"/>
      <c r="G353" s="10"/>
      <c r="H353" s="10"/>
      <c r="I353" s="11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7"/>
      <c r="B354" s="7"/>
      <c r="C354" s="5"/>
      <c r="D354" s="8"/>
      <c r="E354" s="9"/>
      <c r="F354" s="9"/>
      <c r="G354" s="10"/>
      <c r="H354" s="10"/>
      <c r="I354" s="11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7"/>
      <c r="B355" s="7"/>
      <c r="C355" s="5"/>
      <c r="D355" s="8"/>
      <c r="E355" s="9"/>
      <c r="F355" s="9"/>
      <c r="G355" s="10"/>
      <c r="H355" s="10"/>
      <c r="I355" s="11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7"/>
      <c r="B356" s="7"/>
      <c r="C356" s="5"/>
      <c r="D356" s="8"/>
      <c r="E356" s="9"/>
      <c r="F356" s="9"/>
      <c r="G356" s="10"/>
      <c r="H356" s="10"/>
      <c r="I356" s="11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7"/>
      <c r="B357" s="7"/>
      <c r="C357" s="5"/>
      <c r="D357" s="8"/>
      <c r="E357" s="9"/>
      <c r="F357" s="9"/>
      <c r="G357" s="10"/>
      <c r="H357" s="10"/>
      <c r="I357" s="11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7"/>
      <c r="B358" s="7"/>
      <c r="C358" s="5"/>
      <c r="D358" s="8"/>
      <c r="E358" s="9"/>
      <c r="F358" s="9"/>
      <c r="G358" s="10"/>
      <c r="H358" s="10"/>
      <c r="I358" s="11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7"/>
      <c r="B359" s="7"/>
      <c r="C359" s="5"/>
      <c r="D359" s="8"/>
      <c r="E359" s="9"/>
      <c r="F359" s="9"/>
      <c r="G359" s="10"/>
      <c r="H359" s="10"/>
      <c r="I359" s="11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7"/>
      <c r="B360" s="7"/>
      <c r="C360" s="5"/>
      <c r="D360" s="8"/>
      <c r="E360" s="9"/>
      <c r="F360" s="9"/>
      <c r="G360" s="10"/>
      <c r="H360" s="10"/>
      <c r="I360" s="11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7"/>
      <c r="B361" s="7"/>
      <c r="C361" s="5"/>
      <c r="D361" s="8"/>
      <c r="E361" s="9"/>
      <c r="F361" s="9"/>
      <c r="G361" s="10"/>
      <c r="H361" s="10"/>
      <c r="I361" s="11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7"/>
      <c r="B362" s="7"/>
      <c r="C362" s="5"/>
      <c r="D362" s="8"/>
      <c r="E362" s="9"/>
      <c r="F362" s="9"/>
      <c r="G362" s="10"/>
      <c r="H362" s="10"/>
      <c r="I362" s="11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7"/>
      <c r="B363" s="7"/>
      <c r="C363" s="5"/>
      <c r="D363" s="8"/>
      <c r="E363" s="9"/>
      <c r="F363" s="9"/>
      <c r="G363" s="10"/>
      <c r="H363" s="10"/>
      <c r="I363" s="11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7"/>
      <c r="B364" s="7"/>
      <c r="C364" s="5"/>
      <c r="D364" s="8"/>
      <c r="E364" s="9"/>
      <c r="F364" s="9"/>
      <c r="G364" s="10"/>
      <c r="H364" s="10"/>
      <c r="I364" s="11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7"/>
      <c r="B365" s="7"/>
      <c r="C365" s="5"/>
      <c r="D365" s="8"/>
      <c r="E365" s="9"/>
      <c r="F365" s="9"/>
      <c r="G365" s="10"/>
      <c r="H365" s="10"/>
      <c r="I365" s="11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7"/>
      <c r="B366" s="7"/>
      <c r="C366" s="5"/>
      <c r="D366" s="8"/>
      <c r="E366" s="9"/>
      <c r="F366" s="9"/>
      <c r="G366" s="10"/>
      <c r="H366" s="10"/>
      <c r="I366" s="11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7"/>
      <c r="B367" s="7"/>
      <c r="C367" s="5"/>
      <c r="D367" s="8"/>
      <c r="E367" s="9"/>
      <c r="F367" s="9"/>
      <c r="G367" s="10"/>
      <c r="H367" s="10"/>
      <c r="I367" s="11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7"/>
      <c r="B368" s="7"/>
      <c r="C368" s="5"/>
      <c r="D368" s="8"/>
      <c r="E368" s="9"/>
      <c r="F368" s="9"/>
      <c r="G368" s="10"/>
      <c r="H368" s="10"/>
      <c r="I368" s="11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7"/>
      <c r="B369" s="7"/>
      <c r="C369" s="5"/>
      <c r="D369" s="8"/>
      <c r="E369" s="9"/>
      <c r="F369" s="9"/>
      <c r="G369" s="10"/>
      <c r="H369" s="10"/>
      <c r="I369" s="11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7"/>
      <c r="B370" s="7"/>
      <c r="C370" s="5"/>
      <c r="D370" s="8"/>
      <c r="E370" s="9"/>
      <c r="F370" s="9"/>
      <c r="G370" s="10"/>
      <c r="H370" s="10"/>
      <c r="I370" s="11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7"/>
      <c r="B371" s="7"/>
      <c r="C371" s="5"/>
      <c r="D371" s="8"/>
      <c r="E371" s="9"/>
      <c r="F371" s="9"/>
      <c r="G371" s="10"/>
      <c r="H371" s="10"/>
      <c r="I371" s="11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7"/>
      <c r="B372" s="7"/>
      <c r="C372" s="5"/>
      <c r="D372" s="8"/>
      <c r="E372" s="9"/>
      <c r="F372" s="9"/>
      <c r="G372" s="10"/>
      <c r="H372" s="10"/>
      <c r="I372" s="11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7"/>
      <c r="B373" s="7"/>
      <c r="C373" s="5"/>
      <c r="D373" s="8"/>
      <c r="E373" s="9"/>
      <c r="F373" s="9"/>
      <c r="G373" s="10"/>
      <c r="H373" s="10"/>
      <c r="I373" s="11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7"/>
      <c r="B374" s="7"/>
      <c r="C374" s="5"/>
      <c r="D374" s="8"/>
      <c r="E374" s="9"/>
      <c r="F374" s="9"/>
      <c r="G374" s="10"/>
      <c r="H374" s="10"/>
      <c r="I374" s="11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7"/>
      <c r="B375" s="7"/>
      <c r="C375" s="5"/>
      <c r="D375" s="8"/>
      <c r="E375" s="9"/>
      <c r="F375" s="9"/>
      <c r="G375" s="10"/>
      <c r="H375" s="10"/>
      <c r="I375" s="11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7"/>
      <c r="B376" s="7"/>
      <c r="C376" s="5"/>
      <c r="D376" s="8"/>
      <c r="E376" s="9"/>
      <c r="F376" s="9"/>
      <c r="G376" s="10"/>
      <c r="H376" s="10"/>
      <c r="I376" s="11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7"/>
      <c r="B377" s="7"/>
      <c r="C377" s="5"/>
      <c r="D377" s="8"/>
      <c r="E377" s="9"/>
      <c r="F377" s="9"/>
      <c r="G377" s="10"/>
      <c r="H377" s="10"/>
      <c r="I377" s="11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7"/>
      <c r="B378" s="7"/>
      <c r="C378" s="5"/>
      <c r="D378" s="8"/>
      <c r="E378" s="9"/>
      <c r="F378" s="9"/>
      <c r="G378" s="10"/>
      <c r="H378" s="10"/>
      <c r="I378" s="11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7"/>
      <c r="B379" s="7"/>
      <c r="C379" s="5"/>
      <c r="D379" s="8"/>
      <c r="E379" s="9"/>
      <c r="F379" s="9"/>
      <c r="G379" s="10"/>
      <c r="H379" s="10"/>
      <c r="I379" s="11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7"/>
      <c r="B380" s="7"/>
      <c r="C380" s="5"/>
      <c r="D380" s="8"/>
      <c r="E380" s="9"/>
      <c r="F380" s="9"/>
      <c r="G380" s="10"/>
      <c r="H380" s="10"/>
      <c r="I380" s="11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7"/>
      <c r="B381" s="7"/>
      <c r="C381" s="5"/>
      <c r="D381" s="8"/>
      <c r="E381" s="9"/>
      <c r="F381" s="9"/>
      <c r="G381" s="10"/>
      <c r="H381" s="10"/>
      <c r="I381" s="11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7"/>
      <c r="B382" s="7"/>
      <c r="C382" s="5"/>
      <c r="D382" s="8"/>
      <c r="E382" s="9"/>
      <c r="F382" s="9"/>
      <c r="G382" s="10"/>
      <c r="H382" s="10"/>
      <c r="I382" s="11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7"/>
      <c r="B383" s="7"/>
      <c r="C383" s="5"/>
      <c r="D383" s="8"/>
      <c r="E383" s="9"/>
      <c r="F383" s="9"/>
      <c r="G383" s="10"/>
      <c r="H383" s="10"/>
      <c r="I383" s="11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7"/>
      <c r="B384" s="7"/>
      <c r="C384" s="5"/>
      <c r="D384" s="8"/>
      <c r="E384" s="9"/>
      <c r="F384" s="9"/>
      <c r="G384" s="10"/>
      <c r="H384" s="10"/>
      <c r="I384" s="11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7"/>
      <c r="B385" s="7"/>
      <c r="C385" s="5"/>
      <c r="D385" s="8"/>
      <c r="E385" s="9"/>
      <c r="F385" s="9"/>
      <c r="G385" s="10"/>
      <c r="H385" s="10"/>
      <c r="I385" s="11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7"/>
      <c r="B386" s="7"/>
      <c r="C386" s="5"/>
      <c r="D386" s="8"/>
      <c r="E386" s="9"/>
      <c r="F386" s="9"/>
      <c r="G386" s="10"/>
      <c r="H386" s="10"/>
      <c r="I386" s="11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7"/>
      <c r="B387" s="7"/>
      <c r="C387" s="5"/>
      <c r="D387" s="8"/>
      <c r="E387" s="9"/>
      <c r="F387" s="9"/>
      <c r="G387" s="10"/>
      <c r="H387" s="10"/>
      <c r="I387" s="11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7"/>
      <c r="B388" s="7"/>
      <c r="C388" s="5"/>
      <c r="D388" s="8"/>
      <c r="E388" s="9"/>
      <c r="F388" s="9"/>
      <c r="G388" s="10"/>
      <c r="H388" s="10"/>
      <c r="I388" s="11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7"/>
      <c r="B389" s="7"/>
      <c r="C389" s="5"/>
      <c r="D389" s="8"/>
      <c r="E389" s="9"/>
      <c r="F389" s="9"/>
      <c r="G389" s="10"/>
      <c r="H389" s="10"/>
      <c r="I389" s="11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7"/>
      <c r="B390" s="7"/>
      <c r="C390" s="5"/>
      <c r="D390" s="8"/>
      <c r="E390" s="9"/>
      <c r="F390" s="9"/>
      <c r="G390" s="10"/>
      <c r="H390" s="10"/>
      <c r="I390" s="11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7"/>
      <c r="B391" s="7"/>
      <c r="C391" s="5"/>
      <c r="D391" s="8"/>
      <c r="E391" s="9"/>
      <c r="F391" s="9"/>
      <c r="G391" s="10"/>
      <c r="H391" s="10"/>
      <c r="I391" s="11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7"/>
      <c r="B392" s="7"/>
      <c r="C392" s="5"/>
      <c r="D392" s="8"/>
      <c r="E392" s="9"/>
      <c r="F392" s="9"/>
      <c r="G392" s="10"/>
      <c r="H392" s="10"/>
      <c r="I392" s="11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7"/>
      <c r="B393" s="7"/>
      <c r="C393" s="5"/>
      <c r="D393" s="8"/>
      <c r="E393" s="9"/>
      <c r="F393" s="9"/>
      <c r="G393" s="10"/>
      <c r="H393" s="10"/>
      <c r="I393" s="11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7"/>
      <c r="B394" s="7"/>
      <c r="C394" s="5"/>
      <c r="D394" s="8"/>
      <c r="E394" s="9"/>
      <c r="F394" s="9"/>
      <c r="G394" s="10"/>
      <c r="H394" s="10"/>
      <c r="I394" s="11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7"/>
      <c r="B395" s="7"/>
      <c r="C395" s="5"/>
      <c r="D395" s="8"/>
      <c r="E395" s="9"/>
      <c r="F395" s="9"/>
      <c r="G395" s="10"/>
      <c r="H395" s="10"/>
      <c r="I395" s="11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7"/>
      <c r="B396" s="7"/>
      <c r="C396" s="5"/>
      <c r="D396" s="8"/>
      <c r="E396" s="9"/>
      <c r="F396" s="9"/>
      <c r="G396" s="10"/>
      <c r="H396" s="10"/>
      <c r="I396" s="11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7"/>
      <c r="B397" s="7"/>
      <c r="C397" s="5"/>
      <c r="D397" s="8"/>
      <c r="E397" s="9"/>
      <c r="F397" s="9"/>
      <c r="G397" s="10"/>
      <c r="H397" s="10"/>
      <c r="I397" s="11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7"/>
      <c r="B398" s="7"/>
      <c r="C398" s="5"/>
      <c r="D398" s="8"/>
      <c r="E398" s="9"/>
      <c r="F398" s="9"/>
      <c r="G398" s="10"/>
      <c r="H398" s="10"/>
      <c r="I398" s="11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7"/>
      <c r="B399" s="7"/>
      <c r="C399" s="5"/>
      <c r="D399" s="8"/>
      <c r="E399" s="9"/>
      <c r="F399" s="9"/>
      <c r="G399" s="10"/>
      <c r="H399" s="10"/>
      <c r="I399" s="11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7"/>
      <c r="B400" s="7"/>
      <c r="C400" s="5"/>
      <c r="D400" s="8"/>
      <c r="E400" s="9"/>
      <c r="F400" s="9"/>
      <c r="G400" s="10"/>
      <c r="H400" s="10"/>
      <c r="I400" s="11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7"/>
      <c r="B401" s="7"/>
      <c r="C401" s="5"/>
      <c r="D401" s="8"/>
      <c r="E401" s="9"/>
      <c r="F401" s="9"/>
      <c r="G401" s="10"/>
      <c r="H401" s="10"/>
      <c r="I401" s="11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7"/>
      <c r="B402" s="7"/>
      <c r="C402" s="5"/>
      <c r="D402" s="8"/>
      <c r="E402" s="9"/>
      <c r="F402" s="9"/>
      <c r="G402" s="10"/>
      <c r="H402" s="10"/>
      <c r="I402" s="11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7"/>
      <c r="B403" s="7"/>
      <c r="C403" s="5"/>
      <c r="D403" s="8"/>
      <c r="E403" s="9"/>
      <c r="F403" s="9"/>
      <c r="G403" s="10"/>
      <c r="H403" s="10"/>
      <c r="I403" s="11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7"/>
      <c r="B404" s="7"/>
      <c r="C404" s="5"/>
      <c r="D404" s="8"/>
      <c r="E404" s="9"/>
      <c r="F404" s="9"/>
      <c r="G404" s="10"/>
      <c r="H404" s="10"/>
      <c r="I404" s="11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7"/>
      <c r="B405" s="7"/>
      <c r="C405" s="5"/>
      <c r="D405" s="8"/>
      <c r="E405" s="9"/>
      <c r="F405" s="9"/>
      <c r="G405" s="10"/>
      <c r="H405" s="10"/>
      <c r="I405" s="11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7"/>
      <c r="B406" s="7"/>
      <c r="C406" s="5"/>
      <c r="D406" s="8"/>
      <c r="E406" s="9"/>
      <c r="F406" s="9"/>
      <c r="G406" s="10"/>
      <c r="H406" s="10"/>
      <c r="I406" s="11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7"/>
      <c r="B407" s="7"/>
      <c r="C407" s="5"/>
      <c r="D407" s="8"/>
      <c r="E407" s="9"/>
      <c r="F407" s="9"/>
      <c r="G407" s="10"/>
      <c r="H407" s="10"/>
      <c r="I407" s="11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7"/>
      <c r="B408" s="7"/>
      <c r="C408" s="5"/>
      <c r="D408" s="8"/>
      <c r="E408" s="9"/>
      <c r="F408" s="9"/>
      <c r="G408" s="10"/>
      <c r="H408" s="10"/>
      <c r="I408" s="11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7"/>
      <c r="B409" s="7"/>
      <c r="C409" s="5"/>
      <c r="D409" s="8"/>
      <c r="E409" s="9"/>
      <c r="F409" s="9"/>
      <c r="G409" s="10"/>
      <c r="H409" s="10"/>
      <c r="I409" s="11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7"/>
      <c r="B410" s="7"/>
      <c r="C410" s="5"/>
      <c r="D410" s="8"/>
      <c r="E410" s="9"/>
      <c r="F410" s="9"/>
      <c r="G410" s="10"/>
      <c r="H410" s="10"/>
      <c r="I410" s="11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7"/>
      <c r="B411" s="7"/>
      <c r="C411" s="5"/>
      <c r="D411" s="8"/>
      <c r="E411" s="9"/>
      <c r="F411" s="9"/>
      <c r="G411" s="10"/>
      <c r="H411" s="10"/>
      <c r="I411" s="11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7"/>
      <c r="B412" s="7"/>
      <c r="C412" s="5"/>
      <c r="D412" s="8"/>
      <c r="E412" s="9"/>
      <c r="F412" s="9"/>
      <c r="G412" s="10"/>
      <c r="H412" s="10"/>
      <c r="I412" s="11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7"/>
      <c r="B413" s="7"/>
      <c r="C413" s="5"/>
      <c r="D413" s="8"/>
      <c r="E413" s="9"/>
      <c r="F413" s="9"/>
      <c r="G413" s="10"/>
      <c r="H413" s="10"/>
      <c r="I413" s="11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7"/>
      <c r="B414" s="7"/>
      <c r="C414" s="5"/>
      <c r="D414" s="8"/>
      <c r="E414" s="9"/>
      <c r="F414" s="9"/>
      <c r="G414" s="10"/>
      <c r="H414" s="10"/>
      <c r="I414" s="11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7"/>
      <c r="B415" s="7"/>
      <c r="C415" s="5"/>
      <c r="D415" s="8"/>
      <c r="E415" s="9"/>
      <c r="F415" s="9"/>
      <c r="G415" s="10"/>
      <c r="H415" s="10"/>
      <c r="I415" s="11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7"/>
      <c r="B416" s="7"/>
      <c r="C416" s="5"/>
      <c r="D416" s="8"/>
      <c r="E416" s="9"/>
      <c r="F416" s="9"/>
      <c r="G416" s="10"/>
      <c r="H416" s="10"/>
      <c r="I416" s="11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7"/>
      <c r="B417" s="7"/>
      <c r="C417" s="5"/>
      <c r="D417" s="8"/>
      <c r="E417" s="9"/>
      <c r="F417" s="9"/>
      <c r="G417" s="10"/>
      <c r="H417" s="10"/>
      <c r="I417" s="11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7"/>
      <c r="B418" s="7"/>
      <c r="C418" s="5"/>
      <c r="D418" s="8"/>
      <c r="E418" s="9"/>
      <c r="F418" s="9"/>
      <c r="G418" s="10"/>
      <c r="H418" s="10"/>
      <c r="I418" s="11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7"/>
      <c r="B419" s="7"/>
      <c r="C419" s="5"/>
      <c r="D419" s="8"/>
      <c r="E419" s="9"/>
      <c r="F419" s="9"/>
      <c r="G419" s="10"/>
      <c r="H419" s="10"/>
      <c r="I419" s="11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7"/>
      <c r="B420" s="7"/>
      <c r="C420" s="5"/>
      <c r="D420" s="8"/>
      <c r="E420" s="9"/>
      <c r="F420" s="9"/>
      <c r="G420" s="10"/>
      <c r="H420" s="10"/>
      <c r="I420" s="11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7"/>
      <c r="B421" s="7"/>
      <c r="C421" s="5"/>
      <c r="D421" s="8"/>
      <c r="E421" s="9"/>
      <c r="F421" s="9"/>
      <c r="G421" s="10"/>
      <c r="H421" s="10"/>
      <c r="I421" s="11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7"/>
      <c r="B422" s="7"/>
      <c r="C422" s="5"/>
      <c r="D422" s="8"/>
      <c r="E422" s="9"/>
      <c r="F422" s="9"/>
      <c r="G422" s="10"/>
      <c r="H422" s="10"/>
      <c r="I422" s="11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7"/>
      <c r="B423" s="7"/>
      <c r="C423" s="5"/>
      <c r="D423" s="8"/>
      <c r="E423" s="9"/>
      <c r="F423" s="9"/>
      <c r="G423" s="10"/>
      <c r="H423" s="10"/>
      <c r="I423" s="11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7"/>
      <c r="B424" s="7"/>
      <c r="C424" s="5"/>
      <c r="D424" s="8"/>
      <c r="E424" s="9"/>
      <c r="F424" s="9"/>
      <c r="G424" s="10"/>
      <c r="H424" s="10"/>
      <c r="I424" s="11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7"/>
      <c r="B425" s="7"/>
      <c r="C425" s="5"/>
      <c r="D425" s="8"/>
      <c r="E425" s="9"/>
      <c r="F425" s="9"/>
      <c r="G425" s="10"/>
      <c r="H425" s="10"/>
      <c r="I425" s="11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7"/>
      <c r="B426" s="7"/>
      <c r="C426" s="5"/>
      <c r="D426" s="8"/>
      <c r="E426" s="9"/>
      <c r="F426" s="9"/>
      <c r="G426" s="10"/>
      <c r="H426" s="10"/>
      <c r="I426" s="11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7"/>
      <c r="B427" s="7"/>
      <c r="C427" s="5"/>
      <c r="D427" s="8"/>
      <c r="E427" s="9"/>
      <c r="F427" s="9"/>
      <c r="G427" s="10"/>
      <c r="H427" s="10"/>
      <c r="I427" s="11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7"/>
      <c r="B428" s="7"/>
      <c r="C428" s="5"/>
      <c r="D428" s="8"/>
      <c r="E428" s="9"/>
      <c r="F428" s="9"/>
      <c r="G428" s="10"/>
      <c r="H428" s="10"/>
      <c r="I428" s="11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7"/>
      <c r="B429" s="7"/>
      <c r="C429" s="5"/>
      <c r="D429" s="8"/>
      <c r="E429" s="9"/>
      <c r="F429" s="9"/>
      <c r="G429" s="10"/>
      <c r="H429" s="10"/>
      <c r="I429" s="11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7"/>
      <c r="B430" s="7"/>
      <c r="C430" s="5"/>
      <c r="D430" s="8"/>
      <c r="E430" s="9"/>
      <c r="F430" s="9"/>
      <c r="G430" s="10"/>
      <c r="H430" s="10"/>
      <c r="I430" s="11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7"/>
      <c r="B431" s="7"/>
      <c r="C431" s="5"/>
      <c r="D431" s="8"/>
      <c r="E431" s="9"/>
      <c r="F431" s="9"/>
      <c r="G431" s="10"/>
      <c r="H431" s="10"/>
      <c r="I431" s="11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7"/>
      <c r="B432" s="7"/>
      <c r="C432" s="5"/>
      <c r="D432" s="8"/>
      <c r="E432" s="9"/>
      <c r="F432" s="9"/>
      <c r="G432" s="10"/>
      <c r="H432" s="10"/>
      <c r="I432" s="11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7"/>
      <c r="B433" s="7"/>
      <c r="C433" s="5"/>
      <c r="D433" s="8"/>
      <c r="E433" s="9"/>
      <c r="F433" s="9"/>
      <c r="G433" s="10"/>
      <c r="H433" s="10"/>
      <c r="I433" s="11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7"/>
      <c r="B434" s="7"/>
      <c r="C434" s="5"/>
      <c r="D434" s="8"/>
      <c r="E434" s="9"/>
      <c r="F434" s="9"/>
      <c r="G434" s="10"/>
      <c r="H434" s="10"/>
      <c r="I434" s="11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7"/>
      <c r="B435" s="7"/>
      <c r="C435" s="5"/>
      <c r="D435" s="8"/>
      <c r="E435" s="9"/>
      <c r="F435" s="9"/>
      <c r="G435" s="10"/>
      <c r="H435" s="10"/>
      <c r="I435" s="11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7"/>
      <c r="B436" s="7"/>
      <c r="C436" s="5"/>
      <c r="D436" s="8"/>
      <c r="E436" s="9"/>
      <c r="F436" s="9"/>
      <c r="G436" s="10"/>
      <c r="H436" s="10"/>
      <c r="I436" s="11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7"/>
      <c r="B437" s="7"/>
      <c r="C437" s="5"/>
      <c r="D437" s="8"/>
      <c r="E437" s="9"/>
      <c r="F437" s="9"/>
      <c r="G437" s="10"/>
      <c r="H437" s="10"/>
      <c r="I437" s="11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7"/>
      <c r="B438" s="7"/>
      <c r="C438" s="5"/>
      <c r="D438" s="8"/>
      <c r="E438" s="9"/>
      <c r="F438" s="9"/>
      <c r="G438" s="10"/>
      <c r="H438" s="10"/>
      <c r="I438" s="11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7"/>
      <c r="B439" s="7"/>
      <c r="C439" s="5"/>
      <c r="D439" s="8"/>
      <c r="E439" s="9"/>
      <c r="F439" s="9"/>
      <c r="G439" s="10"/>
      <c r="H439" s="10"/>
      <c r="I439" s="11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7"/>
      <c r="B440" s="7"/>
      <c r="C440" s="5"/>
      <c r="D440" s="8"/>
      <c r="E440" s="9"/>
      <c r="F440" s="9"/>
      <c r="G440" s="10"/>
      <c r="H440" s="10"/>
      <c r="I440" s="11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7"/>
      <c r="B441" s="7"/>
      <c r="C441" s="5"/>
      <c r="D441" s="8"/>
      <c r="E441" s="9"/>
      <c r="F441" s="9"/>
      <c r="G441" s="10"/>
      <c r="H441" s="10"/>
      <c r="I441" s="11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7"/>
      <c r="B442" s="7"/>
      <c r="C442" s="5"/>
      <c r="D442" s="8"/>
      <c r="E442" s="9"/>
      <c r="F442" s="9"/>
      <c r="G442" s="10"/>
      <c r="H442" s="10"/>
      <c r="I442" s="11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7"/>
      <c r="B443" s="7"/>
      <c r="C443" s="5"/>
      <c r="D443" s="8"/>
      <c r="E443" s="9"/>
      <c r="F443" s="9"/>
      <c r="G443" s="10"/>
      <c r="H443" s="10"/>
      <c r="I443" s="11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7"/>
      <c r="B444" s="7"/>
      <c r="C444" s="5"/>
      <c r="D444" s="8"/>
      <c r="E444" s="9"/>
      <c r="F444" s="9"/>
      <c r="G444" s="10"/>
      <c r="H444" s="10"/>
      <c r="I444" s="11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7"/>
      <c r="B445" s="7"/>
      <c r="C445" s="5"/>
      <c r="D445" s="8"/>
      <c r="E445" s="9"/>
      <c r="F445" s="9"/>
      <c r="G445" s="10"/>
      <c r="H445" s="10"/>
      <c r="I445" s="11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7"/>
      <c r="B446" s="7"/>
      <c r="C446" s="5"/>
      <c r="D446" s="8"/>
      <c r="E446" s="9"/>
      <c r="F446" s="9"/>
      <c r="G446" s="10"/>
      <c r="H446" s="10"/>
      <c r="I446" s="11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7"/>
      <c r="B447" s="7"/>
      <c r="C447" s="5"/>
      <c r="D447" s="8"/>
      <c r="E447" s="9"/>
      <c r="F447" s="9"/>
      <c r="G447" s="10"/>
      <c r="H447" s="10"/>
      <c r="I447" s="11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7"/>
      <c r="B448" s="7"/>
      <c r="C448" s="5"/>
      <c r="D448" s="8"/>
      <c r="E448" s="9"/>
      <c r="F448" s="9"/>
      <c r="G448" s="10"/>
      <c r="H448" s="10"/>
      <c r="I448" s="11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7"/>
      <c r="B449" s="7"/>
      <c r="C449" s="5"/>
      <c r="D449" s="8"/>
      <c r="E449" s="9"/>
      <c r="F449" s="9"/>
      <c r="G449" s="10"/>
      <c r="H449" s="10"/>
      <c r="I449" s="11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7"/>
      <c r="B450" s="7"/>
      <c r="C450" s="5"/>
      <c r="D450" s="8"/>
      <c r="E450" s="9"/>
      <c r="F450" s="9"/>
      <c r="G450" s="10"/>
      <c r="H450" s="10"/>
      <c r="I450" s="11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7"/>
      <c r="B451" s="7"/>
      <c r="C451" s="5"/>
      <c r="D451" s="8"/>
      <c r="E451" s="9"/>
      <c r="F451" s="9"/>
      <c r="G451" s="10"/>
      <c r="H451" s="10"/>
      <c r="I451" s="11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7"/>
      <c r="B452" s="7"/>
      <c r="C452" s="5"/>
      <c r="D452" s="8"/>
      <c r="E452" s="9"/>
      <c r="F452" s="9"/>
      <c r="G452" s="10"/>
      <c r="H452" s="10"/>
      <c r="I452" s="11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7"/>
      <c r="B453" s="7"/>
      <c r="C453" s="5"/>
      <c r="D453" s="8"/>
      <c r="E453" s="9"/>
      <c r="F453" s="9"/>
      <c r="G453" s="10"/>
      <c r="H453" s="10"/>
      <c r="I453" s="11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7"/>
      <c r="B454" s="7"/>
      <c r="C454" s="5"/>
      <c r="D454" s="8"/>
      <c r="E454" s="9"/>
      <c r="F454" s="9"/>
      <c r="G454" s="10"/>
      <c r="H454" s="10"/>
      <c r="I454" s="11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7"/>
      <c r="B455" s="7"/>
      <c r="C455" s="5"/>
      <c r="D455" s="8"/>
      <c r="E455" s="9"/>
      <c r="F455" s="9"/>
      <c r="G455" s="10"/>
      <c r="H455" s="10"/>
      <c r="I455" s="11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7"/>
      <c r="B456" s="7"/>
      <c r="C456" s="5"/>
      <c r="D456" s="8"/>
      <c r="E456" s="9"/>
      <c r="F456" s="9"/>
      <c r="G456" s="10"/>
      <c r="H456" s="10"/>
      <c r="I456" s="11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7"/>
      <c r="B457" s="7"/>
      <c r="C457" s="5"/>
      <c r="D457" s="8"/>
      <c r="E457" s="9"/>
      <c r="F457" s="9"/>
      <c r="G457" s="10"/>
      <c r="H457" s="10"/>
      <c r="I457" s="11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7"/>
      <c r="B458" s="7"/>
      <c r="C458" s="5"/>
      <c r="D458" s="8"/>
      <c r="E458" s="9"/>
      <c r="F458" s="9"/>
      <c r="G458" s="10"/>
      <c r="H458" s="10"/>
      <c r="I458" s="11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7"/>
      <c r="B459" s="7"/>
      <c r="C459" s="5"/>
      <c r="D459" s="8"/>
      <c r="E459" s="9"/>
      <c r="F459" s="9"/>
      <c r="G459" s="10"/>
      <c r="H459" s="10"/>
      <c r="I459" s="11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7"/>
      <c r="B460" s="7"/>
      <c r="C460" s="5"/>
      <c r="D460" s="8"/>
      <c r="E460" s="9"/>
      <c r="F460" s="9"/>
      <c r="G460" s="10"/>
      <c r="H460" s="10"/>
      <c r="I460" s="11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7"/>
      <c r="B461" s="7"/>
      <c r="C461" s="5"/>
      <c r="D461" s="8"/>
      <c r="E461" s="9"/>
      <c r="F461" s="9"/>
      <c r="G461" s="10"/>
      <c r="H461" s="10"/>
      <c r="I461" s="11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7"/>
      <c r="B462" s="7"/>
      <c r="C462" s="5"/>
      <c r="D462" s="8"/>
      <c r="E462" s="9"/>
      <c r="F462" s="9"/>
      <c r="G462" s="10"/>
      <c r="H462" s="10"/>
      <c r="I462" s="11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7"/>
      <c r="B463" s="7"/>
      <c r="C463" s="5"/>
      <c r="D463" s="8"/>
      <c r="E463" s="9"/>
      <c r="F463" s="9"/>
      <c r="G463" s="10"/>
      <c r="H463" s="10"/>
      <c r="I463" s="11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7"/>
      <c r="B464" s="7"/>
      <c r="C464" s="5"/>
      <c r="D464" s="8"/>
      <c r="E464" s="9"/>
      <c r="F464" s="9"/>
      <c r="G464" s="10"/>
      <c r="H464" s="10"/>
      <c r="I464" s="11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7"/>
      <c r="B465" s="7"/>
      <c r="C465" s="5"/>
      <c r="D465" s="8"/>
      <c r="E465" s="9"/>
      <c r="F465" s="9"/>
      <c r="G465" s="10"/>
      <c r="H465" s="10"/>
      <c r="I465" s="11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7"/>
      <c r="B466" s="7"/>
      <c r="C466" s="5"/>
      <c r="D466" s="8"/>
      <c r="E466" s="9"/>
      <c r="F466" s="9"/>
      <c r="G466" s="10"/>
      <c r="H466" s="10"/>
      <c r="I466" s="11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7"/>
      <c r="B467" s="7"/>
      <c r="C467" s="5"/>
      <c r="D467" s="8"/>
      <c r="E467" s="9"/>
      <c r="F467" s="9"/>
      <c r="G467" s="10"/>
      <c r="H467" s="10"/>
      <c r="I467" s="11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7"/>
      <c r="B468" s="7"/>
      <c r="C468" s="5"/>
      <c r="D468" s="8"/>
      <c r="E468" s="9"/>
      <c r="F468" s="9"/>
      <c r="G468" s="10"/>
      <c r="H468" s="10"/>
      <c r="I468" s="11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7"/>
      <c r="B469" s="7"/>
      <c r="C469" s="5"/>
      <c r="D469" s="8"/>
      <c r="E469" s="9"/>
      <c r="F469" s="9"/>
      <c r="G469" s="10"/>
      <c r="H469" s="10"/>
      <c r="I469" s="11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7"/>
      <c r="B470" s="7"/>
      <c r="C470" s="5"/>
      <c r="D470" s="8"/>
      <c r="E470" s="9"/>
      <c r="F470" s="9"/>
      <c r="G470" s="10"/>
      <c r="H470" s="10"/>
      <c r="I470" s="11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7"/>
      <c r="B471" s="7"/>
      <c r="C471" s="5"/>
      <c r="D471" s="8"/>
      <c r="E471" s="9"/>
      <c r="F471" s="9"/>
      <c r="G471" s="10"/>
      <c r="H471" s="10"/>
      <c r="I471" s="11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7"/>
      <c r="B472" s="7"/>
      <c r="C472" s="5"/>
      <c r="D472" s="8"/>
      <c r="E472" s="9"/>
      <c r="F472" s="9"/>
      <c r="G472" s="10"/>
      <c r="H472" s="10"/>
      <c r="I472" s="11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7"/>
      <c r="B473" s="7"/>
      <c r="C473" s="5"/>
      <c r="D473" s="8"/>
      <c r="E473" s="9"/>
      <c r="F473" s="9"/>
      <c r="G473" s="10"/>
      <c r="H473" s="10"/>
      <c r="I473" s="11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7"/>
      <c r="B474" s="7"/>
      <c r="C474" s="5"/>
      <c r="D474" s="8"/>
      <c r="E474" s="9"/>
      <c r="F474" s="9"/>
      <c r="G474" s="10"/>
      <c r="H474" s="10"/>
      <c r="I474" s="11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7"/>
      <c r="B475" s="7"/>
      <c r="C475" s="5"/>
      <c r="D475" s="8"/>
      <c r="E475" s="9"/>
      <c r="F475" s="9"/>
      <c r="G475" s="10"/>
      <c r="H475" s="10"/>
      <c r="I475" s="11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7"/>
      <c r="B476" s="7"/>
      <c r="C476" s="5"/>
      <c r="D476" s="8"/>
      <c r="E476" s="9"/>
      <c r="F476" s="9"/>
      <c r="G476" s="10"/>
      <c r="H476" s="10"/>
      <c r="I476" s="11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7"/>
      <c r="B477" s="7"/>
      <c r="C477" s="5"/>
      <c r="D477" s="8"/>
      <c r="E477" s="9"/>
      <c r="F477" s="9"/>
      <c r="G477" s="10"/>
      <c r="H477" s="10"/>
      <c r="I477" s="11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7"/>
      <c r="B478" s="7"/>
      <c r="C478" s="5"/>
      <c r="D478" s="8"/>
      <c r="E478" s="9"/>
      <c r="F478" s="9"/>
      <c r="G478" s="10"/>
      <c r="H478" s="10"/>
      <c r="I478" s="11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7"/>
      <c r="B479" s="7"/>
      <c r="C479" s="5"/>
      <c r="D479" s="8"/>
      <c r="E479" s="9"/>
      <c r="F479" s="9"/>
      <c r="G479" s="10"/>
      <c r="H479" s="10"/>
      <c r="I479" s="11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7"/>
      <c r="B480" s="7"/>
      <c r="C480" s="5"/>
      <c r="D480" s="8"/>
      <c r="E480" s="9"/>
      <c r="F480" s="9"/>
      <c r="G480" s="10"/>
      <c r="H480" s="10"/>
      <c r="I480" s="11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7"/>
      <c r="B481" s="7"/>
      <c r="C481" s="5"/>
      <c r="D481" s="8"/>
      <c r="E481" s="9"/>
      <c r="F481" s="9"/>
      <c r="G481" s="10"/>
      <c r="H481" s="10"/>
      <c r="I481" s="11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7"/>
      <c r="B482" s="7"/>
      <c r="C482" s="5"/>
      <c r="D482" s="8"/>
      <c r="E482" s="9"/>
      <c r="F482" s="9"/>
      <c r="G482" s="10"/>
      <c r="H482" s="10"/>
      <c r="I482" s="11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7"/>
      <c r="B483" s="7"/>
      <c r="C483" s="5"/>
      <c r="D483" s="8"/>
      <c r="E483" s="9"/>
      <c r="F483" s="9"/>
      <c r="G483" s="10"/>
      <c r="H483" s="10"/>
      <c r="I483" s="11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7"/>
      <c r="B484" s="7"/>
      <c r="C484" s="5"/>
      <c r="D484" s="8"/>
      <c r="E484" s="9"/>
      <c r="F484" s="9"/>
      <c r="G484" s="10"/>
      <c r="H484" s="10"/>
      <c r="I484" s="11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7"/>
      <c r="B485" s="7"/>
      <c r="C485" s="5"/>
      <c r="D485" s="8"/>
      <c r="E485" s="9"/>
      <c r="F485" s="9"/>
      <c r="G485" s="10"/>
      <c r="H485" s="10"/>
      <c r="I485" s="11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7"/>
      <c r="B486" s="7"/>
      <c r="C486" s="5"/>
      <c r="D486" s="8"/>
      <c r="E486" s="9"/>
      <c r="F486" s="9"/>
      <c r="G486" s="10"/>
      <c r="H486" s="10"/>
      <c r="I486" s="11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7"/>
      <c r="B487" s="7"/>
      <c r="C487" s="5"/>
      <c r="D487" s="8"/>
      <c r="E487" s="9"/>
      <c r="F487" s="9"/>
      <c r="G487" s="10"/>
      <c r="H487" s="10"/>
      <c r="I487" s="11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7"/>
      <c r="B488" s="7"/>
      <c r="C488" s="5"/>
      <c r="D488" s="8"/>
      <c r="E488" s="9"/>
      <c r="F488" s="9"/>
      <c r="G488" s="10"/>
      <c r="H488" s="10"/>
      <c r="I488" s="11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7"/>
      <c r="B489" s="7"/>
      <c r="C489" s="5"/>
      <c r="D489" s="8"/>
      <c r="E489" s="9"/>
      <c r="F489" s="9"/>
      <c r="G489" s="10"/>
      <c r="H489" s="10"/>
      <c r="I489" s="11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7"/>
      <c r="B490" s="7"/>
      <c r="C490" s="5"/>
      <c r="D490" s="8"/>
      <c r="E490" s="9"/>
      <c r="F490" s="9"/>
      <c r="G490" s="10"/>
      <c r="H490" s="10"/>
      <c r="I490" s="11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7"/>
      <c r="B491" s="7"/>
      <c r="C491" s="5"/>
      <c r="D491" s="8"/>
      <c r="E491" s="9"/>
      <c r="F491" s="9"/>
      <c r="G491" s="10"/>
      <c r="H491" s="10"/>
      <c r="I491" s="11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7"/>
      <c r="B492" s="7"/>
      <c r="C492" s="5"/>
      <c r="D492" s="8"/>
      <c r="E492" s="9"/>
      <c r="F492" s="9"/>
      <c r="G492" s="10"/>
      <c r="H492" s="10"/>
      <c r="I492" s="11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7"/>
      <c r="B493" s="7"/>
      <c r="C493" s="5"/>
      <c r="D493" s="8"/>
      <c r="E493" s="9"/>
      <c r="F493" s="9"/>
      <c r="G493" s="10"/>
      <c r="H493" s="10"/>
      <c r="I493" s="11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7"/>
      <c r="B494" s="7"/>
      <c r="C494" s="5"/>
      <c r="D494" s="8"/>
      <c r="E494" s="9"/>
      <c r="F494" s="9"/>
      <c r="G494" s="10"/>
      <c r="H494" s="10"/>
      <c r="I494" s="11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7"/>
      <c r="B495" s="7"/>
      <c r="C495" s="5"/>
      <c r="D495" s="8"/>
      <c r="E495" s="9"/>
      <c r="F495" s="9"/>
      <c r="G495" s="10"/>
      <c r="H495" s="10"/>
      <c r="I495" s="11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7"/>
      <c r="B496" s="7"/>
      <c r="C496" s="5"/>
      <c r="D496" s="8"/>
      <c r="E496" s="9"/>
      <c r="F496" s="9"/>
      <c r="G496" s="10"/>
      <c r="H496" s="10"/>
      <c r="I496" s="11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7"/>
      <c r="B497" s="7"/>
      <c r="C497" s="5"/>
      <c r="D497" s="8"/>
      <c r="E497" s="9"/>
      <c r="F497" s="9"/>
      <c r="G497" s="10"/>
      <c r="H497" s="10"/>
      <c r="I497" s="11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7"/>
      <c r="B498" s="7"/>
      <c r="C498" s="5"/>
      <c r="D498" s="8"/>
      <c r="E498" s="9"/>
      <c r="F498" s="9"/>
      <c r="G498" s="10"/>
      <c r="H498" s="10"/>
      <c r="I498" s="11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7"/>
      <c r="B499" s="7"/>
      <c r="C499" s="5"/>
      <c r="D499" s="8"/>
      <c r="E499" s="9"/>
      <c r="F499" s="9"/>
      <c r="G499" s="10"/>
      <c r="H499" s="10"/>
      <c r="I499" s="11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7"/>
      <c r="B500" s="7"/>
      <c r="C500" s="5"/>
      <c r="D500" s="8"/>
      <c r="E500" s="9"/>
      <c r="F500" s="9"/>
      <c r="G500" s="10"/>
      <c r="H500" s="10"/>
      <c r="I500" s="11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7"/>
      <c r="B501" s="7"/>
      <c r="C501" s="5"/>
      <c r="D501" s="8"/>
      <c r="E501" s="9"/>
      <c r="F501" s="9"/>
      <c r="G501" s="10"/>
      <c r="H501" s="10"/>
      <c r="I501" s="11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7"/>
      <c r="B502" s="7"/>
      <c r="C502" s="5"/>
      <c r="D502" s="8"/>
      <c r="E502" s="9"/>
      <c r="F502" s="9"/>
      <c r="G502" s="10"/>
      <c r="H502" s="10"/>
      <c r="I502" s="11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7"/>
      <c r="B503" s="7"/>
      <c r="C503" s="5"/>
      <c r="D503" s="8"/>
      <c r="E503" s="9"/>
      <c r="F503" s="9"/>
      <c r="G503" s="10"/>
      <c r="H503" s="10"/>
      <c r="I503" s="11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7"/>
      <c r="B504" s="7"/>
      <c r="C504" s="5"/>
      <c r="D504" s="8"/>
      <c r="E504" s="9"/>
      <c r="F504" s="9"/>
      <c r="G504" s="10"/>
      <c r="H504" s="10"/>
      <c r="I504" s="11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7"/>
      <c r="B505" s="7"/>
      <c r="C505" s="5"/>
      <c r="D505" s="8"/>
      <c r="E505" s="9"/>
      <c r="F505" s="9"/>
      <c r="G505" s="10"/>
      <c r="H505" s="10"/>
      <c r="I505" s="11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7"/>
      <c r="B506" s="7"/>
      <c r="C506" s="5"/>
      <c r="D506" s="8"/>
      <c r="E506" s="9"/>
      <c r="F506" s="9"/>
      <c r="G506" s="10"/>
      <c r="H506" s="10"/>
      <c r="I506" s="11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7"/>
      <c r="B507" s="7"/>
      <c r="C507" s="5"/>
      <c r="D507" s="8"/>
      <c r="E507" s="9"/>
      <c r="F507" s="9"/>
      <c r="G507" s="10"/>
      <c r="H507" s="10"/>
      <c r="I507" s="11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7"/>
      <c r="B508" s="7"/>
      <c r="C508" s="5"/>
      <c r="D508" s="8"/>
      <c r="E508" s="9"/>
      <c r="F508" s="9"/>
      <c r="G508" s="10"/>
      <c r="H508" s="10"/>
      <c r="I508" s="11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7"/>
      <c r="B509" s="7"/>
      <c r="C509" s="5"/>
      <c r="D509" s="8"/>
      <c r="E509" s="9"/>
      <c r="F509" s="9"/>
      <c r="G509" s="10"/>
      <c r="H509" s="10"/>
      <c r="I509" s="11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7"/>
      <c r="B510" s="7"/>
      <c r="C510" s="5"/>
      <c r="D510" s="8"/>
      <c r="E510" s="9"/>
      <c r="F510" s="9"/>
      <c r="G510" s="10"/>
      <c r="H510" s="10"/>
      <c r="I510" s="11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7"/>
      <c r="B511" s="7"/>
      <c r="C511" s="5"/>
      <c r="D511" s="8"/>
      <c r="E511" s="9"/>
      <c r="F511" s="9"/>
      <c r="G511" s="10"/>
      <c r="H511" s="10"/>
      <c r="I511" s="11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7"/>
      <c r="B512" s="7"/>
      <c r="C512" s="5"/>
      <c r="D512" s="8"/>
      <c r="E512" s="9"/>
      <c r="F512" s="9"/>
      <c r="G512" s="10"/>
      <c r="H512" s="10"/>
      <c r="I512" s="11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7"/>
      <c r="B513" s="7"/>
      <c r="C513" s="5"/>
      <c r="D513" s="8"/>
      <c r="E513" s="9"/>
      <c r="F513" s="9"/>
      <c r="G513" s="10"/>
      <c r="H513" s="10"/>
      <c r="I513" s="11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7"/>
      <c r="B514" s="7"/>
      <c r="C514" s="5"/>
      <c r="D514" s="8"/>
      <c r="E514" s="9"/>
      <c r="F514" s="9"/>
      <c r="G514" s="10"/>
      <c r="H514" s="10"/>
      <c r="I514" s="11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7"/>
      <c r="B515" s="7"/>
      <c r="C515" s="5"/>
      <c r="D515" s="8"/>
      <c r="E515" s="9"/>
      <c r="F515" s="9"/>
      <c r="G515" s="10"/>
      <c r="H515" s="10"/>
      <c r="I515" s="11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7"/>
      <c r="B516" s="7"/>
      <c r="C516" s="5"/>
      <c r="D516" s="8"/>
      <c r="E516" s="9"/>
      <c r="F516" s="9"/>
      <c r="G516" s="10"/>
      <c r="H516" s="10"/>
      <c r="I516" s="11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7"/>
      <c r="B517" s="7"/>
      <c r="C517" s="5"/>
      <c r="D517" s="8"/>
      <c r="E517" s="9"/>
      <c r="F517" s="9"/>
      <c r="G517" s="10"/>
      <c r="H517" s="10"/>
      <c r="I517" s="11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7"/>
      <c r="B518" s="7"/>
      <c r="C518" s="5"/>
      <c r="D518" s="8"/>
      <c r="E518" s="9"/>
      <c r="F518" s="9"/>
      <c r="G518" s="10"/>
      <c r="H518" s="10"/>
      <c r="I518" s="11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7"/>
      <c r="B519" s="7"/>
      <c r="C519" s="5"/>
      <c r="D519" s="8"/>
      <c r="E519" s="9"/>
      <c r="F519" s="9"/>
      <c r="G519" s="10"/>
      <c r="H519" s="10"/>
      <c r="I519" s="11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7"/>
      <c r="B520" s="7"/>
      <c r="C520" s="5"/>
      <c r="D520" s="8"/>
      <c r="E520" s="9"/>
      <c r="F520" s="9"/>
      <c r="G520" s="10"/>
      <c r="H520" s="10"/>
      <c r="I520" s="11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7"/>
      <c r="B521" s="7"/>
      <c r="C521" s="5"/>
      <c r="D521" s="8"/>
      <c r="E521" s="9"/>
      <c r="F521" s="9"/>
      <c r="G521" s="10"/>
      <c r="H521" s="10"/>
      <c r="I521" s="11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7"/>
      <c r="B522" s="7"/>
      <c r="C522" s="5"/>
      <c r="D522" s="8"/>
      <c r="E522" s="9"/>
      <c r="F522" s="9"/>
      <c r="G522" s="10"/>
      <c r="H522" s="10"/>
      <c r="I522" s="11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7"/>
      <c r="B523" s="7"/>
      <c r="C523" s="5"/>
      <c r="D523" s="8"/>
      <c r="E523" s="9"/>
      <c r="F523" s="9"/>
      <c r="G523" s="10"/>
      <c r="H523" s="10"/>
      <c r="I523" s="11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7"/>
      <c r="B524" s="7"/>
      <c r="C524" s="5"/>
      <c r="D524" s="8"/>
      <c r="E524" s="9"/>
      <c r="F524" s="9"/>
      <c r="G524" s="10"/>
      <c r="H524" s="10"/>
      <c r="I524" s="11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7"/>
      <c r="B525" s="7"/>
      <c r="C525" s="5"/>
      <c r="D525" s="8"/>
      <c r="E525" s="9"/>
      <c r="F525" s="9"/>
      <c r="G525" s="10"/>
      <c r="H525" s="10"/>
      <c r="I525" s="11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7"/>
      <c r="B526" s="7"/>
      <c r="C526" s="5"/>
      <c r="D526" s="8"/>
      <c r="E526" s="9"/>
      <c r="F526" s="9"/>
      <c r="G526" s="10"/>
      <c r="H526" s="10"/>
      <c r="I526" s="11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7"/>
      <c r="B527" s="7"/>
      <c r="C527" s="5"/>
      <c r="D527" s="8"/>
      <c r="E527" s="9"/>
      <c r="F527" s="9"/>
      <c r="G527" s="10"/>
      <c r="H527" s="10"/>
      <c r="I527" s="11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7"/>
      <c r="B528" s="7"/>
      <c r="C528" s="5"/>
      <c r="D528" s="8"/>
      <c r="E528" s="9"/>
      <c r="F528" s="9"/>
      <c r="G528" s="10"/>
      <c r="H528" s="10"/>
      <c r="I528" s="11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7"/>
      <c r="B529" s="7"/>
      <c r="C529" s="5"/>
      <c r="D529" s="8"/>
      <c r="E529" s="9"/>
      <c r="F529" s="9"/>
      <c r="G529" s="10"/>
      <c r="H529" s="10"/>
      <c r="I529" s="11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7"/>
      <c r="B530" s="7"/>
      <c r="C530" s="5"/>
      <c r="D530" s="8"/>
      <c r="E530" s="9"/>
      <c r="F530" s="9"/>
      <c r="G530" s="10"/>
      <c r="H530" s="10"/>
      <c r="I530" s="11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7"/>
      <c r="B531" s="7"/>
      <c r="C531" s="5"/>
      <c r="D531" s="8"/>
      <c r="E531" s="9"/>
      <c r="F531" s="9"/>
      <c r="G531" s="10"/>
      <c r="H531" s="10"/>
      <c r="I531" s="11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7"/>
      <c r="B532" s="7"/>
      <c r="C532" s="5"/>
      <c r="D532" s="8"/>
      <c r="E532" s="9"/>
      <c r="F532" s="9"/>
      <c r="G532" s="10"/>
      <c r="H532" s="10"/>
      <c r="I532" s="11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7"/>
      <c r="B533" s="7"/>
      <c r="C533" s="5"/>
      <c r="D533" s="8"/>
      <c r="E533" s="9"/>
      <c r="F533" s="9"/>
      <c r="G533" s="10"/>
      <c r="H533" s="10"/>
      <c r="I533" s="11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7"/>
      <c r="B534" s="7"/>
      <c r="C534" s="5"/>
      <c r="D534" s="8"/>
      <c r="E534" s="9"/>
      <c r="F534" s="9"/>
      <c r="G534" s="10"/>
      <c r="H534" s="10"/>
      <c r="I534" s="11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7"/>
      <c r="B535" s="7"/>
      <c r="C535" s="5"/>
      <c r="D535" s="8"/>
      <c r="E535" s="9"/>
      <c r="F535" s="9"/>
      <c r="G535" s="10"/>
      <c r="H535" s="10"/>
      <c r="I535" s="11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7"/>
      <c r="B536" s="7"/>
      <c r="C536" s="5"/>
      <c r="D536" s="8"/>
      <c r="E536" s="9"/>
      <c r="F536" s="9"/>
      <c r="G536" s="10"/>
      <c r="H536" s="10"/>
      <c r="I536" s="11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7"/>
      <c r="B537" s="7"/>
      <c r="C537" s="5"/>
      <c r="D537" s="8"/>
      <c r="E537" s="9"/>
      <c r="F537" s="9"/>
      <c r="G537" s="10"/>
      <c r="H537" s="10"/>
      <c r="I537" s="11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7"/>
      <c r="B538" s="7"/>
      <c r="C538" s="5"/>
      <c r="D538" s="8"/>
      <c r="E538" s="9"/>
      <c r="F538" s="9"/>
      <c r="G538" s="10"/>
      <c r="H538" s="10"/>
      <c r="I538" s="11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7"/>
      <c r="B539" s="7"/>
      <c r="C539" s="5"/>
      <c r="D539" s="8"/>
      <c r="E539" s="9"/>
      <c r="F539" s="9"/>
      <c r="G539" s="10"/>
      <c r="H539" s="10"/>
      <c r="I539" s="11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7"/>
      <c r="B540" s="7"/>
      <c r="C540" s="5"/>
      <c r="D540" s="8"/>
      <c r="E540" s="9"/>
      <c r="F540" s="9"/>
      <c r="G540" s="10"/>
      <c r="H540" s="10"/>
      <c r="I540" s="11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7"/>
      <c r="B541" s="7"/>
      <c r="C541" s="5"/>
      <c r="D541" s="8"/>
      <c r="E541" s="9"/>
      <c r="F541" s="9"/>
      <c r="G541" s="10"/>
      <c r="H541" s="10"/>
      <c r="I541" s="11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7"/>
      <c r="B542" s="7"/>
      <c r="C542" s="5"/>
      <c r="D542" s="8"/>
      <c r="E542" s="9"/>
      <c r="F542" s="9"/>
      <c r="G542" s="10"/>
      <c r="H542" s="10"/>
      <c r="I542" s="11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7"/>
      <c r="B543" s="7"/>
      <c r="C543" s="5"/>
      <c r="D543" s="8"/>
      <c r="E543" s="9"/>
      <c r="F543" s="9"/>
      <c r="G543" s="10"/>
      <c r="H543" s="10"/>
      <c r="I543" s="11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7"/>
      <c r="B544" s="7"/>
      <c r="C544" s="5"/>
      <c r="D544" s="8"/>
      <c r="E544" s="9"/>
      <c r="F544" s="9"/>
      <c r="G544" s="10"/>
      <c r="H544" s="10"/>
      <c r="I544" s="11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7"/>
      <c r="B545" s="7"/>
      <c r="C545" s="5"/>
      <c r="D545" s="8"/>
      <c r="E545" s="9"/>
      <c r="F545" s="9"/>
      <c r="G545" s="10"/>
      <c r="H545" s="10"/>
      <c r="I545" s="11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7"/>
      <c r="B546" s="7"/>
      <c r="C546" s="5"/>
      <c r="D546" s="8"/>
      <c r="E546" s="9"/>
      <c r="F546" s="9"/>
      <c r="G546" s="10"/>
      <c r="H546" s="10"/>
      <c r="I546" s="11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7"/>
      <c r="B547" s="7"/>
      <c r="C547" s="5"/>
      <c r="D547" s="8"/>
      <c r="E547" s="9"/>
      <c r="F547" s="9"/>
      <c r="G547" s="10"/>
      <c r="H547" s="10"/>
      <c r="I547" s="11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7"/>
      <c r="B548" s="7"/>
      <c r="C548" s="5"/>
      <c r="D548" s="8"/>
      <c r="E548" s="9"/>
      <c r="F548" s="9"/>
      <c r="G548" s="10"/>
      <c r="H548" s="10"/>
      <c r="I548" s="11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7"/>
      <c r="B549" s="7"/>
      <c r="C549" s="5"/>
      <c r="D549" s="8"/>
      <c r="E549" s="9"/>
      <c r="F549" s="9"/>
      <c r="G549" s="10"/>
      <c r="H549" s="10"/>
      <c r="I549" s="11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7"/>
      <c r="B550" s="7"/>
      <c r="C550" s="5"/>
      <c r="D550" s="8"/>
      <c r="E550" s="9"/>
      <c r="F550" s="9"/>
      <c r="G550" s="10"/>
      <c r="H550" s="10"/>
      <c r="I550" s="11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7"/>
      <c r="B551" s="7"/>
      <c r="C551" s="5"/>
      <c r="D551" s="8"/>
      <c r="E551" s="9"/>
      <c r="F551" s="9"/>
      <c r="G551" s="10"/>
      <c r="H551" s="10"/>
      <c r="I551" s="11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7"/>
      <c r="B552" s="7"/>
      <c r="C552" s="5"/>
      <c r="D552" s="8"/>
      <c r="E552" s="9"/>
      <c r="F552" s="9"/>
      <c r="G552" s="10"/>
      <c r="H552" s="10"/>
      <c r="I552" s="11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7"/>
      <c r="B553" s="7"/>
      <c r="C553" s="5"/>
      <c r="D553" s="8"/>
      <c r="E553" s="9"/>
      <c r="F553" s="9"/>
      <c r="G553" s="10"/>
      <c r="H553" s="10"/>
      <c r="I553" s="11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7"/>
      <c r="B554" s="7"/>
      <c r="C554" s="5"/>
      <c r="D554" s="8"/>
      <c r="E554" s="9"/>
      <c r="F554" s="9"/>
      <c r="G554" s="10"/>
      <c r="H554" s="10"/>
      <c r="I554" s="11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7"/>
      <c r="B555" s="7"/>
      <c r="C555" s="5"/>
      <c r="D555" s="8"/>
      <c r="E555" s="9"/>
      <c r="F555" s="9"/>
      <c r="G555" s="10"/>
      <c r="H555" s="10"/>
      <c r="I555" s="11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7"/>
      <c r="B556" s="7"/>
      <c r="C556" s="5"/>
      <c r="D556" s="8"/>
      <c r="E556" s="9"/>
      <c r="F556" s="9"/>
      <c r="G556" s="10"/>
      <c r="H556" s="10"/>
      <c r="I556" s="11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7"/>
      <c r="B557" s="7"/>
      <c r="C557" s="5"/>
      <c r="D557" s="8"/>
      <c r="E557" s="9"/>
      <c r="F557" s="9"/>
      <c r="G557" s="10"/>
      <c r="H557" s="10"/>
      <c r="I557" s="11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7"/>
      <c r="B558" s="7"/>
      <c r="C558" s="5"/>
      <c r="D558" s="8"/>
      <c r="E558" s="9"/>
      <c r="F558" s="9"/>
      <c r="G558" s="10"/>
      <c r="H558" s="10"/>
      <c r="I558" s="11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7"/>
      <c r="B559" s="7"/>
      <c r="C559" s="5"/>
      <c r="D559" s="8"/>
      <c r="E559" s="9"/>
      <c r="F559" s="9"/>
      <c r="G559" s="10"/>
      <c r="H559" s="10"/>
      <c r="I559" s="11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7"/>
      <c r="B560" s="7"/>
      <c r="C560" s="5"/>
      <c r="D560" s="8"/>
      <c r="E560" s="9"/>
      <c r="F560" s="9"/>
      <c r="G560" s="10"/>
      <c r="H560" s="10"/>
      <c r="I560" s="11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7"/>
      <c r="B561" s="7"/>
      <c r="C561" s="5"/>
      <c r="D561" s="8"/>
      <c r="E561" s="9"/>
      <c r="F561" s="9"/>
      <c r="G561" s="10"/>
      <c r="H561" s="10"/>
      <c r="I561" s="11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7"/>
      <c r="B562" s="7"/>
      <c r="C562" s="5"/>
      <c r="D562" s="8"/>
      <c r="E562" s="9"/>
      <c r="F562" s="9"/>
      <c r="G562" s="10"/>
      <c r="H562" s="10"/>
      <c r="I562" s="11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7"/>
      <c r="B563" s="7"/>
      <c r="C563" s="5"/>
      <c r="D563" s="8"/>
      <c r="E563" s="9"/>
      <c r="F563" s="9"/>
      <c r="G563" s="10"/>
      <c r="H563" s="10"/>
      <c r="I563" s="11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7"/>
      <c r="B564" s="7"/>
      <c r="C564" s="5"/>
      <c r="D564" s="8"/>
      <c r="E564" s="9"/>
      <c r="F564" s="9"/>
      <c r="G564" s="10"/>
      <c r="H564" s="10"/>
      <c r="I564" s="11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7"/>
      <c r="B565" s="7"/>
      <c r="C565" s="5"/>
      <c r="D565" s="8"/>
      <c r="E565" s="9"/>
      <c r="F565" s="9"/>
      <c r="G565" s="10"/>
      <c r="H565" s="10"/>
      <c r="I565" s="11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7"/>
      <c r="B566" s="7"/>
      <c r="C566" s="5"/>
      <c r="D566" s="8"/>
      <c r="E566" s="9"/>
      <c r="F566" s="9"/>
      <c r="G566" s="10"/>
      <c r="H566" s="10"/>
      <c r="I566" s="11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7"/>
      <c r="B567" s="7"/>
      <c r="C567" s="5"/>
      <c r="D567" s="8"/>
      <c r="E567" s="9"/>
      <c r="F567" s="9"/>
      <c r="G567" s="10"/>
      <c r="H567" s="10"/>
      <c r="I567" s="11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7"/>
      <c r="B568" s="7"/>
      <c r="C568" s="5"/>
      <c r="D568" s="8"/>
      <c r="E568" s="9"/>
      <c r="F568" s="9"/>
      <c r="G568" s="10"/>
      <c r="H568" s="10"/>
      <c r="I568" s="11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7"/>
      <c r="B569" s="7"/>
      <c r="C569" s="5"/>
      <c r="D569" s="8"/>
      <c r="E569" s="9"/>
      <c r="F569" s="9"/>
      <c r="G569" s="10"/>
      <c r="H569" s="10"/>
      <c r="I569" s="11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7"/>
      <c r="B570" s="7"/>
      <c r="C570" s="5"/>
      <c r="D570" s="8"/>
      <c r="E570" s="9"/>
      <c r="F570" s="9"/>
      <c r="G570" s="10"/>
      <c r="H570" s="10"/>
      <c r="I570" s="11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7"/>
      <c r="B571" s="7"/>
      <c r="C571" s="5"/>
      <c r="D571" s="8"/>
      <c r="E571" s="9"/>
      <c r="F571" s="9"/>
      <c r="G571" s="10"/>
      <c r="H571" s="10"/>
      <c r="I571" s="11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7"/>
      <c r="B572" s="7"/>
      <c r="C572" s="5"/>
      <c r="D572" s="8"/>
      <c r="E572" s="9"/>
      <c r="F572" s="9"/>
      <c r="G572" s="10"/>
      <c r="H572" s="10"/>
      <c r="I572" s="11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7"/>
      <c r="B573" s="7"/>
      <c r="C573" s="5"/>
      <c r="D573" s="8"/>
      <c r="E573" s="9"/>
      <c r="F573" s="9"/>
      <c r="G573" s="10"/>
      <c r="H573" s="10"/>
      <c r="I573" s="11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7"/>
      <c r="B574" s="7"/>
      <c r="C574" s="5"/>
      <c r="D574" s="8"/>
      <c r="E574" s="9"/>
      <c r="F574" s="9"/>
      <c r="G574" s="10"/>
      <c r="H574" s="10"/>
      <c r="I574" s="11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7"/>
      <c r="B575" s="7"/>
      <c r="C575" s="5"/>
      <c r="D575" s="8"/>
      <c r="E575" s="9"/>
      <c r="F575" s="9"/>
      <c r="G575" s="10"/>
      <c r="H575" s="10"/>
      <c r="I575" s="11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7"/>
      <c r="B576" s="7"/>
      <c r="C576" s="5"/>
      <c r="D576" s="8"/>
      <c r="E576" s="9"/>
      <c r="F576" s="9"/>
      <c r="G576" s="10"/>
      <c r="H576" s="10"/>
      <c r="I576" s="11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7"/>
      <c r="B577" s="7"/>
      <c r="C577" s="5"/>
      <c r="D577" s="8"/>
      <c r="E577" s="9"/>
      <c r="F577" s="9"/>
      <c r="G577" s="10"/>
      <c r="H577" s="10"/>
      <c r="I577" s="11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7"/>
      <c r="B578" s="7"/>
      <c r="C578" s="5"/>
      <c r="D578" s="8"/>
      <c r="E578" s="9"/>
      <c r="F578" s="9"/>
      <c r="G578" s="10"/>
      <c r="H578" s="10"/>
      <c r="I578" s="11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7"/>
      <c r="B579" s="7"/>
      <c r="C579" s="5"/>
      <c r="D579" s="8"/>
      <c r="E579" s="9"/>
      <c r="F579" s="9"/>
      <c r="G579" s="10"/>
      <c r="H579" s="10"/>
      <c r="I579" s="11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7"/>
      <c r="B580" s="7"/>
      <c r="C580" s="5"/>
      <c r="D580" s="8"/>
      <c r="E580" s="9"/>
      <c r="F580" s="9"/>
      <c r="G580" s="10"/>
      <c r="H580" s="10"/>
      <c r="I580" s="11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7"/>
      <c r="B581" s="7"/>
      <c r="C581" s="5"/>
      <c r="D581" s="8"/>
      <c r="E581" s="9"/>
      <c r="F581" s="9"/>
      <c r="G581" s="10"/>
      <c r="H581" s="10"/>
      <c r="I581" s="11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7"/>
      <c r="B582" s="7"/>
      <c r="C582" s="5"/>
      <c r="D582" s="8"/>
      <c r="E582" s="9"/>
      <c r="F582" s="9"/>
      <c r="G582" s="10"/>
      <c r="H582" s="10"/>
      <c r="I582" s="11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7"/>
      <c r="B583" s="7"/>
      <c r="C583" s="5"/>
      <c r="D583" s="8"/>
      <c r="E583" s="9"/>
      <c r="F583" s="9"/>
      <c r="G583" s="10"/>
      <c r="H583" s="10"/>
      <c r="I583" s="11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7"/>
      <c r="B584" s="7"/>
      <c r="C584" s="5"/>
      <c r="D584" s="8"/>
      <c r="E584" s="9"/>
      <c r="F584" s="9"/>
      <c r="G584" s="10"/>
      <c r="H584" s="10"/>
      <c r="I584" s="11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7"/>
      <c r="B585" s="7"/>
      <c r="C585" s="5"/>
      <c r="D585" s="8"/>
      <c r="E585" s="9"/>
      <c r="F585" s="9"/>
      <c r="G585" s="10"/>
      <c r="H585" s="10"/>
      <c r="I585" s="11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7"/>
      <c r="B586" s="7"/>
      <c r="C586" s="5"/>
      <c r="D586" s="8"/>
      <c r="E586" s="9"/>
      <c r="F586" s="9"/>
      <c r="G586" s="10"/>
      <c r="H586" s="10"/>
      <c r="I586" s="11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7"/>
      <c r="B587" s="7"/>
      <c r="C587" s="5"/>
      <c r="D587" s="8"/>
      <c r="E587" s="9"/>
      <c r="F587" s="9"/>
      <c r="G587" s="10"/>
      <c r="H587" s="10"/>
      <c r="I587" s="11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7"/>
      <c r="B588" s="7"/>
      <c r="C588" s="5"/>
      <c r="D588" s="8"/>
      <c r="E588" s="9"/>
      <c r="F588" s="9"/>
      <c r="G588" s="10"/>
      <c r="H588" s="10"/>
      <c r="I588" s="11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7"/>
      <c r="B589" s="7"/>
      <c r="C589" s="5"/>
      <c r="D589" s="8"/>
      <c r="E589" s="9"/>
      <c r="F589" s="9"/>
      <c r="G589" s="10"/>
      <c r="H589" s="10"/>
      <c r="I589" s="11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7"/>
      <c r="B590" s="7"/>
      <c r="C590" s="5"/>
      <c r="D590" s="8"/>
      <c r="E590" s="9"/>
      <c r="F590" s="9"/>
      <c r="G590" s="10"/>
      <c r="H590" s="10"/>
      <c r="I590" s="11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7"/>
      <c r="B591" s="7"/>
      <c r="C591" s="5"/>
      <c r="D591" s="8"/>
      <c r="E591" s="9"/>
      <c r="F591" s="9"/>
      <c r="G591" s="10"/>
      <c r="H591" s="10"/>
      <c r="I591" s="11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7"/>
      <c r="B592" s="7"/>
      <c r="C592" s="5"/>
      <c r="D592" s="8"/>
      <c r="E592" s="9"/>
      <c r="F592" s="9"/>
      <c r="G592" s="10"/>
      <c r="H592" s="10"/>
      <c r="I592" s="11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7"/>
      <c r="B593" s="7"/>
      <c r="C593" s="5"/>
      <c r="D593" s="8"/>
      <c r="E593" s="9"/>
      <c r="F593" s="9"/>
      <c r="G593" s="10"/>
      <c r="H593" s="10"/>
      <c r="I593" s="11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7"/>
      <c r="B594" s="7"/>
      <c r="C594" s="5"/>
      <c r="D594" s="8"/>
      <c r="E594" s="9"/>
      <c r="F594" s="9"/>
      <c r="G594" s="10"/>
      <c r="H594" s="10"/>
      <c r="I594" s="11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7"/>
      <c r="B595" s="7"/>
      <c r="C595" s="5"/>
      <c r="D595" s="8"/>
      <c r="E595" s="9"/>
      <c r="F595" s="9"/>
      <c r="G595" s="10"/>
      <c r="H595" s="10"/>
      <c r="I595" s="11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7"/>
      <c r="B596" s="7"/>
      <c r="C596" s="5"/>
      <c r="D596" s="8"/>
      <c r="E596" s="9"/>
      <c r="F596" s="9"/>
      <c r="G596" s="10"/>
      <c r="H596" s="10"/>
      <c r="I596" s="11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7"/>
      <c r="B597" s="7"/>
      <c r="C597" s="5"/>
      <c r="D597" s="8"/>
      <c r="E597" s="9"/>
      <c r="F597" s="9"/>
      <c r="G597" s="10"/>
      <c r="H597" s="10"/>
      <c r="I597" s="11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7"/>
      <c r="B598" s="7"/>
      <c r="C598" s="5"/>
      <c r="D598" s="8"/>
      <c r="E598" s="9"/>
      <c r="F598" s="9"/>
      <c r="G598" s="10"/>
      <c r="H598" s="10"/>
      <c r="I598" s="11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7"/>
      <c r="B599" s="7"/>
      <c r="C599" s="5"/>
      <c r="D599" s="8"/>
      <c r="E599" s="9"/>
      <c r="F599" s="9"/>
      <c r="G599" s="10"/>
      <c r="H599" s="10"/>
      <c r="I599" s="11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7"/>
      <c r="B600" s="7"/>
      <c r="C600" s="5"/>
      <c r="D600" s="8"/>
      <c r="E600" s="9"/>
      <c r="F600" s="9"/>
      <c r="G600" s="10"/>
      <c r="H600" s="10"/>
      <c r="I600" s="11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7"/>
      <c r="B601" s="7"/>
      <c r="C601" s="5"/>
      <c r="D601" s="8"/>
      <c r="E601" s="9"/>
      <c r="F601" s="9"/>
      <c r="G601" s="10"/>
      <c r="H601" s="10"/>
      <c r="I601" s="11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7"/>
      <c r="B602" s="7"/>
      <c r="C602" s="5"/>
      <c r="D602" s="8"/>
      <c r="E602" s="9"/>
      <c r="F602" s="9"/>
      <c r="G602" s="10"/>
      <c r="H602" s="10"/>
      <c r="I602" s="11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7"/>
      <c r="B603" s="7"/>
      <c r="C603" s="5"/>
      <c r="D603" s="8"/>
      <c r="E603" s="9"/>
      <c r="F603" s="9"/>
      <c r="G603" s="10"/>
      <c r="H603" s="10"/>
      <c r="I603" s="11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7"/>
      <c r="B604" s="7"/>
      <c r="C604" s="5"/>
      <c r="D604" s="8"/>
      <c r="E604" s="9"/>
      <c r="F604" s="9"/>
      <c r="G604" s="10"/>
      <c r="H604" s="10"/>
      <c r="I604" s="11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7"/>
      <c r="B605" s="7"/>
      <c r="C605" s="5"/>
      <c r="D605" s="8"/>
      <c r="E605" s="9"/>
      <c r="F605" s="9"/>
      <c r="G605" s="10"/>
      <c r="H605" s="10"/>
      <c r="I605" s="11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7"/>
      <c r="B606" s="7"/>
      <c r="C606" s="5"/>
      <c r="D606" s="8"/>
      <c r="E606" s="9"/>
      <c r="F606" s="9"/>
      <c r="G606" s="10"/>
      <c r="H606" s="10"/>
      <c r="I606" s="11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7"/>
      <c r="B607" s="7"/>
      <c r="C607" s="5"/>
      <c r="D607" s="8"/>
      <c r="E607" s="9"/>
      <c r="F607" s="9"/>
      <c r="G607" s="10"/>
      <c r="H607" s="10"/>
      <c r="I607" s="11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7"/>
      <c r="B608" s="7"/>
      <c r="C608" s="5"/>
      <c r="D608" s="8"/>
      <c r="E608" s="9"/>
      <c r="F608" s="9"/>
      <c r="G608" s="10"/>
      <c r="H608" s="10"/>
      <c r="I608" s="11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7"/>
      <c r="B609" s="7"/>
      <c r="C609" s="5"/>
      <c r="D609" s="8"/>
      <c r="E609" s="9"/>
      <c r="F609" s="9"/>
      <c r="G609" s="10"/>
      <c r="H609" s="10"/>
      <c r="I609" s="11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7"/>
      <c r="B610" s="7"/>
      <c r="C610" s="5"/>
      <c r="D610" s="8"/>
      <c r="E610" s="9"/>
      <c r="F610" s="9"/>
      <c r="G610" s="10"/>
      <c r="H610" s="10"/>
      <c r="I610" s="11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7"/>
      <c r="B611" s="7"/>
      <c r="C611" s="5"/>
      <c r="D611" s="8"/>
      <c r="E611" s="9"/>
      <c r="F611" s="9"/>
      <c r="G611" s="10"/>
      <c r="H611" s="10"/>
      <c r="I611" s="11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7"/>
      <c r="B612" s="7"/>
      <c r="C612" s="5"/>
      <c r="D612" s="8"/>
      <c r="E612" s="9"/>
      <c r="F612" s="9"/>
      <c r="G612" s="10"/>
      <c r="H612" s="10"/>
      <c r="I612" s="11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7"/>
      <c r="B613" s="7"/>
      <c r="C613" s="5"/>
      <c r="D613" s="8"/>
      <c r="E613" s="9"/>
      <c r="F613" s="9"/>
      <c r="G613" s="10"/>
      <c r="H613" s="10"/>
      <c r="I613" s="11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7"/>
      <c r="B614" s="7"/>
      <c r="C614" s="5"/>
      <c r="D614" s="8"/>
      <c r="E614" s="9"/>
      <c r="F614" s="9"/>
      <c r="G614" s="10"/>
      <c r="H614" s="10"/>
      <c r="I614" s="11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7"/>
      <c r="B615" s="7"/>
      <c r="C615" s="5"/>
      <c r="D615" s="8"/>
      <c r="E615" s="9"/>
      <c r="F615" s="9"/>
      <c r="G615" s="10"/>
      <c r="H615" s="10"/>
      <c r="I615" s="11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7"/>
      <c r="B616" s="7"/>
      <c r="C616" s="5"/>
      <c r="D616" s="8"/>
      <c r="E616" s="9"/>
      <c r="F616" s="9"/>
      <c r="G616" s="10"/>
      <c r="H616" s="10"/>
      <c r="I616" s="11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7"/>
      <c r="B617" s="7"/>
      <c r="C617" s="5"/>
      <c r="D617" s="8"/>
      <c r="E617" s="9"/>
      <c r="F617" s="9"/>
      <c r="G617" s="10"/>
      <c r="H617" s="10"/>
      <c r="I617" s="11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7"/>
      <c r="B618" s="7"/>
      <c r="C618" s="5"/>
      <c r="D618" s="8"/>
      <c r="E618" s="9"/>
      <c r="F618" s="9"/>
      <c r="G618" s="10"/>
      <c r="H618" s="10"/>
      <c r="I618" s="11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7"/>
      <c r="B619" s="7"/>
      <c r="C619" s="5"/>
      <c r="D619" s="8"/>
      <c r="E619" s="9"/>
      <c r="F619" s="9"/>
      <c r="G619" s="10"/>
      <c r="H619" s="10"/>
      <c r="I619" s="11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7"/>
      <c r="B620" s="7"/>
      <c r="C620" s="5"/>
      <c r="D620" s="8"/>
      <c r="E620" s="9"/>
      <c r="F620" s="9"/>
      <c r="G620" s="10"/>
      <c r="H620" s="10"/>
      <c r="I620" s="11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7"/>
      <c r="B621" s="7"/>
      <c r="C621" s="5"/>
      <c r="D621" s="8"/>
      <c r="E621" s="9"/>
      <c r="F621" s="9"/>
      <c r="G621" s="10"/>
      <c r="H621" s="10"/>
      <c r="I621" s="11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7"/>
      <c r="B622" s="7"/>
      <c r="C622" s="5"/>
      <c r="D622" s="8"/>
      <c r="E622" s="9"/>
      <c r="F622" s="9"/>
      <c r="G622" s="10"/>
      <c r="H622" s="10"/>
      <c r="I622" s="11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7"/>
      <c r="B623" s="7"/>
      <c r="C623" s="5"/>
      <c r="D623" s="8"/>
      <c r="E623" s="9"/>
      <c r="F623" s="9"/>
      <c r="G623" s="10"/>
      <c r="H623" s="10"/>
      <c r="I623" s="11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7"/>
      <c r="B624" s="7"/>
      <c r="C624" s="5"/>
      <c r="D624" s="8"/>
      <c r="E624" s="9"/>
      <c r="F624" s="9"/>
      <c r="G624" s="10"/>
      <c r="H624" s="10"/>
      <c r="I624" s="11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7"/>
      <c r="B625" s="7"/>
      <c r="C625" s="5"/>
      <c r="D625" s="8"/>
      <c r="E625" s="9"/>
      <c r="F625" s="9"/>
      <c r="G625" s="10"/>
      <c r="H625" s="10"/>
      <c r="I625" s="11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7"/>
      <c r="B626" s="7"/>
      <c r="C626" s="5"/>
      <c r="D626" s="8"/>
      <c r="E626" s="9"/>
      <c r="F626" s="9"/>
      <c r="G626" s="10"/>
      <c r="H626" s="10"/>
      <c r="I626" s="11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7"/>
      <c r="B627" s="7"/>
      <c r="C627" s="5"/>
      <c r="D627" s="8"/>
      <c r="E627" s="9"/>
      <c r="F627" s="9"/>
      <c r="G627" s="10"/>
      <c r="H627" s="10"/>
      <c r="I627" s="11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7"/>
      <c r="B628" s="7"/>
      <c r="C628" s="5"/>
      <c r="D628" s="8"/>
      <c r="E628" s="9"/>
      <c r="F628" s="9"/>
      <c r="G628" s="10"/>
      <c r="H628" s="10"/>
      <c r="I628" s="11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7"/>
      <c r="B629" s="7"/>
      <c r="C629" s="5"/>
      <c r="D629" s="8"/>
      <c r="E629" s="9"/>
      <c r="F629" s="9"/>
      <c r="G629" s="10"/>
      <c r="H629" s="10"/>
      <c r="I629" s="11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7"/>
      <c r="B630" s="7"/>
      <c r="C630" s="5"/>
      <c r="D630" s="8"/>
      <c r="E630" s="9"/>
      <c r="F630" s="9"/>
      <c r="G630" s="10"/>
      <c r="H630" s="10"/>
      <c r="I630" s="11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7"/>
      <c r="B631" s="7"/>
      <c r="C631" s="5"/>
      <c r="D631" s="8"/>
      <c r="E631" s="9"/>
      <c r="F631" s="9"/>
      <c r="G631" s="10"/>
      <c r="H631" s="10"/>
      <c r="I631" s="11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7"/>
      <c r="B632" s="7"/>
      <c r="C632" s="5"/>
      <c r="D632" s="8"/>
      <c r="E632" s="9"/>
      <c r="F632" s="9"/>
      <c r="G632" s="10"/>
      <c r="H632" s="10"/>
      <c r="I632" s="11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7"/>
      <c r="B633" s="7"/>
      <c r="C633" s="5"/>
      <c r="D633" s="8"/>
      <c r="E633" s="9"/>
      <c r="F633" s="9"/>
      <c r="G633" s="10"/>
      <c r="H633" s="10"/>
      <c r="I633" s="11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7"/>
      <c r="B634" s="7"/>
      <c r="C634" s="5"/>
      <c r="D634" s="8"/>
      <c r="E634" s="9"/>
      <c r="F634" s="9"/>
      <c r="G634" s="10"/>
      <c r="H634" s="10"/>
      <c r="I634" s="11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7"/>
      <c r="B635" s="7"/>
      <c r="C635" s="5"/>
      <c r="D635" s="8"/>
      <c r="E635" s="9"/>
      <c r="F635" s="9"/>
      <c r="G635" s="10"/>
      <c r="H635" s="10"/>
      <c r="I635" s="11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7"/>
      <c r="B636" s="7"/>
      <c r="C636" s="5"/>
      <c r="D636" s="8"/>
      <c r="E636" s="9"/>
      <c r="F636" s="9"/>
      <c r="G636" s="10"/>
      <c r="H636" s="10"/>
      <c r="I636" s="11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7"/>
      <c r="B637" s="7"/>
      <c r="C637" s="5"/>
      <c r="D637" s="8"/>
      <c r="E637" s="9"/>
      <c r="F637" s="9"/>
      <c r="G637" s="10"/>
      <c r="H637" s="10"/>
      <c r="I637" s="11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7"/>
      <c r="B638" s="7"/>
      <c r="C638" s="5"/>
      <c r="D638" s="8"/>
      <c r="E638" s="9"/>
      <c r="F638" s="9"/>
      <c r="G638" s="10"/>
      <c r="H638" s="10"/>
      <c r="I638" s="11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7"/>
      <c r="B639" s="7"/>
      <c r="C639" s="5"/>
      <c r="D639" s="8"/>
      <c r="E639" s="9"/>
      <c r="F639" s="9"/>
      <c r="G639" s="10"/>
      <c r="H639" s="10"/>
      <c r="I639" s="11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7"/>
      <c r="B640" s="7"/>
      <c r="C640" s="5"/>
      <c r="D640" s="8"/>
      <c r="E640" s="9"/>
      <c r="F640" s="9"/>
      <c r="G640" s="10"/>
      <c r="H640" s="10"/>
      <c r="I640" s="11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7"/>
      <c r="B641" s="7"/>
      <c r="C641" s="5"/>
      <c r="D641" s="8"/>
      <c r="E641" s="9"/>
      <c r="F641" s="9"/>
      <c r="G641" s="10"/>
      <c r="H641" s="10"/>
      <c r="I641" s="11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7"/>
      <c r="B642" s="7"/>
      <c r="C642" s="5"/>
      <c r="D642" s="8"/>
      <c r="E642" s="9"/>
      <c r="F642" s="9"/>
      <c r="G642" s="10"/>
      <c r="H642" s="10"/>
      <c r="I642" s="11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7"/>
      <c r="B643" s="7"/>
      <c r="C643" s="5"/>
      <c r="D643" s="8"/>
      <c r="E643" s="9"/>
      <c r="F643" s="9"/>
      <c r="G643" s="10"/>
      <c r="H643" s="10"/>
      <c r="I643" s="11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7"/>
      <c r="B644" s="7"/>
      <c r="C644" s="5"/>
      <c r="D644" s="8"/>
      <c r="E644" s="9"/>
      <c r="F644" s="9"/>
      <c r="G644" s="10"/>
      <c r="H644" s="10"/>
      <c r="I644" s="11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7"/>
      <c r="B645" s="7"/>
      <c r="C645" s="5"/>
      <c r="D645" s="8"/>
      <c r="E645" s="9"/>
      <c r="F645" s="9"/>
      <c r="G645" s="10"/>
      <c r="H645" s="10"/>
      <c r="I645" s="11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7"/>
      <c r="B646" s="7"/>
      <c r="C646" s="5"/>
      <c r="D646" s="8"/>
      <c r="E646" s="9"/>
      <c r="F646" s="9"/>
      <c r="G646" s="10"/>
      <c r="H646" s="10"/>
      <c r="I646" s="11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7"/>
      <c r="B647" s="7"/>
      <c r="C647" s="5"/>
      <c r="D647" s="8"/>
      <c r="E647" s="9"/>
      <c r="F647" s="9"/>
      <c r="G647" s="10"/>
      <c r="H647" s="10"/>
      <c r="I647" s="11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7"/>
      <c r="B648" s="7"/>
      <c r="C648" s="5"/>
      <c r="D648" s="8"/>
      <c r="E648" s="9"/>
      <c r="F648" s="9"/>
      <c r="G648" s="10"/>
      <c r="H648" s="10"/>
      <c r="I648" s="11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7"/>
      <c r="B649" s="7"/>
      <c r="C649" s="5"/>
      <c r="D649" s="8"/>
      <c r="E649" s="9"/>
      <c r="F649" s="9"/>
      <c r="G649" s="10"/>
      <c r="H649" s="10"/>
      <c r="I649" s="11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7"/>
      <c r="B650" s="7"/>
      <c r="C650" s="5"/>
      <c r="D650" s="8"/>
      <c r="E650" s="9"/>
      <c r="F650" s="9"/>
      <c r="G650" s="10"/>
      <c r="H650" s="10"/>
      <c r="I650" s="11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7"/>
      <c r="B651" s="7"/>
      <c r="C651" s="5"/>
      <c r="D651" s="8"/>
      <c r="E651" s="9"/>
      <c r="F651" s="9"/>
      <c r="G651" s="10"/>
      <c r="H651" s="10"/>
      <c r="I651" s="11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7"/>
      <c r="B652" s="7"/>
      <c r="C652" s="5"/>
      <c r="D652" s="8"/>
      <c r="E652" s="9"/>
      <c r="F652" s="9"/>
      <c r="G652" s="10"/>
      <c r="H652" s="10"/>
      <c r="I652" s="11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7"/>
      <c r="B653" s="7"/>
      <c r="C653" s="5"/>
      <c r="D653" s="8"/>
      <c r="E653" s="9"/>
      <c r="F653" s="9"/>
      <c r="G653" s="10"/>
      <c r="H653" s="10"/>
      <c r="I653" s="11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7"/>
      <c r="B654" s="7"/>
      <c r="C654" s="5"/>
      <c r="D654" s="8"/>
      <c r="E654" s="9"/>
      <c r="F654" s="9"/>
      <c r="G654" s="10"/>
      <c r="H654" s="10"/>
      <c r="I654" s="11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7"/>
      <c r="B655" s="7"/>
      <c r="C655" s="5"/>
      <c r="D655" s="8"/>
      <c r="E655" s="9"/>
      <c r="F655" s="9"/>
      <c r="G655" s="10"/>
      <c r="H655" s="10"/>
      <c r="I655" s="11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7"/>
      <c r="B656" s="7"/>
      <c r="C656" s="5"/>
      <c r="D656" s="8"/>
      <c r="E656" s="9"/>
      <c r="F656" s="9"/>
      <c r="G656" s="10"/>
      <c r="H656" s="10"/>
      <c r="I656" s="11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7"/>
      <c r="B657" s="7"/>
      <c r="C657" s="5"/>
      <c r="D657" s="8"/>
      <c r="E657" s="9"/>
      <c r="F657" s="9"/>
      <c r="G657" s="10"/>
      <c r="H657" s="10"/>
      <c r="I657" s="11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7"/>
      <c r="B658" s="7"/>
      <c r="C658" s="5"/>
      <c r="D658" s="8"/>
      <c r="E658" s="9"/>
      <c r="F658" s="9"/>
      <c r="G658" s="10"/>
      <c r="H658" s="10"/>
      <c r="I658" s="11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7"/>
      <c r="B659" s="7"/>
      <c r="C659" s="5"/>
      <c r="D659" s="8"/>
      <c r="E659" s="9"/>
      <c r="F659" s="9"/>
      <c r="G659" s="10"/>
      <c r="H659" s="10"/>
      <c r="I659" s="11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7"/>
      <c r="B660" s="7"/>
      <c r="C660" s="5"/>
      <c r="D660" s="8"/>
      <c r="E660" s="9"/>
      <c r="F660" s="9"/>
      <c r="G660" s="10"/>
      <c r="H660" s="10"/>
      <c r="I660" s="11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7"/>
      <c r="B661" s="7"/>
      <c r="C661" s="5"/>
      <c r="D661" s="8"/>
      <c r="E661" s="9"/>
      <c r="F661" s="9"/>
      <c r="G661" s="10"/>
      <c r="H661" s="10"/>
      <c r="I661" s="11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7"/>
      <c r="B662" s="7"/>
      <c r="C662" s="5"/>
      <c r="D662" s="8"/>
      <c r="E662" s="9"/>
      <c r="F662" s="9"/>
      <c r="G662" s="10"/>
      <c r="H662" s="10"/>
      <c r="I662" s="11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7"/>
      <c r="B663" s="7"/>
      <c r="C663" s="5"/>
      <c r="D663" s="8"/>
      <c r="E663" s="9"/>
      <c r="F663" s="9"/>
      <c r="G663" s="10"/>
      <c r="H663" s="10"/>
      <c r="I663" s="11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7"/>
      <c r="B664" s="7"/>
      <c r="C664" s="5"/>
      <c r="D664" s="8"/>
      <c r="E664" s="9"/>
      <c r="F664" s="9"/>
      <c r="G664" s="10"/>
      <c r="H664" s="10"/>
      <c r="I664" s="11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7"/>
      <c r="B665" s="7"/>
      <c r="C665" s="5"/>
      <c r="D665" s="8"/>
      <c r="E665" s="9"/>
      <c r="F665" s="9"/>
      <c r="G665" s="10"/>
      <c r="H665" s="10"/>
      <c r="I665" s="11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7"/>
      <c r="B666" s="7"/>
      <c r="C666" s="5"/>
      <c r="D666" s="8"/>
      <c r="E666" s="9"/>
      <c r="F666" s="9"/>
      <c r="G666" s="10"/>
      <c r="H666" s="10"/>
      <c r="I666" s="11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7"/>
      <c r="B667" s="7"/>
      <c r="C667" s="5"/>
      <c r="D667" s="8"/>
      <c r="E667" s="9"/>
      <c r="F667" s="9"/>
      <c r="G667" s="10"/>
      <c r="H667" s="10"/>
      <c r="I667" s="11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7"/>
      <c r="B668" s="7"/>
      <c r="C668" s="5"/>
      <c r="D668" s="8"/>
      <c r="E668" s="9"/>
      <c r="F668" s="9"/>
      <c r="G668" s="10"/>
      <c r="H668" s="10"/>
      <c r="I668" s="11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7"/>
      <c r="B669" s="7"/>
      <c r="C669" s="5"/>
      <c r="D669" s="8"/>
      <c r="E669" s="9"/>
      <c r="F669" s="9"/>
      <c r="G669" s="10"/>
      <c r="H669" s="10"/>
      <c r="I669" s="11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7"/>
      <c r="B670" s="7"/>
      <c r="C670" s="5"/>
      <c r="D670" s="8"/>
      <c r="E670" s="9"/>
      <c r="F670" s="9"/>
      <c r="G670" s="10"/>
      <c r="H670" s="10"/>
      <c r="I670" s="11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7"/>
      <c r="B671" s="7"/>
      <c r="C671" s="5"/>
      <c r="D671" s="8"/>
      <c r="E671" s="9"/>
      <c r="F671" s="9"/>
      <c r="G671" s="10"/>
      <c r="H671" s="10"/>
      <c r="I671" s="11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7"/>
      <c r="B672" s="7"/>
      <c r="C672" s="5"/>
      <c r="D672" s="8"/>
      <c r="E672" s="9"/>
      <c r="F672" s="9"/>
      <c r="G672" s="10"/>
      <c r="H672" s="10"/>
      <c r="I672" s="11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7"/>
      <c r="B673" s="7"/>
      <c r="C673" s="5"/>
      <c r="D673" s="8"/>
      <c r="E673" s="9"/>
      <c r="F673" s="9"/>
      <c r="G673" s="10"/>
      <c r="H673" s="10"/>
      <c r="I673" s="11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7"/>
      <c r="B674" s="7"/>
      <c r="C674" s="5"/>
      <c r="D674" s="8"/>
      <c r="E674" s="9"/>
      <c r="F674" s="9"/>
      <c r="G674" s="10"/>
      <c r="H674" s="10"/>
      <c r="I674" s="11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7"/>
      <c r="B675" s="7"/>
      <c r="C675" s="5"/>
      <c r="D675" s="8"/>
      <c r="E675" s="9"/>
      <c r="F675" s="9"/>
      <c r="G675" s="10"/>
      <c r="H675" s="10"/>
      <c r="I675" s="11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7"/>
      <c r="B676" s="7"/>
      <c r="C676" s="5"/>
      <c r="D676" s="8"/>
      <c r="E676" s="9"/>
      <c r="F676" s="9"/>
      <c r="G676" s="10"/>
      <c r="H676" s="10"/>
      <c r="I676" s="11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7"/>
      <c r="B677" s="7"/>
      <c r="C677" s="5"/>
      <c r="D677" s="8"/>
      <c r="E677" s="9"/>
      <c r="F677" s="9"/>
      <c r="G677" s="10"/>
      <c r="H677" s="10"/>
      <c r="I677" s="11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7"/>
      <c r="B678" s="7"/>
      <c r="C678" s="5"/>
      <c r="D678" s="8"/>
      <c r="E678" s="9"/>
      <c r="F678" s="9"/>
      <c r="G678" s="10"/>
      <c r="H678" s="10"/>
      <c r="I678" s="11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7"/>
      <c r="B679" s="7"/>
      <c r="C679" s="5"/>
      <c r="D679" s="8"/>
      <c r="E679" s="9"/>
      <c r="F679" s="9"/>
      <c r="G679" s="10"/>
      <c r="H679" s="10"/>
      <c r="I679" s="11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7"/>
      <c r="B680" s="7"/>
      <c r="C680" s="5"/>
      <c r="D680" s="8"/>
      <c r="E680" s="9"/>
      <c r="F680" s="9"/>
      <c r="G680" s="10"/>
      <c r="H680" s="10"/>
      <c r="I680" s="11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7"/>
      <c r="B681" s="7"/>
      <c r="C681" s="5"/>
      <c r="D681" s="8"/>
      <c r="E681" s="9"/>
      <c r="F681" s="9"/>
      <c r="G681" s="10"/>
      <c r="H681" s="10"/>
      <c r="I681" s="11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7"/>
      <c r="B682" s="7"/>
      <c r="C682" s="5"/>
      <c r="D682" s="8"/>
      <c r="E682" s="9"/>
      <c r="F682" s="9"/>
      <c r="G682" s="10"/>
      <c r="H682" s="10"/>
      <c r="I682" s="11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7"/>
      <c r="B683" s="7"/>
      <c r="C683" s="5"/>
      <c r="D683" s="8"/>
      <c r="E683" s="9"/>
      <c r="F683" s="9"/>
      <c r="G683" s="10"/>
      <c r="H683" s="10"/>
      <c r="I683" s="11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7"/>
      <c r="B684" s="7"/>
      <c r="C684" s="5"/>
      <c r="D684" s="8"/>
      <c r="E684" s="9"/>
      <c r="F684" s="9"/>
      <c r="G684" s="10"/>
      <c r="H684" s="10"/>
      <c r="I684" s="11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7"/>
      <c r="B685" s="7"/>
      <c r="C685" s="5"/>
      <c r="D685" s="8"/>
      <c r="E685" s="9"/>
      <c r="F685" s="9"/>
      <c r="G685" s="10"/>
      <c r="H685" s="10"/>
      <c r="I685" s="11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7"/>
      <c r="B686" s="7"/>
      <c r="C686" s="5"/>
      <c r="D686" s="8"/>
      <c r="E686" s="9"/>
      <c r="F686" s="9"/>
      <c r="G686" s="10"/>
      <c r="H686" s="10"/>
      <c r="I686" s="11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7"/>
      <c r="B687" s="7"/>
      <c r="C687" s="5"/>
      <c r="D687" s="8"/>
      <c r="E687" s="9"/>
      <c r="F687" s="9"/>
      <c r="G687" s="10"/>
      <c r="H687" s="10"/>
      <c r="I687" s="11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7"/>
      <c r="B688" s="7"/>
      <c r="C688" s="5"/>
      <c r="D688" s="8"/>
      <c r="E688" s="9"/>
      <c r="F688" s="9"/>
      <c r="G688" s="10"/>
      <c r="H688" s="10"/>
      <c r="I688" s="11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7"/>
      <c r="B689" s="7"/>
      <c r="C689" s="5"/>
      <c r="D689" s="8"/>
      <c r="E689" s="9"/>
      <c r="F689" s="9"/>
      <c r="G689" s="10"/>
      <c r="H689" s="10"/>
      <c r="I689" s="11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7"/>
      <c r="B690" s="7"/>
      <c r="C690" s="5"/>
      <c r="D690" s="8"/>
      <c r="E690" s="9"/>
      <c r="F690" s="9"/>
      <c r="G690" s="10"/>
      <c r="H690" s="10"/>
      <c r="I690" s="11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7"/>
      <c r="B691" s="7"/>
      <c r="C691" s="5"/>
      <c r="D691" s="8"/>
      <c r="E691" s="9"/>
      <c r="F691" s="9"/>
      <c r="G691" s="10"/>
      <c r="H691" s="10"/>
      <c r="I691" s="11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7"/>
      <c r="B692" s="7"/>
      <c r="C692" s="5"/>
      <c r="D692" s="8"/>
      <c r="E692" s="9"/>
      <c r="F692" s="9"/>
      <c r="G692" s="10"/>
      <c r="H692" s="10"/>
      <c r="I692" s="11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7"/>
      <c r="B693" s="7"/>
      <c r="C693" s="5"/>
      <c r="D693" s="8"/>
      <c r="E693" s="9"/>
      <c r="F693" s="9"/>
      <c r="G693" s="10"/>
      <c r="H693" s="10"/>
      <c r="I693" s="11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7"/>
      <c r="B694" s="7"/>
      <c r="C694" s="5"/>
      <c r="D694" s="8"/>
      <c r="E694" s="9"/>
      <c r="F694" s="9"/>
      <c r="G694" s="10"/>
      <c r="H694" s="10"/>
      <c r="I694" s="11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7"/>
      <c r="B695" s="7"/>
      <c r="C695" s="5"/>
      <c r="D695" s="8"/>
      <c r="E695" s="9"/>
      <c r="F695" s="9"/>
      <c r="G695" s="10"/>
      <c r="H695" s="10"/>
      <c r="I695" s="11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7"/>
      <c r="B696" s="7"/>
      <c r="C696" s="5"/>
      <c r="D696" s="8"/>
      <c r="E696" s="9"/>
      <c r="F696" s="9"/>
      <c r="G696" s="10"/>
      <c r="H696" s="10"/>
      <c r="I696" s="11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7"/>
      <c r="B697" s="7"/>
      <c r="C697" s="5"/>
      <c r="D697" s="8"/>
      <c r="E697" s="9"/>
      <c r="F697" s="9"/>
      <c r="G697" s="10"/>
      <c r="H697" s="10"/>
      <c r="I697" s="11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7"/>
      <c r="B698" s="7"/>
      <c r="C698" s="5"/>
      <c r="D698" s="8"/>
      <c r="E698" s="9"/>
      <c r="F698" s="9"/>
      <c r="G698" s="10"/>
      <c r="H698" s="10"/>
      <c r="I698" s="11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7"/>
      <c r="B699" s="7"/>
      <c r="C699" s="5"/>
      <c r="D699" s="8"/>
      <c r="E699" s="9"/>
      <c r="F699" s="9"/>
      <c r="G699" s="10"/>
      <c r="H699" s="10"/>
      <c r="I699" s="11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7"/>
      <c r="B700" s="7"/>
      <c r="C700" s="5"/>
      <c r="D700" s="8"/>
      <c r="E700" s="9"/>
      <c r="F700" s="9"/>
      <c r="G700" s="10"/>
      <c r="H700" s="10"/>
      <c r="I700" s="11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7"/>
      <c r="B701" s="7"/>
      <c r="C701" s="5"/>
      <c r="D701" s="8"/>
      <c r="E701" s="9"/>
      <c r="F701" s="9"/>
      <c r="G701" s="10"/>
      <c r="H701" s="10"/>
      <c r="I701" s="11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7"/>
      <c r="B702" s="7"/>
      <c r="C702" s="5"/>
      <c r="D702" s="8"/>
      <c r="E702" s="9"/>
      <c r="F702" s="9"/>
      <c r="G702" s="10"/>
      <c r="H702" s="10"/>
      <c r="I702" s="11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7"/>
      <c r="B703" s="7"/>
      <c r="C703" s="5"/>
      <c r="D703" s="8"/>
      <c r="E703" s="9"/>
      <c r="F703" s="9"/>
      <c r="G703" s="10"/>
      <c r="H703" s="10"/>
      <c r="I703" s="11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7"/>
      <c r="B704" s="7"/>
      <c r="C704" s="5"/>
      <c r="D704" s="8"/>
      <c r="E704" s="9"/>
      <c r="F704" s="9"/>
      <c r="G704" s="10"/>
      <c r="H704" s="10"/>
      <c r="I704" s="11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7"/>
      <c r="B705" s="7"/>
      <c r="C705" s="5"/>
      <c r="D705" s="8"/>
      <c r="E705" s="9"/>
      <c r="F705" s="9"/>
      <c r="G705" s="10"/>
      <c r="H705" s="10"/>
      <c r="I705" s="11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7"/>
      <c r="B706" s="7"/>
      <c r="C706" s="5"/>
      <c r="D706" s="8"/>
      <c r="E706" s="9"/>
      <c r="F706" s="9"/>
      <c r="G706" s="10"/>
      <c r="H706" s="10"/>
      <c r="I706" s="11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7"/>
      <c r="B707" s="7"/>
      <c r="C707" s="5"/>
      <c r="D707" s="8"/>
      <c r="E707" s="9"/>
      <c r="F707" s="9"/>
      <c r="G707" s="10"/>
      <c r="H707" s="10"/>
      <c r="I707" s="11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7"/>
      <c r="B708" s="7"/>
      <c r="C708" s="5"/>
      <c r="D708" s="8"/>
      <c r="E708" s="9"/>
      <c r="F708" s="9"/>
      <c r="G708" s="10"/>
      <c r="H708" s="10"/>
      <c r="I708" s="11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7"/>
      <c r="B709" s="7"/>
      <c r="C709" s="5"/>
      <c r="D709" s="8"/>
      <c r="E709" s="9"/>
      <c r="F709" s="9"/>
      <c r="G709" s="10"/>
      <c r="H709" s="10"/>
      <c r="I709" s="11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7"/>
      <c r="B710" s="7"/>
      <c r="C710" s="5"/>
      <c r="D710" s="8"/>
      <c r="E710" s="9"/>
      <c r="F710" s="9"/>
      <c r="G710" s="10"/>
      <c r="H710" s="10"/>
      <c r="I710" s="11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7"/>
      <c r="B711" s="7"/>
      <c r="C711" s="5"/>
      <c r="D711" s="8"/>
      <c r="E711" s="9"/>
      <c r="F711" s="9"/>
      <c r="G711" s="10"/>
      <c r="H711" s="10"/>
      <c r="I711" s="11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7"/>
      <c r="B712" s="7"/>
      <c r="C712" s="5"/>
      <c r="D712" s="8"/>
      <c r="E712" s="9"/>
      <c r="F712" s="9"/>
      <c r="G712" s="10"/>
      <c r="H712" s="10"/>
      <c r="I712" s="11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7"/>
      <c r="B713" s="7"/>
      <c r="C713" s="5"/>
      <c r="D713" s="8"/>
      <c r="E713" s="9"/>
      <c r="F713" s="9"/>
      <c r="G713" s="10"/>
      <c r="H713" s="10"/>
      <c r="I713" s="11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7"/>
      <c r="B714" s="7"/>
      <c r="C714" s="5"/>
      <c r="D714" s="8"/>
      <c r="E714" s="9"/>
      <c r="F714" s="9"/>
      <c r="G714" s="10"/>
      <c r="H714" s="10"/>
      <c r="I714" s="11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7"/>
      <c r="B715" s="7"/>
      <c r="C715" s="5"/>
      <c r="D715" s="8"/>
      <c r="E715" s="9"/>
      <c r="F715" s="9"/>
      <c r="G715" s="10"/>
      <c r="H715" s="10"/>
      <c r="I715" s="11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7"/>
      <c r="B716" s="7"/>
      <c r="C716" s="5"/>
      <c r="D716" s="8"/>
      <c r="E716" s="9"/>
      <c r="F716" s="9"/>
      <c r="G716" s="10"/>
      <c r="H716" s="10"/>
      <c r="I716" s="11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7"/>
      <c r="B717" s="7"/>
      <c r="C717" s="5"/>
      <c r="D717" s="8"/>
      <c r="E717" s="9"/>
      <c r="F717" s="9"/>
      <c r="G717" s="10"/>
      <c r="H717" s="10"/>
      <c r="I717" s="11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7"/>
      <c r="B718" s="7"/>
      <c r="C718" s="5"/>
      <c r="D718" s="8"/>
      <c r="E718" s="9"/>
      <c r="F718" s="9"/>
      <c r="G718" s="10"/>
      <c r="H718" s="10"/>
      <c r="I718" s="11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7"/>
      <c r="B719" s="7"/>
      <c r="C719" s="5"/>
      <c r="D719" s="8"/>
      <c r="E719" s="9"/>
      <c r="F719" s="9"/>
      <c r="G719" s="10"/>
      <c r="H719" s="10"/>
      <c r="I719" s="11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7"/>
      <c r="B720" s="7"/>
      <c r="C720" s="5"/>
      <c r="D720" s="8"/>
      <c r="E720" s="9"/>
      <c r="F720" s="9"/>
      <c r="G720" s="10"/>
      <c r="H720" s="10"/>
      <c r="I720" s="11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7"/>
      <c r="B721" s="7"/>
      <c r="C721" s="5"/>
      <c r="D721" s="8"/>
      <c r="E721" s="9"/>
      <c r="F721" s="9"/>
      <c r="G721" s="10"/>
      <c r="H721" s="10"/>
      <c r="I721" s="11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7"/>
      <c r="B722" s="7"/>
      <c r="C722" s="5"/>
      <c r="D722" s="8"/>
      <c r="E722" s="9"/>
      <c r="F722" s="9"/>
      <c r="G722" s="10"/>
      <c r="H722" s="10"/>
      <c r="I722" s="11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7"/>
      <c r="B723" s="7"/>
      <c r="C723" s="5"/>
      <c r="D723" s="8"/>
      <c r="E723" s="9"/>
      <c r="F723" s="9"/>
      <c r="G723" s="10"/>
      <c r="H723" s="10"/>
      <c r="I723" s="11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7"/>
      <c r="B724" s="7"/>
      <c r="C724" s="5"/>
      <c r="D724" s="8"/>
      <c r="E724" s="9"/>
      <c r="F724" s="9"/>
      <c r="G724" s="10"/>
      <c r="H724" s="10"/>
      <c r="I724" s="11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7"/>
      <c r="B725" s="7"/>
      <c r="C725" s="5"/>
      <c r="D725" s="8"/>
      <c r="E725" s="9"/>
      <c r="F725" s="9"/>
      <c r="G725" s="10"/>
      <c r="H725" s="10"/>
      <c r="I725" s="11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7"/>
      <c r="B726" s="7"/>
      <c r="C726" s="5"/>
      <c r="D726" s="8"/>
      <c r="E726" s="9"/>
      <c r="F726" s="9"/>
      <c r="G726" s="10"/>
      <c r="H726" s="10"/>
      <c r="I726" s="11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7"/>
      <c r="B727" s="7"/>
      <c r="C727" s="5"/>
      <c r="D727" s="8"/>
      <c r="E727" s="9"/>
      <c r="F727" s="9"/>
      <c r="G727" s="10"/>
      <c r="H727" s="10"/>
      <c r="I727" s="11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7"/>
      <c r="B728" s="7"/>
      <c r="C728" s="5"/>
      <c r="D728" s="8"/>
      <c r="E728" s="9"/>
      <c r="F728" s="9"/>
      <c r="G728" s="10"/>
      <c r="H728" s="10"/>
      <c r="I728" s="11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7"/>
      <c r="B729" s="7"/>
      <c r="C729" s="5"/>
      <c r="D729" s="8"/>
      <c r="E729" s="9"/>
      <c r="F729" s="9"/>
      <c r="G729" s="10"/>
      <c r="H729" s="10"/>
      <c r="I729" s="11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7"/>
      <c r="B730" s="7"/>
      <c r="C730" s="5"/>
      <c r="D730" s="8"/>
      <c r="E730" s="9"/>
      <c r="F730" s="9"/>
      <c r="G730" s="10"/>
      <c r="H730" s="10"/>
      <c r="I730" s="11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7"/>
      <c r="B731" s="7"/>
      <c r="C731" s="5"/>
      <c r="D731" s="8"/>
      <c r="E731" s="9"/>
      <c r="F731" s="9"/>
      <c r="G731" s="10"/>
      <c r="H731" s="10"/>
      <c r="I731" s="11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7"/>
      <c r="B732" s="7"/>
      <c r="C732" s="5"/>
      <c r="D732" s="8"/>
      <c r="E732" s="9"/>
      <c r="F732" s="9"/>
      <c r="G732" s="10"/>
      <c r="H732" s="10"/>
      <c r="I732" s="11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7"/>
      <c r="B733" s="7"/>
      <c r="C733" s="5"/>
      <c r="D733" s="8"/>
      <c r="E733" s="9"/>
      <c r="F733" s="9"/>
      <c r="G733" s="10"/>
      <c r="H733" s="10"/>
      <c r="I733" s="11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7"/>
      <c r="B734" s="7"/>
      <c r="C734" s="5"/>
      <c r="D734" s="8"/>
      <c r="E734" s="9"/>
      <c r="F734" s="9"/>
      <c r="G734" s="10"/>
      <c r="H734" s="10"/>
      <c r="I734" s="11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7"/>
      <c r="B735" s="7"/>
      <c r="C735" s="5"/>
      <c r="D735" s="8"/>
      <c r="E735" s="9"/>
      <c r="F735" s="9"/>
      <c r="G735" s="10"/>
      <c r="H735" s="10"/>
      <c r="I735" s="11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7"/>
      <c r="B736" s="7"/>
      <c r="C736" s="5"/>
      <c r="D736" s="8"/>
      <c r="E736" s="9"/>
      <c r="F736" s="9"/>
      <c r="G736" s="10"/>
      <c r="H736" s="10"/>
      <c r="I736" s="11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7"/>
      <c r="B737" s="7"/>
      <c r="C737" s="5"/>
      <c r="D737" s="8"/>
      <c r="E737" s="9"/>
      <c r="F737" s="9"/>
      <c r="G737" s="10"/>
      <c r="H737" s="10"/>
      <c r="I737" s="11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7"/>
      <c r="B738" s="7"/>
      <c r="C738" s="5"/>
      <c r="D738" s="8"/>
      <c r="E738" s="9"/>
      <c r="F738" s="9"/>
      <c r="G738" s="10"/>
      <c r="H738" s="10"/>
      <c r="I738" s="11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7"/>
      <c r="B739" s="7"/>
      <c r="C739" s="5"/>
      <c r="D739" s="8"/>
      <c r="E739" s="9"/>
      <c r="F739" s="9"/>
      <c r="G739" s="10"/>
      <c r="H739" s="10"/>
      <c r="I739" s="11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7"/>
      <c r="B740" s="7"/>
      <c r="C740" s="5"/>
      <c r="D740" s="8"/>
      <c r="E740" s="9"/>
      <c r="F740" s="9"/>
      <c r="G740" s="10"/>
      <c r="H740" s="10"/>
      <c r="I740" s="11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7"/>
      <c r="B741" s="7"/>
      <c r="C741" s="5"/>
      <c r="D741" s="8"/>
      <c r="E741" s="9"/>
      <c r="F741" s="9"/>
      <c r="G741" s="10"/>
      <c r="H741" s="10"/>
      <c r="I741" s="11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7"/>
      <c r="B742" s="7"/>
      <c r="C742" s="5"/>
      <c r="D742" s="8"/>
      <c r="E742" s="9"/>
      <c r="F742" s="9"/>
      <c r="G742" s="10"/>
      <c r="H742" s="10"/>
      <c r="I742" s="11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7"/>
      <c r="B743" s="7"/>
      <c r="C743" s="5"/>
      <c r="D743" s="8"/>
      <c r="E743" s="9"/>
      <c r="F743" s="9"/>
      <c r="G743" s="10"/>
      <c r="H743" s="10"/>
      <c r="I743" s="11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7"/>
      <c r="B744" s="7"/>
      <c r="C744" s="5"/>
      <c r="D744" s="8"/>
      <c r="E744" s="9"/>
      <c r="F744" s="9"/>
      <c r="G744" s="10"/>
      <c r="H744" s="10"/>
      <c r="I744" s="11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7"/>
      <c r="B745" s="7"/>
      <c r="C745" s="5"/>
      <c r="D745" s="8"/>
      <c r="E745" s="9"/>
      <c r="F745" s="9"/>
      <c r="G745" s="10"/>
      <c r="H745" s="10"/>
      <c r="I745" s="11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7"/>
      <c r="B746" s="7"/>
      <c r="C746" s="5"/>
      <c r="D746" s="8"/>
      <c r="E746" s="9"/>
      <c r="F746" s="9"/>
      <c r="G746" s="10"/>
      <c r="H746" s="10"/>
      <c r="I746" s="11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7"/>
      <c r="B747" s="7"/>
      <c r="C747" s="5"/>
      <c r="D747" s="8"/>
      <c r="E747" s="9"/>
      <c r="F747" s="9"/>
      <c r="G747" s="10"/>
      <c r="H747" s="10"/>
      <c r="I747" s="11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7"/>
      <c r="B748" s="7"/>
      <c r="C748" s="5"/>
      <c r="D748" s="8"/>
      <c r="E748" s="9"/>
      <c r="F748" s="9"/>
      <c r="G748" s="10"/>
      <c r="H748" s="10"/>
      <c r="I748" s="11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7"/>
      <c r="B749" s="7"/>
      <c r="C749" s="5"/>
      <c r="D749" s="8"/>
      <c r="E749" s="9"/>
      <c r="F749" s="9"/>
      <c r="G749" s="10"/>
      <c r="H749" s="10"/>
      <c r="I749" s="11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7"/>
      <c r="B750" s="7"/>
      <c r="C750" s="5"/>
      <c r="D750" s="8"/>
      <c r="E750" s="9"/>
      <c r="F750" s="9"/>
      <c r="G750" s="10"/>
      <c r="H750" s="10"/>
      <c r="I750" s="11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7"/>
      <c r="B751" s="7"/>
      <c r="C751" s="5"/>
      <c r="D751" s="8"/>
      <c r="E751" s="9"/>
      <c r="F751" s="9"/>
      <c r="G751" s="10"/>
      <c r="H751" s="10"/>
      <c r="I751" s="11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7"/>
      <c r="B752" s="7"/>
      <c r="C752" s="5"/>
      <c r="D752" s="8"/>
      <c r="E752" s="9"/>
      <c r="F752" s="9"/>
      <c r="G752" s="10"/>
      <c r="H752" s="10"/>
      <c r="I752" s="11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7"/>
      <c r="B753" s="7"/>
      <c r="C753" s="5"/>
      <c r="D753" s="8"/>
      <c r="E753" s="9"/>
      <c r="F753" s="9"/>
      <c r="G753" s="10"/>
      <c r="H753" s="10"/>
      <c r="I753" s="11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7"/>
      <c r="B754" s="7"/>
      <c r="C754" s="5"/>
      <c r="D754" s="8"/>
      <c r="E754" s="9"/>
      <c r="F754" s="9"/>
      <c r="G754" s="10"/>
      <c r="H754" s="10"/>
      <c r="I754" s="11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7"/>
      <c r="B755" s="7"/>
      <c r="C755" s="5"/>
      <c r="D755" s="8"/>
      <c r="E755" s="9"/>
      <c r="F755" s="9"/>
      <c r="G755" s="10"/>
      <c r="H755" s="10"/>
      <c r="I755" s="11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7"/>
      <c r="B756" s="7"/>
      <c r="C756" s="5"/>
      <c r="D756" s="8"/>
      <c r="E756" s="9"/>
      <c r="F756" s="9"/>
      <c r="G756" s="10"/>
      <c r="H756" s="10"/>
      <c r="I756" s="11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7"/>
      <c r="B757" s="7"/>
      <c r="C757" s="5"/>
      <c r="D757" s="8"/>
      <c r="E757" s="9"/>
      <c r="F757" s="9"/>
      <c r="G757" s="10"/>
      <c r="H757" s="10"/>
      <c r="I757" s="11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7"/>
      <c r="B758" s="7"/>
      <c r="C758" s="5"/>
      <c r="D758" s="8"/>
      <c r="E758" s="9"/>
      <c r="F758" s="9"/>
      <c r="G758" s="10"/>
      <c r="H758" s="10"/>
      <c r="I758" s="11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7"/>
      <c r="B759" s="7"/>
      <c r="C759" s="5"/>
      <c r="D759" s="8"/>
      <c r="E759" s="9"/>
      <c r="F759" s="9"/>
      <c r="G759" s="10"/>
      <c r="H759" s="10"/>
      <c r="I759" s="11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7"/>
      <c r="B760" s="7"/>
      <c r="C760" s="5"/>
      <c r="D760" s="8"/>
      <c r="E760" s="9"/>
      <c r="F760" s="9"/>
      <c r="G760" s="10"/>
      <c r="H760" s="10"/>
      <c r="I760" s="11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7"/>
      <c r="B761" s="7"/>
      <c r="C761" s="5"/>
      <c r="D761" s="8"/>
      <c r="E761" s="9"/>
      <c r="F761" s="9"/>
      <c r="G761" s="10"/>
      <c r="H761" s="10"/>
      <c r="I761" s="11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7"/>
      <c r="B762" s="7"/>
      <c r="C762" s="5"/>
      <c r="D762" s="8"/>
      <c r="E762" s="9"/>
      <c r="F762" s="9"/>
      <c r="G762" s="10"/>
      <c r="H762" s="10"/>
      <c r="I762" s="11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7"/>
      <c r="B763" s="7"/>
      <c r="C763" s="5"/>
      <c r="D763" s="8"/>
      <c r="E763" s="9"/>
      <c r="F763" s="9"/>
      <c r="G763" s="10"/>
      <c r="H763" s="10"/>
      <c r="I763" s="11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7"/>
      <c r="B764" s="7"/>
      <c r="C764" s="5"/>
      <c r="D764" s="8"/>
      <c r="E764" s="9"/>
      <c r="F764" s="9"/>
      <c r="G764" s="10"/>
      <c r="H764" s="10"/>
      <c r="I764" s="11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7"/>
      <c r="B765" s="7"/>
      <c r="C765" s="5"/>
      <c r="D765" s="8"/>
      <c r="E765" s="9"/>
      <c r="F765" s="9"/>
      <c r="G765" s="10"/>
      <c r="H765" s="10"/>
      <c r="I765" s="11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7"/>
      <c r="B766" s="7"/>
      <c r="C766" s="5"/>
      <c r="D766" s="8"/>
      <c r="E766" s="9"/>
      <c r="F766" s="9"/>
      <c r="G766" s="10"/>
      <c r="H766" s="10"/>
      <c r="I766" s="11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7"/>
      <c r="B767" s="7"/>
      <c r="C767" s="5"/>
      <c r="D767" s="8"/>
      <c r="E767" s="9"/>
      <c r="F767" s="9"/>
      <c r="G767" s="10"/>
      <c r="H767" s="10"/>
      <c r="I767" s="11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7"/>
      <c r="B768" s="7"/>
      <c r="C768" s="5"/>
      <c r="D768" s="8"/>
      <c r="E768" s="9"/>
      <c r="F768" s="9"/>
      <c r="G768" s="10"/>
      <c r="H768" s="10"/>
      <c r="I768" s="11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7"/>
      <c r="B769" s="7"/>
      <c r="C769" s="5"/>
      <c r="D769" s="8"/>
      <c r="E769" s="9"/>
      <c r="F769" s="9"/>
      <c r="G769" s="10"/>
      <c r="H769" s="10"/>
      <c r="I769" s="11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7"/>
      <c r="B770" s="7"/>
      <c r="C770" s="5"/>
      <c r="D770" s="8"/>
      <c r="E770" s="9"/>
      <c r="F770" s="9"/>
      <c r="G770" s="10"/>
      <c r="H770" s="10"/>
      <c r="I770" s="11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7"/>
      <c r="B771" s="7"/>
      <c r="C771" s="5"/>
      <c r="D771" s="8"/>
      <c r="E771" s="9"/>
      <c r="F771" s="9"/>
      <c r="G771" s="10"/>
      <c r="H771" s="10"/>
      <c r="I771" s="11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7"/>
      <c r="B772" s="7"/>
      <c r="C772" s="5"/>
      <c r="D772" s="8"/>
      <c r="E772" s="9"/>
      <c r="F772" s="9"/>
      <c r="G772" s="10"/>
      <c r="H772" s="10"/>
      <c r="I772" s="11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7"/>
      <c r="B773" s="7"/>
      <c r="C773" s="5"/>
      <c r="D773" s="8"/>
      <c r="E773" s="9"/>
      <c r="F773" s="9"/>
      <c r="G773" s="10"/>
      <c r="H773" s="10"/>
      <c r="I773" s="11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7"/>
      <c r="B774" s="7"/>
      <c r="C774" s="5"/>
      <c r="D774" s="8"/>
      <c r="E774" s="9"/>
      <c r="F774" s="9"/>
      <c r="G774" s="10"/>
      <c r="H774" s="10"/>
      <c r="I774" s="11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7"/>
      <c r="B775" s="7"/>
      <c r="C775" s="5"/>
      <c r="D775" s="8"/>
      <c r="E775" s="9"/>
      <c r="F775" s="9"/>
      <c r="G775" s="10"/>
      <c r="H775" s="10"/>
      <c r="I775" s="11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7"/>
      <c r="B776" s="7"/>
      <c r="C776" s="5"/>
      <c r="D776" s="8"/>
      <c r="E776" s="9"/>
      <c r="F776" s="9"/>
      <c r="G776" s="10"/>
      <c r="H776" s="10"/>
      <c r="I776" s="11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7"/>
      <c r="B777" s="7"/>
      <c r="C777" s="5"/>
      <c r="D777" s="8"/>
      <c r="E777" s="9"/>
      <c r="F777" s="9"/>
      <c r="G777" s="10"/>
      <c r="H777" s="10"/>
      <c r="I777" s="11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7"/>
      <c r="B778" s="7"/>
      <c r="C778" s="5"/>
      <c r="D778" s="8"/>
      <c r="E778" s="9"/>
      <c r="F778" s="9"/>
      <c r="G778" s="10"/>
      <c r="H778" s="10"/>
      <c r="I778" s="11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7"/>
      <c r="B779" s="7"/>
      <c r="C779" s="5"/>
      <c r="D779" s="8"/>
      <c r="E779" s="9"/>
      <c r="F779" s="9"/>
      <c r="G779" s="10"/>
      <c r="H779" s="10"/>
      <c r="I779" s="11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7"/>
      <c r="B780" s="7"/>
      <c r="C780" s="5"/>
      <c r="D780" s="8"/>
      <c r="E780" s="9"/>
      <c r="F780" s="9"/>
      <c r="G780" s="10"/>
      <c r="H780" s="10"/>
      <c r="I780" s="11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7"/>
      <c r="B781" s="7"/>
      <c r="C781" s="5"/>
      <c r="D781" s="8"/>
      <c r="E781" s="9"/>
      <c r="F781" s="9"/>
      <c r="G781" s="10"/>
      <c r="H781" s="10"/>
      <c r="I781" s="11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7"/>
      <c r="B782" s="7"/>
      <c r="C782" s="5"/>
      <c r="D782" s="8"/>
      <c r="E782" s="9"/>
      <c r="F782" s="9"/>
      <c r="G782" s="10"/>
      <c r="H782" s="10"/>
      <c r="I782" s="11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7"/>
      <c r="B783" s="7"/>
      <c r="C783" s="5"/>
      <c r="D783" s="8"/>
      <c r="E783" s="9"/>
      <c r="F783" s="9"/>
      <c r="G783" s="10"/>
      <c r="H783" s="10"/>
      <c r="I783" s="11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7"/>
      <c r="B784" s="7"/>
      <c r="C784" s="5"/>
      <c r="D784" s="8"/>
      <c r="E784" s="9"/>
      <c r="F784" s="9"/>
      <c r="G784" s="10"/>
      <c r="H784" s="10"/>
      <c r="I784" s="11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7"/>
      <c r="B785" s="7"/>
      <c r="C785" s="5"/>
      <c r="D785" s="8"/>
      <c r="E785" s="9"/>
      <c r="F785" s="9"/>
      <c r="G785" s="10"/>
      <c r="H785" s="10"/>
      <c r="I785" s="11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7"/>
      <c r="B786" s="7"/>
      <c r="C786" s="5"/>
      <c r="D786" s="8"/>
      <c r="E786" s="9"/>
      <c r="F786" s="9"/>
      <c r="G786" s="10"/>
      <c r="H786" s="10"/>
      <c r="I786" s="11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7"/>
      <c r="B787" s="7"/>
      <c r="C787" s="5"/>
      <c r="D787" s="8"/>
      <c r="E787" s="9"/>
      <c r="F787" s="9"/>
      <c r="G787" s="10"/>
      <c r="H787" s="10"/>
      <c r="I787" s="11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7"/>
      <c r="B788" s="7"/>
      <c r="C788" s="5"/>
      <c r="D788" s="8"/>
      <c r="E788" s="9"/>
      <c r="F788" s="9"/>
      <c r="G788" s="10"/>
      <c r="H788" s="10"/>
      <c r="I788" s="11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7"/>
      <c r="B789" s="7"/>
      <c r="C789" s="5"/>
      <c r="D789" s="8"/>
      <c r="E789" s="9"/>
      <c r="F789" s="9"/>
      <c r="G789" s="10"/>
      <c r="H789" s="10"/>
      <c r="I789" s="11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7"/>
      <c r="B790" s="7"/>
      <c r="C790" s="5"/>
      <c r="D790" s="8"/>
      <c r="E790" s="9"/>
      <c r="F790" s="9"/>
      <c r="G790" s="10"/>
      <c r="H790" s="10"/>
      <c r="I790" s="11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7"/>
      <c r="B791" s="7"/>
      <c r="C791" s="5"/>
      <c r="D791" s="8"/>
      <c r="E791" s="9"/>
      <c r="F791" s="9"/>
      <c r="G791" s="10"/>
      <c r="H791" s="10"/>
      <c r="I791" s="11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7"/>
      <c r="B792" s="7"/>
      <c r="C792" s="5"/>
      <c r="D792" s="8"/>
      <c r="E792" s="9"/>
      <c r="F792" s="9"/>
      <c r="G792" s="10"/>
      <c r="H792" s="10"/>
      <c r="I792" s="11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7"/>
      <c r="B793" s="7"/>
      <c r="C793" s="5"/>
      <c r="D793" s="8"/>
      <c r="E793" s="9"/>
      <c r="F793" s="9"/>
      <c r="G793" s="10"/>
      <c r="H793" s="10"/>
      <c r="I793" s="11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7"/>
      <c r="B794" s="7"/>
      <c r="C794" s="5"/>
      <c r="D794" s="8"/>
      <c r="E794" s="9"/>
      <c r="F794" s="9"/>
      <c r="G794" s="10"/>
      <c r="H794" s="10"/>
      <c r="I794" s="11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7"/>
      <c r="B795" s="7"/>
      <c r="C795" s="5"/>
      <c r="D795" s="8"/>
      <c r="E795" s="9"/>
      <c r="F795" s="9"/>
      <c r="G795" s="10"/>
      <c r="H795" s="10"/>
      <c r="I795" s="11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7"/>
      <c r="B796" s="7"/>
      <c r="C796" s="5"/>
      <c r="D796" s="8"/>
      <c r="E796" s="9"/>
      <c r="F796" s="9"/>
      <c r="G796" s="10"/>
      <c r="H796" s="10"/>
      <c r="I796" s="11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7"/>
      <c r="B797" s="7"/>
      <c r="C797" s="5"/>
      <c r="D797" s="8"/>
      <c r="E797" s="9"/>
      <c r="F797" s="9"/>
      <c r="G797" s="10"/>
      <c r="H797" s="10"/>
      <c r="I797" s="11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7"/>
      <c r="B798" s="7"/>
      <c r="C798" s="5"/>
      <c r="D798" s="8"/>
      <c r="E798" s="9"/>
      <c r="F798" s="9"/>
      <c r="G798" s="10"/>
      <c r="H798" s="10"/>
      <c r="I798" s="11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7"/>
      <c r="B799" s="7"/>
      <c r="C799" s="5"/>
      <c r="D799" s="8"/>
      <c r="E799" s="9"/>
      <c r="F799" s="9"/>
      <c r="G799" s="10"/>
      <c r="H799" s="10"/>
      <c r="I799" s="11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7"/>
      <c r="B800" s="7"/>
      <c r="C800" s="5"/>
      <c r="D800" s="8"/>
      <c r="E800" s="9"/>
      <c r="F800" s="9"/>
      <c r="G800" s="10"/>
      <c r="H800" s="10"/>
      <c r="I800" s="11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7"/>
      <c r="B801" s="7"/>
      <c r="C801" s="5"/>
      <c r="D801" s="8"/>
      <c r="E801" s="9"/>
      <c r="F801" s="9"/>
      <c r="G801" s="10"/>
      <c r="H801" s="10"/>
      <c r="I801" s="11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7"/>
      <c r="B802" s="7"/>
      <c r="C802" s="5"/>
      <c r="D802" s="8"/>
      <c r="E802" s="9"/>
      <c r="F802" s="9"/>
      <c r="G802" s="10"/>
      <c r="H802" s="10"/>
      <c r="I802" s="11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7"/>
      <c r="B803" s="7"/>
      <c r="C803" s="5"/>
      <c r="D803" s="8"/>
      <c r="E803" s="9"/>
      <c r="F803" s="9"/>
      <c r="G803" s="10"/>
      <c r="H803" s="10"/>
      <c r="I803" s="11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7"/>
      <c r="B804" s="7"/>
      <c r="C804" s="5"/>
      <c r="D804" s="8"/>
      <c r="E804" s="9"/>
      <c r="F804" s="9"/>
      <c r="G804" s="10"/>
      <c r="H804" s="10"/>
      <c r="I804" s="11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7"/>
      <c r="B805" s="7"/>
      <c r="C805" s="5"/>
      <c r="D805" s="8"/>
      <c r="E805" s="9"/>
      <c r="F805" s="9"/>
      <c r="G805" s="10"/>
      <c r="H805" s="10"/>
      <c r="I805" s="11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7"/>
      <c r="B806" s="7"/>
      <c r="C806" s="5"/>
      <c r="D806" s="8"/>
      <c r="E806" s="9"/>
      <c r="F806" s="9"/>
      <c r="G806" s="10"/>
      <c r="H806" s="10"/>
      <c r="I806" s="11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7"/>
      <c r="B807" s="7"/>
      <c r="C807" s="5"/>
      <c r="D807" s="8"/>
      <c r="E807" s="9"/>
      <c r="F807" s="9"/>
      <c r="G807" s="10"/>
      <c r="H807" s="10"/>
      <c r="I807" s="11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7"/>
      <c r="B808" s="7"/>
      <c r="C808" s="5"/>
      <c r="D808" s="8"/>
      <c r="E808" s="9"/>
      <c r="F808" s="9"/>
      <c r="G808" s="10"/>
      <c r="H808" s="10"/>
      <c r="I808" s="11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7"/>
      <c r="B809" s="7"/>
      <c r="C809" s="5"/>
      <c r="D809" s="8"/>
      <c r="E809" s="9"/>
      <c r="F809" s="9"/>
      <c r="G809" s="10"/>
      <c r="H809" s="10"/>
      <c r="I809" s="11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7"/>
      <c r="B810" s="7"/>
      <c r="C810" s="5"/>
      <c r="D810" s="8"/>
      <c r="E810" s="9"/>
      <c r="F810" s="9"/>
      <c r="G810" s="10"/>
      <c r="H810" s="10"/>
      <c r="I810" s="11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7"/>
      <c r="B811" s="7"/>
      <c r="C811" s="5"/>
      <c r="D811" s="8"/>
      <c r="E811" s="9"/>
      <c r="F811" s="9"/>
      <c r="G811" s="10"/>
      <c r="H811" s="10"/>
      <c r="I811" s="11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7"/>
      <c r="B812" s="7"/>
      <c r="C812" s="5"/>
      <c r="D812" s="8"/>
      <c r="E812" s="9"/>
      <c r="F812" s="9"/>
      <c r="G812" s="10"/>
      <c r="H812" s="10"/>
      <c r="I812" s="11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7"/>
      <c r="B813" s="7"/>
      <c r="C813" s="5"/>
      <c r="D813" s="8"/>
      <c r="E813" s="9"/>
      <c r="F813" s="9"/>
      <c r="G813" s="10"/>
      <c r="H813" s="10"/>
      <c r="I813" s="11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7"/>
      <c r="B814" s="7"/>
      <c r="C814" s="5"/>
      <c r="D814" s="8"/>
      <c r="E814" s="9"/>
      <c r="F814" s="9"/>
      <c r="G814" s="10"/>
      <c r="H814" s="10"/>
      <c r="I814" s="11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7"/>
      <c r="B815" s="7"/>
      <c r="C815" s="5"/>
      <c r="D815" s="8"/>
      <c r="E815" s="9"/>
      <c r="F815" s="9"/>
      <c r="G815" s="10"/>
      <c r="H815" s="10"/>
      <c r="I815" s="11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7"/>
      <c r="B816" s="7"/>
      <c r="C816" s="5"/>
      <c r="D816" s="8"/>
      <c r="E816" s="9"/>
      <c r="F816" s="9"/>
      <c r="G816" s="10"/>
      <c r="H816" s="10"/>
      <c r="I816" s="11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7"/>
      <c r="B817" s="7"/>
      <c r="C817" s="5"/>
      <c r="D817" s="8"/>
      <c r="E817" s="9"/>
      <c r="F817" s="9"/>
      <c r="G817" s="10"/>
      <c r="H817" s="10"/>
      <c r="I817" s="11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7"/>
      <c r="B818" s="7"/>
      <c r="C818" s="5"/>
      <c r="D818" s="8"/>
      <c r="E818" s="9"/>
      <c r="F818" s="9"/>
      <c r="G818" s="10"/>
      <c r="H818" s="10"/>
      <c r="I818" s="11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7"/>
      <c r="B819" s="7"/>
      <c r="C819" s="5"/>
      <c r="D819" s="8"/>
      <c r="E819" s="9"/>
      <c r="F819" s="9"/>
      <c r="G819" s="10"/>
      <c r="H819" s="10"/>
      <c r="I819" s="11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7"/>
      <c r="B820" s="7"/>
      <c r="C820" s="5"/>
      <c r="D820" s="8"/>
      <c r="E820" s="9"/>
      <c r="F820" s="9"/>
      <c r="G820" s="10"/>
      <c r="H820" s="10"/>
      <c r="I820" s="11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7"/>
      <c r="B821" s="7"/>
      <c r="C821" s="5"/>
      <c r="D821" s="8"/>
      <c r="E821" s="9"/>
      <c r="F821" s="9"/>
      <c r="G821" s="10"/>
      <c r="H821" s="10"/>
      <c r="I821" s="11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7"/>
      <c r="B822" s="7"/>
      <c r="C822" s="5"/>
      <c r="D822" s="8"/>
      <c r="E822" s="9"/>
      <c r="F822" s="9"/>
      <c r="G822" s="10"/>
      <c r="H822" s="10"/>
      <c r="I822" s="11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7"/>
      <c r="B823" s="7"/>
      <c r="C823" s="5"/>
      <c r="D823" s="8"/>
      <c r="E823" s="9"/>
      <c r="F823" s="9"/>
      <c r="G823" s="10"/>
      <c r="H823" s="10"/>
      <c r="I823" s="11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7"/>
      <c r="B824" s="7"/>
      <c r="C824" s="5"/>
      <c r="D824" s="8"/>
      <c r="E824" s="9"/>
      <c r="F824" s="9"/>
      <c r="G824" s="10"/>
      <c r="H824" s="10"/>
      <c r="I824" s="11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7"/>
      <c r="B825" s="7"/>
      <c r="C825" s="5"/>
      <c r="D825" s="8"/>
      <c r="E825" s="9"/>
      <c r="F825" s="9"/>
      <c r="G825" s="10"/>
      <c r="H825" s="10"/>
      <c r="I825" s="11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7"/>
      <c r="B826" s="7"/>
      <c r="C826" s="5"/>
      <c r="D826" s="8"/>
      <c r="E826" s="9"/>
      <c r="F826" s="9"/>
      <c r="G826" s="10"/>
      <c r="H826" s="10"/>
      <c r="I826" s="11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7"/>
      <c r="B827" s="7"/>
      <c r="C827" s="5"/>
      <c r="D827" s="8"/>
      <c r="E827" s="9"/>
      <c r="F827" s="9"/>
      <c r="G827" s="10"/>
      <c r="H827" s="10"/>
      <c r="I827" s="11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7"/>
      <c r="B828" s="7"/>
      <c r="C828" s="5"/>
      <c r="D828" s="8"/>
      <c r="E828" s="9"/>
      <c r="F828" s="9"/>
      <c r="G828" s="10"/>
      <c r="H828" s="10"/>
      <c r="I828" s="11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7"/>
      <c r="B829" s="7"/>
      <c r="C829" s="5"/>
      <c r="D829" s="8"/>
      <c r="E829" s="9"/>
      <c r="F829" s="9"/>
      <c r="G829" s="10"/>
      <c r="H829" s="10"/>
      <c r="I829" s="11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7"/>
      <c r="B830" s="7"/>
      <c r="C830" s="5"/>
      <c r="D830" s="8"/>
      <c r="E830" s="9"/>
      <c r="F830" s="9"/>
      <c r="G830" s="10"/>
      <c r="H830" s="10"/>
      <c r="I830" s="11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7"/>
      <c r="B831" s="7"/>
      <c r="C831" s="5"/>
      <c r="D831" s="8"/>
      <c r="E831" s="9"/>
      <c r="F831" s="9"/>
      <c r="G831" s="10"/>
      <c r="H831" s="10"/>
      <c r="I831" s="11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7"/>
      <c r="B832" s="7"/>
      <c r="C832" s="5"/>
      <c r="D832" s="8"/>
      <c r="E832" s="9"/>
      <c r="F832" s="9"/>
      <c r="G832" s="10"/>
      <c r="H832" s="10"/>
      <c r="I832" s="11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7"/>
      <c r="B833" s="7"/>
      <c r="C833" s="5"/>
      <c r="D833" s="8"/>
      <c r="E833" s="9"/>
      <c r="F833" s="9"/>
      <c r="G833" s="10"/>
      <c r="H833" s="10"/>
      <c r="I833" s="11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7"/>
      <c r="B834" s="7"/>
      <c r="C834" s="5"/>
      <c r="D834" s="8"/>
      <c r="E834" s="9"/>
      <c r="F834" s="9"/>
      <c r="G834" s="10"/>
      <c r="H834" s="10"/>
      <c r="I834" s="11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7"/>
      <c r="B835" s="7"/>
      <c r="C835" s="5"/>
      <c r="D835" s="8"/>
      <c r="E835" s="9"/>
      <c r="F835" s="9"/>
      <c r="G835" s="10"/>
      <c r="H835" s="10"/>
      <c r="I835" s="11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7"/>
      <c r="B836" s="7"/>
      <c r="C836" s="5"/>
      <c r="D836" s="8"/>
      <c r="E836" s="9"/>
      <c r="F836" s="9"/>
      <c r="G836" s="10"/>
      <c r="H836" s="10"/>
      <c r="I836" s="11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7"/>
      <c r="B837" s="7"/>
      <c r="C837" s="5"/>
      <c r="D837" s="8"/>
      <c r="E837" s="9"/>
      <c r="F837" s="9"/>
      <c r="G837" s="10"/>
      <c r="H837" s="10"/>
      <c r="I837" s="11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7"/>
      <c r="B838" s="7"/>
      <c r="C838" s="5"/>
      <c r="D838" s="8"/>
      <c r="E838" s="9"/>
      <c r="F838" s="9"/>
      <c r="G838" s="10"/>
      <c r="H838" s="10"/>
      <c r="I838" s="11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7"/>
      <c r="B839" s="7"/>
      <c r="C839" s="5"/>
      <c r="D839" s="8"/>
      <c r="E839" s="9"/>
      <c r="F839" s="9"/>
      <c r="G839" s="10"/>
      <c r="H839" s="10"/>
      <c r="I839" s="11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7"/>
      <c r="B840" s="7"/>
      <c r="C840" s="5"/>
      <c r="D840" s="8"/>
      <c r="E840" s="9"/>
      <c r="F840" s="9"/>
      <c r="G840" s="10"/>
      <c r="H840" s="10"/>
      <c r="I840" s="11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7"/>
      <c r="B841" s="7"/>
      <c r="C841" s="5"/>
      <c r="D841" s="8"/>
      <c r="E841" s="9"/>
      <c r="F841" s="9"/>
      <c r="G841" s="10"/>
      <c r="H841" s="10"/>
      <c r="I841" s="11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7"/>
      <c r="B842" s="7"/>
      <c r="C842" s="5"/>
      <c r="D842" s="8"/>
      <c r="E842" s="9"/>
      <c r="F842" s="9"/>
      <c r="G842" s="10"/>
      <c r="H842" s="10"/>
      <c r="I842" s="11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7"/>
      <c r="B843" s="7"/>
      <c r="C843" s="5"/>
      <c r="D843" s="8"/>
      <c r="E843" s="9"/>
      <c r="F843" s="9"/>
      <c r="G843" s="10"/>
      <c r="H843" s="10"/>
      <c r="I843" s="11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7"/>
      <c r="B844" s="7"/>
      <c r="C844" s="5"/>
      <c r="D844" s="8"/>
      <c r="E844" s="9"/>
      <c r="F844" s="9"/>
      <c r="G844" s="10"/>
      <c r="H844" s="10"/>
      <c r="I844" s="11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7"/>
      <c r="B845" s="7"/>
      <c r="C845" s="5"/>
      <c r="D845" s="8"/>
      <c r="E845" s="9"/>
      <c r="F845" s="9"/>
      <c r="G845" s="10"/>
      <c r="H845" s="10"/>
      <c r="I845" s="11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7"/>
      <c r="B846" s="7"/>
      <c r="C846" s="5"/>
      <c r="D846" s="8"/>
      <c r="E846" s="9"/>
      <c r="F846" s="9"/>
      <c r="G846" s="10"/>
      <c r="H846" s="10"/>
      <c r="I846" s="11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7"/>
      <c r="B847" s="7"/>
      <c r="C847" s="5"/>
      <c r="D847" s="8"/>
      <c r="E847" s="9"/>
      <c r="F847" s="9"/>
      <c r="G847" s="10"/>
      <c r="H847" s="10"/>
      <c r="I847" s="11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7"/>
      <c r="B848" s="7"/>
      <c r="C848" s="5"/>
      <c r="D848" s="8"/>
      <c r="E848" s="9"/>
      <c r="F848" s="9"/>
      <c r="G848" s="10"/>
      <c r="H848" s="10"/>
      <c r="I848" s="11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7"/>
      <c r="B849" s="7"/>
      <c r="C849" s="5"/>
      <c r="D849" s="8"/>
      <c r="E849" s="9"/>
      <c r="F849" s="9"/>
      <c r="G849" s="10"/>
      <c r="H849" s="10"/>
      <c r="I849" s="11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7"/>
      <c r="B850" s="7"/>
      <c r="C850" s="5"/>
      <c r="D850" s="8"/>
      <c r="E850" s="9"/>
      <c r="F850" s="9"/>
      <c r="G850" s="10"/>
      <c r="H850" s="10"/>
      <c r="I850" s="11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7"/>
      <c r="B851" s="7"/>
      <c r="C851" s="5"/>
      <c r="D851" s="8"/>
      <c r="E851" s="9"/>
      <c r="F851" s="9"/>
      <c r="G851" s="10"/>
      <c r="H851" s="10"/>
      <c r="I851" s="11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7"/>
      <c r="B852" s="7"/>
      <c r="C852" s="5"/>
      <c r="D852" s="8"/>
      <c r="E852" s="9"/>
      <c r="F852" s="9"/>
      <c r="G852" s="10"/>
      <c r="H852" s="10"/>
      <c r="I852" s="11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7"/>
      <c r="B853" s="7"/>
      <c r="C853" s="5"/>
      <c r="D853" s="8"/>
      <c r="E853" s="9"/>
      <c r="F853" s="9"/>
      <c r="G853" s="10"/>
      <c r="H853" s="10"/>
      <c r="I853" s="11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7"/>
      <c r="B854" s="7"/>
      <c r="C854" s="5"/>
      <c r="D854" s="8"/>
      <c r="E854" s="9"/>
      <c r="F854" s="9"/>
      <c r="G854" s="10"/>
      <c r="H854" s="10"/>
      <c r="I854" s="11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7"/>
      <c r="B855" s="7"/>
      <c r="C855" s="5"/>
      <c r="D855" s="8"/>
      <c r="E855" s="9"/>
      <c r="F855" s="9"/>
      <c r="G855" s="10"/>
      <c r="H855" s="10"/>
      <c r="I855" s="11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7"/>
      <c r="B856" s="7"/>
      <c r="C856" s="5"/>
      <c r="D856" s="8"/>
      <c r="E856" s="9"/>
      <c r="F856" s="9"/>
      <c r="G856" s="10"/>
      <c r="H856" s="10"/>
      <c r="I856" s="11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7"/>
      <c r="B857" s="7"/>
      <c r="C857" s="5"/>
      <c r="D857" s="8"/>
      <c r="E857" s="9"/>
      <c r="F857" s="9"/>
      <c r="G857" s="10"/>
      <c r="H857" s="10"/>
      <c r="I857" s="11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7"/>
      <c r="B858" s="7"/>
      <c r="C858" s="5"/>
      <c r="D858" s="8"/>
      <c r="E858" s="9"/>
      <c r="F858" s="9"/>
      <c r="G858" s="10"/>
      <c r="H858" s="10"/>
      <c r="I858" s="11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7"/>
      <c r="B859" s="7"/>
      <c r="C859" s="5"/>
      <c r="D859" s="8"/>
      <c r="E859" s="9"/>
      <c r="F859" s="9"/>
      <c r="G859" s="10"/>
      <c r="H859" s="10"/>
      <c r="I859" s="11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7"/>
      <c r="B860" s="7"/>
      <c r="C860" s="5"/>
      <c r="D860" s="8"/>
      <c r="E860" s="9"/>
      <c r="F860" s="9"/>
      <c r="G860" s="10"/>
      <c r="H860" s="10"/>
      <c r="I860" s="11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7"/>
      <c r="B861" s="7"/>
      <c r="C861" s="5"/>
      <c r="D861" s="8"/>
      <c r="E861" s="9"/>
      <c r="F861" s="9"/>
      <c r="G861" s="10"/>
      <c r="H861" s="10"/>
      <c r="I861" s="11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7"/>
      <c r="B862" s="7"/>
      <c r="C862" s="5"/>
      <c r="D862" s="8"/>
      <c r="E862" s="9"/>
      <c r="F862" s="9"/>
      <c r="G862" s="10"/>
      <c r="H862" s="10"/>
      <c r="I862" s="11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7"/>
      <c r="B863" s="7"/>
      <c r="C863" s="5"/>
      <c r="D863" s="8"/>
      <c r="E863" s="9"/>
      <c r="F863" s="9"/>
      <c r="G863" s="10"/>
      <c r="H863" s="10"/>
      <c r="I863" s="11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7"/>
      <c r="B864" s="7"/>
      <c r="C864" s="5"/>
      <c r="D864" s="8"/>
      <c r="E864" s="9"/>
      <c r="F864" s="9"/>
      <c r="G864" s="10"/>
      <c r="H864" s="10"/>
      <c r="I864" s="11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7"/>
      <c r="B865" s="7"/>
      <c r="C865" s="5"/>
      <c r="D865" s="8"/>
      <c r="E865" s="9"/>
      <c r="F865" s="9"/>
      <c r="G865" s="10"/>
      <c r="H865" s="10"/>
      <c r="I865" s="11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7"/>
      <c r="B866" s="7"/>
      <c r="C866" s="5"/>
      <c r="D866" s="8"/>
      <c r="E866" s="9"/>
      <c r="F866" s="9"/>
      <c r="G866" s="10"/>
      <c r="H866" s="10"/>
      <c r="I866" s="11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7"/>
      <c r="B867" s="7"/>
      <c r="C867" s="5"/>
      <c r="D867" s="8"/>
      <c r="E867" s="9"/>
      <c r="F867" s="9"/>
      <c r="G867" s="10"/>
      <c r="H867" s="10"/>
      <c r="I867" s="11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7"/>
      <c r="B868" s="7"/>
      <c r="C868" s="5"/>
      <c r="D868" s="8"/>
      <c r="E868" s="9"/>
      <c r="F868" s="9"/>
      <c r="G868" s="10"/>
      <c r="H868" s="10"/>
      <c r="I868" s="11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7"/>
      <c r="B869" s="7"/>
      <c r="C869" s="5"/>
      <c r="D869" s="8"/>
      <c r="E869" s="9"/>
      <c r="F869" s="9"/>
      <c r="G869" s="10"/>
      <c r="H869" s="10"/>
      <c r="I869" s="11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7"/>
      <c r="B870" s="7"/>
      <c r="C870" s="5"/>
      <c r="D870" s="8"/>
      <c r="E870" s="9"/>
      <c r="F870" s="9"/>
      <c r="G870" s="10"/>
      <c r="H870" s="10"/>
      <c r="I870" s="11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7"/>
      <c r="B871" s="7"/>
      <c r="C871" s="5"/>
      <c r="D871" s="8"/>
      <c r="E871" s="9"/>
      <c r="F871" s="9"/>
      <c r="G871" s="10"/>
      <c r="H871" s="10"/>
      <c r="I871" s="11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7"/>
      <c r="B872" s="7"/>
      <c r="C872" s="5"/>
      <c r="D872" s="8"/>
      <c r="E872" s="9"/>
      <c r="F872" s="9"/>
      <c r="G872" s="10"/>
      <c r="H872" s="10"/>
      <c r="I872" s="11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7"/>
      <c r="B873" s="7"/>
      <c r="C873" s="5"/>
      <c r="D873" s="8"/>
      <c r="E873" s="9"/>
      <c r="F873" s="9"/>
      <c r="G873" s="10"/>
      <c r="H873" s="10"/>
      <c r="I873" s="11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7"/>
      <c r="B874" s="7"/>
      <c r="C874" s="5"/>
      <c r="D874" s="8"/>
      <c r="E874" s="9"/>
      <c r="F874" s="9"/>
      <c r="G874" s="10"/>
      <c r="H874" s="10"/>
      <c r="I874" s="11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7"/>
      <c r="B875" s="7"/>
      <c r="C875" s="5"/>
      <c r="D875" s="8"/>
      <c r="E875" s="9"/>
      <c r="F875" s="9"/>
      <c r="G875" s="10"/>
      <c r="H875" s="10"/>
      <c r="I875" s="11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7"/>
      <c r="B876" s="7"/>
      <c r="C876" s="5"/>
      <c r="D876" s="8"/>
      <c r="E876" s="9"/>
      <c r="F876" s="9"/>
      <c r="G876" s="10"/>
      <c r="H876" s="10"/>
      <c r="I876" s="11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7"/>
      <c r="B877" s="7"/>
      <c r="C877" s="5"/>
      <c r="D877" s="8"/>
      <c r="E877" s="9"/>
      <c r="F877" s="9"/>
      <c r="G877" s="10"/>
      <c r="H877" s="10"/>
      <c r="I877" s="11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7"/>
      <c r="B878" s="7"/>
      <c r="C878" s="5"/>
      <c r="D878" s="8"/>
      <c r="E878" s="9"/>
      <c r="F878" s="9"/>
      <c r="G878" s="10"/>
      <c r="H878" s="10"/>
      <c r="I878" s="11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7"/>
      <c r="B879" s="7"/>
      <c r="C879" s="5"/>
      <c r="D879" s="8"/>
      <c r="E879" s="9"/>
      <c r="F879" s="9"/>
      <c r="G879" s="10"/>
      <c r="H879" s="10"/>
      <c r="I879" s="11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7"/>
      <c r="B880" s="7"/>
      <c r="C880" s="5"/>
      <c r="D880" s="8"/>
      <c r="E880" s="9"/>
      <c r="F880" s="9"/>
      <c r="G880" s="10"/>
      <c r="H880" s="10"/>
      <c r="I880" s="11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7"/>
      <c r="B881" s="7"/>
      <c r="C881" s="5"/>
      <c r="D881" s="8"/>
      <c r="E881" s="9"/>
      <c r="F881" s="9"/>
      <c r="G881" s="10"/>
      <c r="H881" s="10"/>
      <c r="I881" s="11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7"/>
      <c r="B882" s="7"/>
      <c r="C882" s="5"/>
      <c r="D882" s="8"/>
      <c r="E882" s="9"/>
      <c r="F882" s="9"/>
      <c r="G882" s="10"/>
      <c r="H882" s="10"/>
      <c r="I882" s="11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7"/>
      <c r="B883" s="7"/>
      <c r="C883" s="5"/>
      <c r="D883" s="8"/>
      <c r="E883" s="9"/>
      <c r="F883" s="9"/>
      <c r="G883" s="10"/>
      <c r="H883" s="10"/>
      <c r="I883" s="11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7"/>
      <c r="B884" s="7"/>
      <c r="C884" s="5"/>
      <c r="D884" s="8"/>
      <c r="E884" s="9"/>
      <c r="F884" s="9"/>
      <c r="G884" s="10"/>
      <c r="H884" s="10"/>
      <c r="I884" s="11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7"/>
      <c r="B885" s="7"/>
      <c r="C885" s="5"/>
      <c r="D885" s="8"/>
      <c r="E885" s="9"/>
      <c r="F885" s="9"/>
      <c r="G885" s="10"/>
      <c r="H885" s="10"/>
      <c r="I885" s="11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7"/>
      <c r="B886" s="7"/>
      <c r="C886" s="5"/>
      <c r="D886" s="8"/>
      <c r="E886" s="9"/>
      <c r="F886" s="9"/>
      <c r="G886" s="10"/>
      <c r="H886" s="10"/>
      <c r="I886" s="11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7"/>
      <c r="B887" s="7"/>
      <c r="C887" s="5"/>
      <c r="D887" s="8"/>
      <c r="E887" s="9"/>
      <c r="F887" s="9"/>
      <c r="G887" s="10"/>
      <c r="H887" s="10"/>
      <c r="I887" s="11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7"/>
      <c r="B888" s="7"/>
      <c r="C888" s="5"/>
      <c r="D888" s="8"/>
      <c r="E888" s="9"/>
      <c r="F888" s="9"/>
      <c r="G888" s="10"/>
      <c r="H888" s="10"/>
      <c r="I888" s="11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7"/>
      <c r="B889" s="7"/>
      <c r="C889" s="5"/>
      <c r="D889" s="8"/>
      <c r="E889" s="9"/>
      <c r="F889" s="9"/>
      <c r="G889" s="10"/>
      <c r="H889" s="10"/>
      <c r="I889" s="11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7"/>
      <c r="B890" s="7"/>
      <c r="C890" s="5"/>
      <c r="D890" s="8"/>
      <c r="E890" s="9"/>
      <c r="F890" s="9"/>
      <c r="G890" s="10"/>
      <c r="H890" s="10"/>
      <c r="I890" s="11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7"/>
      <c r="B891" s="7"/>
      <c r="C891" s="5"/>
      <c r="D891" s="8"/>
      <c r="E891" s="9"/>
      <c r="F891" s="9"/>
      <c r="G891" s="10"/>
      <c r="H891" s="10"/>
      <c r="I891" s="11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7"/>
      <c r="B892" s="7"/>
      <c r="C892" s="5"/>
      <c r="D892" s="8"/>
      <c r="E892" s="9"/>
      <c r="F892" s="9"/>
      <c r="G892" s="10"/>
      <c r="H892" s="10"/>
      <c r="I892" s="11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7"/>
      <c r="B893" s="7"/>
      <c r="C893" s="5"/>
      <c r="D893" s="8"/>
      <c r="E893" s="9"/>
      <c r="F893" s="9"/>
      <c r="G893" s="10"/>
      <c r="H893" s="10"/>
      <c r="I893" s="11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7"/>
      <c r="B894" s="7"/>
      <c r="C894" s="5"/>
      <c r="D894" s="8"/>
      <c r="E894" s="9"/>
      <c r="F894" s="9"/>
      <c r="G894" s="10"/>
      <c r="H894" s="10"/>
      <c r="I894" s="11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7"/>
      <c r="B895" s="7"/>
      <c r="C895" s="5"/>
      <c r="D895" s="8"/>
      <c r="E895" s="9"/>
      <c r="F895" s="9"/>
      <c r="G895" s="10"/>
      <c r="H895" s="10"/>
      <c r="I895" s="11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7"/>
      <c r="B896" s="7"/>
      <c r="C896" s="5"/>
      <c r="D896" s="8"/>
      <c r="E896" s="9"/>
      <c r="F896" s="9"/>
      <c r="G896" s="10"/>
      <c r="H896" s="10"/>
      <c r="I896" s="11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7"/>
      <c r="B897" s="7"/>
      <c r="C897" s="5"/>
      <c r="D897" s="8"/>
      <c r="E897" s="9"/>
      <c r="F897" s="9"/>
      <c r="G897" s="10"/>
      <c r="H897" s="10"/>
      <c r="I897" s="11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7"/>
      <c r="B898" s="7"/>
      <c r="C898" s="5"/>
      <c r="D898" s="8"/>
      <c r="E898" s="9"/>
      <c r="F898" s="9"/>
      <c r="G898" s="10"/>
      <c r="H898" s="10"/>
      <c r="I898" s="11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7"/>
      <c r="B899" s="7"/>
      <c r="C899" s="5"/>
      <c r="D899" s="8"/>
      <c r="E899" s="9"/>
      <c r="F899" s="9"/>
      <c r="G899" s="10"/>
      <c r="H899" s="10"/>
      <c r="I899" s="11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7"/>
      <c r="B900" s="7"/>
      <c r="C900" s="5"/>
      <c r="D900" s="8"/>
      <c r="E900" s="9"/>
      <c r="F900" s="9"/>
      <c r="G900" s="10"/>
      <c r="H900" s="10"/>
      <c r="I900" s="11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7"/>
      <c r="B901" s="7"/>
      <c r="C901" s="5"/>
      <c r="D901" s="8"/>
      <c r="E901" s="9"/>
      <c r="F901" s="9"/>
      <c r="G901" s="10"/>
      <c r="H901" s="10"/>
      <c r="I901" s="11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7"/>
      <c r="B902" s="7"/>
      <c r="C902" s="5"/>
      <c r="D902" s="8"/>
      <c r="E902" s="9"/>
      <c r="F902" s="9"/>
      <c r="G902" s="10"/>
      <c r="H902" s="10"/>
      <c r="I902" s="11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7"/>
      <c r="B903" s="7"/>
      <c r="C903" s="5"/>
      <c r="D903" s="8"/>
      <c r="E903" s="9"/>
      <c r="F903" s="9"/>
      <c r="G903" s="10"/>
      <c r="H903" s="10"/>
      <c r="I903" s="11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7"/>
      <c r="B904" s="7"/>
      <c r="C904" s="5"/>
      <c r="D904" s="8"/>
      <c r="E904" s="9"/>
      <c r="F904" s="9"/>
      <c r="G904" s="10"/>
      <c r="H904" s="10"/>
      <c r="I904" s="11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7"/>
      <c r="B905" s="7"/>
      <c r="C905" s="5"/>
      <c r="D905" s="8"/>
      <c r="E905" s="9"/>
      <c r="F905" s="9"/>
      <c r="G905" s="10"/>
      <c r="H905" s="10"/>
      <c r="I905" s="11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7"/>
      <c r="B906" s="7"/>
      <c r="C906" s="5"/>
      <c r="D906" s="8"/>
      <c r="E906" s="9"/>
      <c r="F906" s="9"/>
      <c r="G906" s="10"/>
      <c r="H906" s="10"/>
      <c r="I906" s="11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7"/>
      <c r="B907" s="7"/>
      <c r="C907" s="5"/>
      <c r="D907" s="8"/>
      <c r="E907" s="9"/>
      <c r="F907" s="9"/>
      <c r="G907" s="10"/>
      <c r="H907" s="10"/>
      <c r="I907" s="11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7"/>
      <c r="B908" s="7"/>
      <c r="C908" s="5"/>
      <c r="D908" s="8"/>
      <c r="E908" s="9"/>
      <c r="F908" s="9"/>
      <c r="G908" s="10"/>
      <c r="H908" s="10"/>
      <c r="I908" s="11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7"/>
      <c r="B909" s="7"/>
      <c r="C909" s="5"/>
      <c r="D909" s="8"/>
      <c r="E909" s="9"/>
      <c r="F909" s="9"/>
      <c r="G909" s="10"/>
      <c r="H909" s="10"/>
      <c r="I909" s="11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7"/>
      <c r="B910" s="7"/>
      <c r="C910" s="5"/>
      <c r="D910" s="8"/>
      <c r="E910" s="9"/>
      <c r="F910" s="9"/>
      <c r="G910" s="10"/>
      <c r="H910" s="10"/>
      <c r="I910" s="11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7"/>
      <c r="B911" s="7"/>
      <c r="C911" s="5"/>
      <c r="D911" s="8"/>
      <c r="E911" s="9"/>
      <c r="F911" s="9"/>
      <c r="G911" s="10"/>
      <c r="H911" s="10"/>
      <c r="I911" s="11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7"/>
      <c r="B912" s="7"/>
      <c r="C912" s="5"/>
      <c r="D912" s="8"/>
      <c r="E912" s="9"/>
      <c r="F912" s="9"/>
      <c r="G912" s="10"/>
      <c r="H912" s="10"/>
      <c r="I912" s="11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7"/>
      <c r="B913" s="7"/>
      <c r="C913" s="5"/>
      <c r="D913" s="8"/>
      <c r="E913" s="9"/>
      <c r="F913" s="9"/>
      <c r="G913" s="10"/>
      <c r="H913" s="10"/>
      <c r="I913" s="11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7"/>
      <c r="B914" s="7"/>
      <c r="C914" s="5"/>
      <c r="D914" s="8"/>
      <c r="E914" s="9"/>
      <c r="F914" s="9"/>
      <c r="G914" s="10"/>
      <c r="H914" s="10"/>
      <c r="I914" s="11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7"/>
      <c r="B915" s="7"/>
      <c r="C915" s="5"/>
      <c r="D915" s="8"/>
      <c r="E915" s="9"/>
      <c r="F915" s="9"/>
      <c r="G915" s="10"/>
      <c r="H915" s="10"/>
      <c r="I915" s="11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7"/>
      <c r="B916" s="7"/>
      <c r="C916" s="5"/>
      <c r="D916" s="8"/>
      <c r="E916" s="9"/>
      <c r="F916" s="9"/>
      <c r="G916" s="10"/>
      <c r="H916" s="10"/>
      <c r="I916" s="11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7"/>
      <c r="B917" s="7"/>
      <c r="C917" s="5"/>
      <c r="D917" s="8"/>
      <c r="E917" s="9"/>
      <c r="F917" s="9"/>
      <c r="G917" s="10"/>
      <c r="H917" s="10"/>
      <c r="I917" s="11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7"/>
      <c r="B918" s="7"/>
      <c r="C918" s="5"/>
      <c r="D918" s="8"/>
      <c r="E918" s="9"/>
      <c r="F918" s="9"/>
      <c r="G918" s="10"/>
      <c r="H918" s="10"/>
      <c r="I918" s="11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7"/>
      <c r="B919" s="7"/>
      <c r="C919" s="5"/>
      <c r="D919" s="8"/>
      <c r="E919" s="9"/>
      <c r="F919" s="9"/>
      <c r="G919" s="10"/>
      <c r="H919" s="10"/>
      <c r="I919" s="11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7"/>
      <c r="B920" s="7"/>
      <c r="C920" s="5"/>
      <c r="D920" s="8"/>
      <c r="E920" s="9"/>
      <c r="F920" s="9"/>
      <c r="G920" s="10"/>
      <c r="H920" s="10"/>
      <c r="I920" s="11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7"/>
      <c r="B921" s="7"/>
      <c r="C921" s="5"/>
      <c r="D921" s="8"/>
      <c r="E921" s="9"/>
      <c r="F921" s="9"/>
      <c r="G921" s="10"/>
      <c r="H921" s="10"/>
      <c r="I921" s="11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7"/>
      <c r="B922" s="7"/>
      <c r="C922" s="5"/>
      <c r="D922" s="8"/>
      <c r="E922" s="9"/>
      <c r="F922" s="9"/>
      <c r="G922" s="10"/>
      <c r="H922" s="10"/>
      <c r="I922" s="11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7"/>
      <c r="B923" s="7"/>
      <c r="C923" s="5"/>
      <c r="D923" s="8"/>
      <c r="E923" s="9"/>
      <c r="F923" s="9"/>
      <c r="G923" s="10"/>
      <c r="H923" s="10"/>
      <c r="I923" s="11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7"/>
      <c r="B924" s="7"/>
      <c r="C924" s="5"/>
      <c r="D924" s="8"/>
      <c r="E924" s="9"/>
      <c r="F924" s="9"/>
      <c r="G924" s="10"/>
      <c r="H924" s="10"/>
      <c r="I924" s="11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7"/>
      <c r="B925" s="7"/>
      <c r="C925" s="5"/>
      <c r="D925" s="8"/>
      <c r="E925" s="9"/>
      <c r="F925" s="9"/>
      <c r="G925" s="10"/>
      <c r="H925" s="10"/>
      <c r="I925" s="11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7"/>
      <c r="B926" s="7"/>
      <c r="C926" s="5"/>
      <c r="D926" s="8"/>
      <c r="E926" s="9"/>
      <c r="F926" s="9"/>
      <c r="G926" s="10"/>
      <c r="H926" s="10"/>
      <c r="I926" s="11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7"/>
      <c r="B927" s="7"/>
      <c r="C927" s="5"/>
      <c r="D927" s="8"/>
      <c r="E927" s="9"/>
      <c r="F927" s="9"/>
      <c r="G927" s="10"/>
      <c r="H927" s="10"/>
      <c r="I927" s="11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7"/>
      <c r="B928" s="7"/>
      <c r="C928" s="5"/>
      <c r="D928" s="8"/>
      <c r="E928" s="9"/>
      <c r="F928" s="9"/>
      <c r="G928" s="10"/>
      <c r="H928" s="10"/>
      <c r="I928" s="11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7"/>
      <c r="B929" s="7"/>
      <c r="C929" s="5"/>
      <c r="D929" s="8"/>
      <c r="E929" s="9"/>
      <c r="F929" s="9"/>
      <c r="G929" s="10"/>
      <c r="H929" s="10"/>
      <c r="I929" s="11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7"/>
      <c r="B930" s="7"/>
      <c r="C930" s="5"/>
      <c r="D930" s="8"/>
      <c r="E930" s="9"/>
      <c r="F930" s="9"/>
      <c r="G930" s="10"/>
      <c r="H930" s="10"/>
      <c r="I930" s="11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7"/>
      <c r="B931" s="7"/>
      <c r="C931" s="5"/>
      <c r="D931" s="8"/>
      <c r="E931" s="9"/>
      <c r="F931" s="9"/>
      <c r="G931" s="10"/>
      <c r="H931" s="10"/>
      <c r="I931" s="11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7"/>
      <c r="B932" s="7"/>
      <c r="C932" s="5"/>
      <c r="D932" s="8"/>
      <c r="E932" s="9"/>
      <c r="F932" s="9"/>
      <c r="G932" s="10"/>
      <c r="H932" s="10"/>
      <c r="I932" s="11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7"/>
      <c r="B933" s="7"/>
      <c r="C933" s="5"/>
      <c r="D933" s="8"/>
      <c r="E933" s="9"/>
      <c r="F933" s="9"/>
      <c r="G933" s="10"/>
      <c r="H933" s="10"/>
      <c r="I933" s="11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7"/>
      <c r="B934" s="7"/>
      <c r="C934" s="5"/>
      <c r="D934" s="8"/>
      <c r="E934" s="9"/>
      <c r="F934" s="9"/>
      <c r="G934" s="10"/>
      <c r="H934" s="10"/>
      <c r="I934" s="11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7"/>
      <c r="B935" s="7"/>
      <c r="C935" s="5"/>
      <c r="D935" s="8"/>
      <c r="E935" s="9"/>
      <c r="F935" s="9"/>
      <c r="G935" s="10"/>
      <c r="H935" s="10"/>
      <c r="I935" s="11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7"/>
      <c r="B936" s="7"/>
      <c r="C936" s="5"/>
      <c r="D936" s="8"/>
      <c r="E936" s="9"/>
      <c r="F936" s="9"/>
      <c r="G936" s="10"/>
      <c r="H936" s="10"/>
      <c r="I936" s="11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7"/>
      <c r="B937" s="7"/>
      <c r="C937" s="5"/>
      <c r="D937" s="8"/>
      <c r="E937" s="9"/>
      <c r="F937" s="9"/>
      <c r="G937" s="10"/>
      <c r="H937" s="10"/>
      <c r="I937" s="11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7"/>
      <c r="B938" s="7"/>
      <c r="C938" s="5"/>
      <c r="D938" s="8"/>
      <c r="E938" s="9"/>
      <c r="F938" s="9"/>
      <c r="G938" s="10"/>
      <c r="H938" s="10"/>
      <c r="I938" s="11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7"/>
      <c r="B939" s="7"/>
      <c r="C939" s="5"/>
      <c r="D939" s="8"/>
      <c r="E939" s="9"/>
      <c r="F939" s="9"/>
      <c r="G939" s="10"/>
      <c r="H939" s="10"/>
      <c r="I939" s="11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7"/>
      <c r="B940" s="7"/>
      <c r="C940" s="5"/>
      <c r="D940" s="8"/>
      <c r="E940" s="9"/>
      <c r="F940" s="9"/>
      <c r="G940" s="10"/>
      <c r="H940" s="10"/>
      <c r="I940" s="11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7"/>
      <c r="B941" s="7"/>
      <c r="C941" s="5"/>
      <c r="D941" s="8"/>
      <c r="E941" s="9"/>
      <c r="F941" s="9"/>
      <c r="G941" s="10"/>
      <c r="H941" s="10"/>
      <c r="I941" s="11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7"/>
      <c r="B942" s="7"/>
      <c r="C942" s="5"/>
      <c r="D942" s="8"/>
      <c r="E942" s="9"/>
      <c r="F942" s="9"/>
      <c r="G942" s="10"/>
      <c r="H942" s="10"/>
      <c r="I942" s="11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7"/>
      <c r="B943" s="7"/>
      <c r="C943" s="5"/>
      <c r="D943" s="8"/>
      <c r="E943" s="9"/>
      <c r="F943" s="9"/>
      <c r="G943" s="10"/>
      <c r="H943" s="10"/>
      <c r="I943" s="11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7"/>
      <c r="B944" s="7"/>
      <c r="C944" s="5"/>
      <c r="D944" s="8"/>
      <c r="E944" s="9"/>
      <c r="F944" s="9"/>
      <c r="G944" s="10"/>
      <c r="H944" s="10"/>
      <c r="I944" s="11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7"/>
      <c r="B945" s="7"/>
      <c r="C945" s="5"/>
      <c r="D945" s="8"/>
      <c r="E945" s="9"/>
      <c r="F945" s="9"/>
      <c r="G945" s="10"/>
      <c r="H945" s="10"/>
      <c r="I945" s="11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7"/>
      <c r="B946" s="7"/>
      <c r="C946" s="5"/>
      <c r="D946" s="8"/>
      <c r="E946" s="9"/>
      <c r="F946" s="9"/>
      <c r="G946" s="10"/>
      <c r="H946" s="10"/>
      <c r="I946" s="11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7"/>
      <c r="B947" s="7"/>
      <c r="C947" s="5"/>
      <c r="D947" s="8"/>
      <c r="E947" s="9"/>
      <c r="F947" s="9"/>
      <c r="G947" s="10"/>
      <c r="H947" s="10"/>
      <c r="I947" s="11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7"/>
      <c r="B948" s="7"/>
      <c r="C948" s="5"/>
      <c r="D948" s="8"/>
      <c r="E948" s="9"/>
      <c r="F948" s="9"/>
      <c r="G948" s="10"/>
      <c r="H948" s="10"/>
      <c r="I948" s="11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7"/>
      <c r="B949" s="7"/>
      <c r="C949" s="5"/>
      <c r="D949" s="8"/>
      <c r="E949" s="9"/>
      <c r="F949" s="9"/>
      <c r="G949" s="10"/>
      <c r="H949" s="10"/>
      <c r="I949" s="11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7"/>
      <c r="B950" s="7"/>
      <c r="C950" s="5"/>
      <c r="D950" s="8"/>
      <c r="E950" s="9"/>
      <c r="F950" s="9"/>
      <c r="G950" s="10"/>
      <c r="H950" s="10"/>
      <c r="I950" s="11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7"/>
      <c r="B951" s="7"/>
      <c r="C951" s="5"/>
      <c r="D951" s="8"/>
      <c r="E951" s="9"/>
      <c r="F951" s="9"/>
      <c r="G951" s="10"/>
      <c r="H951" s="10"/>
      <c r="I951" s="11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7"/>
      <c r="B952" s="7"/>
      <c r="C952" s="5"/>
      <c r="D952" s="8"/>
      <c r="E952" s="9"/>
      <c r="F952" s="9"/>
      <c r="G952" s="10"/>
      <c r="H952" s="10"/>
      <c r="I952" s="11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7"/>
      <c r="B953" s="7"/>
      <c r="C953" s="5"/>
      <c r="D953" s="8"/>
      <c r="E953" s="9"/>
      <c r="F953" s="9"/>
      <c r="G953" s="10"/>
      <c r="H953" s="10"/>
      <c r="I953" s="11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7"/>
      <c r="B954" s="7"/>
      <c r="C954" s="5"/>
      <c r="D954" s="8"/>
      <c r="E954" s="9"/>
      <c r="F954" s="9"/>
      <c r="G954" s="10"/>
      <c r="H954" s="10"/>
      <c r="I954" s="11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7"/>
      <c r="B955" s="7"/>
      <c r="C955" s="5"/>
      <c r="D955" s="8"/>
      <c r="E955" s="9"/>
      <c r="F955" s="9"/>
      <c r="G955" s="10"/>
      <c r="H955" s="10"/>
      <c r="I955" s="11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7"/>
      <c r="B956" s="7"/>
      <c r="C956" s="5"/>
      <c r="D956" s="8"/>
      <c r="E956" s="9"/>
      <c r="F956" s="9"/>
      <c r="G956" s="10"/>
      <c r="H956" s="10"/>
      <c r="I956" s="11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7"/>
      <c r="B957" s="7"/>
      <c r="C957" s="5"/>
      <c r="D957" s="8"/>
      <c r="E957" s="9"/>
      <c r="F957" s="9"/>
      <c r="G957" s="10"/>
      <c r="H957" s="10"/>
      <c r="I957" s="11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7"/>
      <c r="B958" s="7"/>
      <c r="C958" s="5"/>
      <c r="D958" s="8"/>
      <c r="E958" s="9"/>
      <c r="F958" s="9"/>
      <c r="G958" s="10"/>
      <c r="H958" s="10"/>
      <c r="I958" s="11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7"/>
      <c r="B959" s="7"/>
      <c r="C959" s="5"/>
      <c r="D959" s="8"/>
      <c r="E959" s="9"/>
      <c r="F959" s="9"/>
      <c r="G959" s="10"/>
      <c r="H959" s="10"/>
      <c r="I959" s="11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7"/>
      <c r="B960" s="7"/>
      <c r="C960" s="5"/>
      <c r="D960" s="8"/>
      <c r="E960" s="9"/>
      <c r="F960" s="9"/>
      <c r="G960" s="10"/>
      <c r="H960" s="10"/>
      <c r="I960" s="11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7"/>
      <c r="B961" s="7"/>
      <c r="C961" s="5"/>
      <c r="D961" s="8"/>
      <c r="E961" s="9"/>
      <c r="F961" s="9"/>
      <c r="G961" s="10"/>
      <c r="H961" s="10"/>
      <c r="I961" s="11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7"/>
      <c r="B962" s="7"/>
      <c r="C962" s="5"/>
      <c r="D962" s="8"/>
      <c r="E962" s="9"/>
      <c r="F962" s="9"/>
      <c r="G962" s="10"/>
      <c r="H962" s="10"/>
      <c r="I962" s="11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7"/>
      <c r="B963" s="7"/>
      <c r="C963" s="5"/>
      <c r="D963" s="8"/>
      <c r="E963" s="9"/>
      <c r="F963" s="9"/>
      <c r="G963" s="10"/>
      <c r="H963" s="10"/>
      <c r="I963" s="11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7"/>
      <c r="B964" s="7"/>
      <c r="C964" s="5"/>
      <c r="D964" s="8"/>
      <c r="E964" s="9"/>
      <c r="F964" s="9"/>
      <c r="G964" s="10"/>
      <c r="H964" s="10"/>
      <c r="I964" s="11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7"/>
      <c r="B965" s="7"/>
      <c r="C965" s="5"/>
      <c r="D965" s="8"/>
      <c r="E965" s="9"/>
      <c r="F965" s="9"/>
      <c r="G965" s="10"/>
      <c r="H965" s="10"/>
      <c r="I965" s="11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7"/>
      <c r="B966" s="7"/>
      <c r="C966" s="5"/>
      <c r="D966" s="8"/>
      <c r="E966" s="9"/>
      <c r="F966" s="9"/>
      <c r="G966" s="10"/>
      <c r="H966" s="10"/>
      <c r="I966" s="11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7"/>
      <c r="B967" s="7"/>
      <c r="C967" s="5"/>
      <c r="D967" s="8"/>
      <c r="E967" s="9"/>
      <c r="F967" s="9"/>
      <c r="G967" s="10"/>
      <c r="H967" s="10"/>
      <c r="I967" s="11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7"/>
      <c r="B968" s="7"/>
      <c r="C968" s="5"/>
      <c r="D968" s="8"/>
      <c r="E968" s="9"/>
      <c r="F968" s="9"/>
      <c r="G968" s="10"/>
      <c r="H968" s="10"/>
      <c r="I968" s="11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7"/>
      <c r="B969" s="7"/>
      <c r="C969" s="5"/>
      <c r="D969" s="8"/>
      <c r="E969" s="9"/>
      <c r="F969" s="9"/>
      <c r="G969" s="10"/>
      <c r="H969" s="10"/>
      <c r="I969" s="11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7"/>
      <c r="B970" s="7"/>
      <c r="C970" s="5"/>
      <c r="D970" s="8"/>
      <c r="E970" s="9"/>
      <c r="F970" s="9"/>
      <c r="G970" s="10"/>
      <c r="H970" s="10"/>
      <c r="I970" s="11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7"/>
      <c r="B971" s="7"/>
      <c r="C971" s="5"/>
      <c r="D971" s="8"/>
      <c r="E971" s="9"/>
      <c r="F971" s="9"/>
      <c r="G971" s="10"/>
      <c r="H971" s="10"/>
      <c r="I971" s="11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7"/>
      <c r="B972" s="7"/>
      <c r="C972" s="5"/>
      <c r="D972" s="8"/>
      <c r="E972" s="9"/>
      <c r="F972" s="9"/>
      <c r="G972" s="10"/>
      <c r="H972" s="10"/>
      <c r="I972" s="11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7"/>
      <c r="B973" s="7"/>
      <c r="C973" s="5"/>
      <c r="D973" s="8"/>
      <c r="E973" s="9"/>
      <c r="F973" s="9"/>
      <c r="G973" s="10"/>
      <c r="H973" s="10"/>
      <c r="I973" s="11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7"/>
      <c r="B974" s="7"/>
      <c r="C974" s="5"/>
      <c r="D974" s="8"/>
      <c r="E974" s="9"/>
      <c r="F974" s="9"/>
      <c r="G974" s="10"/>
      <c r="H974" s="10"/>
      <c r="I974" s="11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7"/>
      <c r="B975" s="7"/>
      <c r="C975" s="5"/>
      <c r="D975" s="8"/>
      <c r="E975" s="9"/>
      <c r="F975" s="9"/>
      <c r="G975" s="10"/>
      <c r="H975" s="10"/>
      <c r="I975" s="11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7"/>
      <c r="B976" s="7"/>
      <c r="C976" s="5"/>
      <c r="D976" s="8"/>
      <c r="E976" s="9"/>
      <c r="F976" s="9"/>
      <c r="G976" s="10"/>
      <c r="H976" s="10"/>
      <c r="I976" s="11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7"/>
      <c r="B977" s="7"/>
      <c r="C977" s="5"/>
      <c r="D977" s="8"/>
      <c r="E977" s="9"/>
      <c r="F977" s="9"/>
      <c r="G977" s="10"/>
      <c r="H977" s="10"/>
      <c r="I977" s="11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7"/>
      <c r="B978" s="7"/>
      <c r="C978" s="5"/>
      <c r="D978" s="8"/>
      <c r="E978" s="9"/>
      <c r="F978" s="9"/>
      <c r="G978" s="10"/>
      <c r="H978" s="10"/>
      <c r="I978" s="11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7"/>
      <c r="B979" s="7"/>
      <c r="C979" s="5"/>
      <c r="D979" s="8"/>
      <c r="E979" s="9"/>
      <c r="F979" s="9"/>
      <c r="G979" s="10"/>
      <c r="H979" s="10"/>
      <c r="I979" s="11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7"/>
      <c r="B980" s="7"/>
      <c r="C980" s="5"/>
      <c r="D980" s="8"/>
      <c r="E980" s="9"/>
      <c r="F980" s="9"/>
      <c r="G980" s="10"/>
      <c r="H980" s="10"/>
      <c r="I980" s="11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7"/>
      <c r="B981" s="7"/>
      <c r="C981" s="5"/>
      <c r="D981" s="8"/>
      <c r="E981" s="9"/>
      <c r="F981" s="9"/>
      <c r="G981" s="10"/>
      <c r="H981" s="10"/>
      <c r="I981" s="11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7"/>
      <c r="B982" s="7"/>
      <c r="C982" s="5"/>
      <c r="D982" s="8"/>
      <c r="E982" s="9"/>
      <c r="F982" s="9"/>
      <c r="G982" s="10"/>
      <c r="H982" s="10"/>
      <c r="I982" s="11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7"/>
      <c r="B983" s="7"/>
      <c r="C983" s="5"/>
      <c r="D983" s="8"/>
      <c r="E983" s="9"/>
      <c r="F983" s="9"/>
      <c r="G983" s="10"/>
      <c r="H983" s="10"/>
      <c r="I983" s="11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7"/>
      <c r="B984" s="7"/>
      <c r="C984" s="5"/>
      <c r="D984" s="8"/>
      <c r="E984" s="9"/>
      <c r="F984" s="9"/>
      <c r="G984" s="10"/>
      <c r="H984" s="10"/>
      <c r="I984" s="11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7"/>
      <c r="B985" s="7"/>
      <c r="C985" s="5"/>
      <c r="D985" s="8"/>
      <c r="E985" s="9"/>
      <c r="F985" s="9"/>
      <c r="G985" s="10"/>
      <c r="H985" s="10"/>
      <c r="I985" s="11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7"/>
      <c r="B986" s="7"/>
      <c r="C986" s="5"/>
      <c r="D986" s="8"/>
      <c r="E986" s="9"/>
      <c r="F986" s="9"/>
      <c r="G986" s="10"/>
      <c r="H986" s="10"/>
      <c r="I986" s="11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7"/>
      <c r="B987" s="7"/>
      <c r="C987" s="5"/>
      <c r="D987" s="8"/>
      <c r="E987" s="9"/>
      <c r="F987" s="9"/>
      <c r="G987" s="10"/>
      <c r="H987" s="10"/>
      <c r="I987" s="11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7"/>
      <c r="B988" s="7"/>
      <c r="C988" s="5"/>
      <c r="D988" s="8"/>
      <c r="E988" s="9"/>
      <c r="F988" s="9"/>
      <c r="G988" s="10"/>
      <c r="H988" s="10"/>
      <c r="I988" s="11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7"/>
      <c r="B989" s="7"/>
      <c r="C989" s="5"/>
      <c r="D989" s="8"/>
      <c r="E989" s="9"/>
      <c r="F989" s="9"/>
      <c r="G989" s="10"/>
      <c r="H989" s="10"/>
      <c r="I989" s="11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7"/>
      <c r="B990" s="7"/>
      <c r="C990" s="5"/>
      <c r="D990" s="8"/>
      <c r="E990" s="9"/>
      <c r="F990" s="9"/>
      <c r="G990" s="10"/>
      <c r="H990" s="10"/>
      <c r="I990" s="11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7"/>
      <c r="B991" s="7"/>
      <c r="C991" s="5"/>
      <c r="D991" s="8"/>
      <c r="E991" s="9"/>
      <c r="F991" s="9"/>
      <c r="G991" s="10"/>
      <c r="H991" s="10"/>
      <c r="I991" s="11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7"/>
      <c r="B992" s="7"/>
      <c r="C992" s="5"/>
      <c r="D992" s="8"/>
      <c r="E992" s="9"/>
      <c r="F992" s="9"/>
      <c r="G992" s="10"/>
      <c r="H992" s="10"/>
      <c r="I992" s="11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7"/>
      <c r="B993" s="7"/>
      <c r="C993" s="5"/>
      <c r="D993" s="8"/>
      <c r="E993" s="9"/>
      <c r="F993" s="9"/>
      <c r="G993" s="10"/>
      <c r="H993" s="10"/>
      <c r="I993" s="11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7"/>
      <c r="B994" s="7"/>
      <c r="C994" s="5"/>
      <c r="D994" s="8"/>
      <c r="E994" s="9"/>
      <c r="F994" s="9"/>
      <c r="G994" s="10"/>
      <c r="H994" s="10"/>
      <c r="I994" s="11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7"/>
      <c r="B995" s="7"/>
      <c r="C995" s="5"/>
      <c r="D995" s="8"/>
      <c r="E995" s="9"/>
      <c r="F995" s="9"/>
      <c r="G995" s="10"/>
      <c r="H995" s="10"/>
      <c r="I995" s="11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7"/>
      <c r="B996" s="7"/>
      <c r="C996" s="5"/>
      <c r="D996" s="8"/>
      <c r="E996" s="9"/>
      <c r="F996" s="9"/>
      <c r="G996" s="10"/>
      <c r="H996" s="10"/>
      <c r="I996" s="11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</sheetData>
  <autoFilter ref="$A$6:$I$22">
    <sortState ref="A6:I22">
      <sortCondition descending="1" ref="F6:F22"/>
    </sortState>
  </autoFilter>
  <mergeCells count="8">
    <mergeCell ref="A1:I1"/>
    <mergeCell ref="A2:I2"/>
    <mergeCell ref="A5:I5"/>
    <mergeCell ref="A7:I7"/>
    <mergeCell ref="A35:D35"/>
    <mergeCell ref="A36:I36"/>
    <mergeCell ref="A48:D48"/>
    <mergeCell ref="A49:D49"/>
  </mergeCells>
  <printOptions/>
  <pageMargins bottom="0.75" footer="0.0" header="0.0" left="0.2" right="0.2" top="0.75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4.71"/>
    <col customWidth="1" min="2" max="2" width="21.71"/>
    <col customWidth="1" min="3" max="3" width="10.57"/>
    <col customWidth="1" min="4" max="4" width="6.43"/>
    <col customWidth="1" min="5" max="8" width="11.29"/>
    <col customWidth="1" min="9" max="9" width="15.14"/>
    <col customWidth="1" min="10" max="12" width="9.14"/>
    <col customWidth="1" min="13" max="26" width="8.71"/>
  </cols>
  <sheetData>
    <row r="1" ht="16.5" customHeight="1">
      <c r="A1" s="1" t="s">
        <v>1</v>
      </c>
      <c r="B1" s="3"/>
      <c r="C1" s="3"/>
      <c r="D1" s="3"/>
      <c r="E1" s="3"/>
      <c r="F1" s="3"/>
      <c r="G1" s="3"/>
      <c r="H1" s="3"/>
      <c r="I1" s="4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6" t="s">
        <v>2</v>
      </c>
      <c r="B2" s="3"/>
      <c r="C2" s="3"/>
      <c r="D2" s="3"/>
      <c r="E2" s="3"/>
      <c r="F2" s="3"/>
      <c r="G2" s="3"/>
      <c r="H2" s="3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7"/>
      <c r="B3" s="7"/>
      <c r="C3" s="5"/>
      <c r="D3" s="8"/>
      <c r="E3" s="9"/>
      <c r="F3" s="9"/>
      <c r="G3" s="10"/>
      <c r="H3" s="10"/>
      <c r="I3" s="11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7"/>
      <c r="B4" s="7"/>
      <c r="C4" s="5"/>
      <c r="D4" s="8"/>
      <c r="E4" s="9"/>
      <c r="F4" s="9"/>
      <c r="G4" s="10"/>
      <c r="H4" s="10"/>
      <c r="I4" s="11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9.0" customHeight="1">
      <c r="A5" s="12"/>
      <c r="B5" s="3"/>
      <c r="C5" s="3"/>
      <c r="D5" s="3"/>
      <c r="E5" s="3"/>
      <c r="F5" s="3"/>
      <c r="G5" s="3"/>
      <c r="H5" s="3"/>
      <c r="I5" s="4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14" t="s">
        <v>3</v>
      </c>
      <c r="B6" s="15" t="s">
        <v>4</v>
      </c>
      <c r="C6" s="16" t="s">
        <v>5</v>
      </c>
      <c r="D6" s="15" t="s">
        <v>6</v>
      </c>
      <c r="E6" s="16" t="s">
        <v>7</v>
      </c>
      <c r="F6" s="16" t="s">
        <v>9</v>
      </c>
      <c r="G6" s="16" t="s">
        <v>10</v>
      </c>
      <c r="H6" s="16" t="s">
        <v>11</v>
      </c>
      <c r="I6" s="18" t="s">
        <v>12</v>
      </c>
      <c r="J6" s="19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9.5" customHeight="1">
      <c r="A7" s="20" t="s">
        <v>13</v>
      </c>
      <c r="B7" s="21"/>
      <c r="C7" s="21"/>
      <c r="D7" s="21"/>
      <c r="E7" s="21"/>
      <c r="F7" s="21"/>
      <c r="G7" s="21"/>
      <c r="H7" s="21"/>
      <c r="I7" s="22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6.5" customHeight="1">
      <c r="A8" s="23" t="s">
        <v>14</v>
      </c>
      <c r="B8" s="24" t="s">
        <v>15</v>
      </c>
      <c r="C8" s="25">
        <v>45791.0</v>
      </c>
      <c r="D8" s="26">
        <f>30</f>
        <v>30</v>
      </c>
      <c r="E8" s="27">
        <f>145000+55000</f>
        <v>200000</v>
      </c>
      <c r="F8" s="28">
        <f>E8/30*D8</f>
        <v>200000</v>
      </c>
      <c r="G8" s="29">
        <f>50000+50000+100000</f>
        <v>200000</v>
      </c>
      <c r="H8" s="30">
        <f t="shared" ref="H8:H12" si="1">F8-G8</f>
        <v>0</v>
      </c>
      <c r="I8" s="32" t="s">
        <v>17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34" t="s">
        <v>18</v>
      </c>
      <c r="B9" s="35" t="s">
        <v>19</v>
      </c>
      <c r="C9" s="36">
        <v>43822.0</v>
      </c>
      <c r="D9" s="37">
        <f>30-0-2+2</f>
        <v>30</v>
      </c>
      <c r="E9" s="38">
        <v>120000.0</v>
      </c>
      <c r="F9" s="39">
        <f>E9/30*D9+15483+1</f>
        <v>135484</v>
      </c>
      <c r="G9" s="40">
        <f>70484+10000+5000+8500+2000+30000+9500</f>
        <v>135484</v>
      </c>
      <c r="H9" s="41">
        <f t="shared" si="1"/>
        <v>0</v>
      </c>
      <c r="I9" s="43" t="s">
        <v>21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6.5" customHeight="1">
      <c r="A10" s="34" t="s">
        <v>22</v>
      </c>
      <c r="B10" s="35" t="s">
        <v>23</v>
      </c>
      <c r="C10" s="36">
        <v>45787.0</v>
      </c>
      <c r="D10" s="37">
        <f>30-3+2-1</f>
        <v>28</v>
      </c>
      <c r="E10" s="38">
        <v>75000.0</v>
      </c>
      <c r="F10" s="39">
        <f>E10/30*D10-1050</f>
        <v>68950</v>
      </c>
      <c r="G10" s="40"/>
      <c r="H10" s="41">
        <f t="shared" si="1"/>
        <v>68950</v>
      </c>
      <c r="I10" s="43" t="s">
        <v>24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6.5" customHeight="1">
      <c r="A11" s="34" t="s">
        <v>25</v>
      </c>
      <c r="B11" s="35" t="s">
        <v>26</v>
      </c>
      <c r="C11" s="36">
        <v>44251.0</v>
      </c>
      <c r="D11" s="37">
        <f>30-0-0</f>
        <v>30</v>
      </c>
      <c r="E11" s="38">
        <v>75000.0</v>
      </c>
      <c r="F11" s="39">
        <f>E11/30*D11-417-1050</f>
        <v>73533</v>
      </c>
      <c r="G11" s="40"/>
      <c r="H11" s="41">
        <f t="shared" si="1"/>
        <v>73533</v>
      </c>
      <c r="I11" s="43" t="s">
        <v>24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6.5" customHeight="1">
      <c r="A12" s="34" t="s">
        <v>27</v>
      </c>
      <c r="B12" s="35" t="s">
        <v>28</v>
      </c>
      <c r="C12" s="36">
        <v>45792.0</v>
      </c>
      <c r="D12" s="37">
        <f>30</f>
        <v>30</v>
      </c>
      <c r="E12" s="38">
        <v>50000.0</v>
      </c>
      <c r="F12" s="39">
        <f>E12/30*D12-1250</f>
        <v>48750</v>
      </c>
      <c r="G12" s="40">
        <f>15000+10000</f>
        <v>25000</v>
      </c>
      <c r="H12" s="41">
        <f t="shared" si="1"/>
        <v>23750</v>
      </c>
      <c r="I12" s="48" t="s">
        <v>32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6.5" customHeight="1">
      <c r="A13" s="34" t="s">
        <v>30</v>
      </c>
      <c r="B13" s="49" t="s">
        <v>33</v>
      </c>
      <c r="C13" s="36">
        <v>45871.0</v>
      </c>
      <c r="D13" s="37">
        <f>30-22</f>
        <v>8</v>
      </c>
      <c r="E13" s="47">
        <v>50000.0</v>
      </c>
      <c r="F13" s="52">
        <f>E13/30*D13-250</f>
        <v>13083.33333</v>
      </c>
      <c r="G13" s="40"/>
      <c r="H13" s="54"/>
      <c r="I13" s="48" t="s">
        <v>32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6.5" customHeight="1">
      <c r="A14" s="34" t="s">
        <v>34</v>
      </c>
      <c r="B14" s="46" t="s">
        <v>31</v>
      </c>
      <c r="C14" s="36">
        <v>45871.0</v>
      </c>
      <c r="D14" s="37">
        <f>30-0-1</f>
        <v>29</v>
      </c>
      <c r="E14" s="47">
        <v>60000.0</v>
      </c>
      <c r="F14" s="39">
        <f>E14/30*D14</f>
        <v>58000</v>
      </c>
      <c r="G14" s="40">
        <f>500+500+25000+32000</f>
        <v>58000</v>
      </c>
      <c r="H14" s="41">
        <f>F14-G14</f>
        <v>0</v>
      </c>
      <c r="I14" s="48" t="s">
        <v>32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6.5" customHeight="1">
      <c r="A15" s="34" t="s">
        <v>37</v>
      </c>
      <c r="B15" s="49" t="s">
        <v>45</v>
      </c>
      <c r="C15" s="36">
        <v>45879.0</v>
      </c>
      <c r="D15" s="37">
        <f>30-20-0</f>
        <v>10</v>
      </c>
      <c r="E15" s="47">
        <v>25000.0</v>
      </c>
      <c r="F15" s="52">
        <f>E15/30*D15-350</f>
        <v>7983.333333</v>
      </c>
      <c r="G15" s="40"/>
      <c r="H15" s="54"/>
      <c r="I15" s="44" t="s">
        <v>36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6.5" customHeight="1">
      <c r="A16" s="34" t="s">
        <v>41</v>
      </c>
      <c r="B16" s="46" t="s">
        <v>35</v>
      </c>
      <c r="C16" s="36">
        <v>45886.0</v>
      </c>
      <c r="D16" s="37">
        <v>30.0</v>
      </c>
      <c r="E16" s="47">
        <v>25000.0</v>
      </c>
      <c r="F16" s="39">
        <f>E16/30*D16</f>
        <v>25000</v>
      </c>
      <c r="G16" s="40"/>
      <c r="H16" s="41">
        <f t="shared" ref="H16:H19" si="2">F16-G16</f>
        <v>25000</v>
      </c>
      <c r="I16" s="44" t="s">
        <v>36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6.5" customHeight="1">
      <c r="A17" s="34" t="s">
        <v>44</v>
      </c>
      <c r="B17" s="50" t="s">
        <v>38</v>
      </c>
      <c r="C17" s="53">
        <v>45787.0</v>
      </c>
      <c r="D17" s="37">
        <f t="shared" ref="D17:D18" si="3">30-0-0</f>
        <v>30</v>
      </c>
      <c r="E17" s="38">
        <v>20000.0</v>
      </c>
      <c r="F17" s="39">
        <f>E17/30*D17-5000-1750</f>
        <v>13250</v>
      </c>
      <c r="G17" s="40">
        <f>2000+10000+1250</f>
        <v>13250</v>
      </c>
      <c r="H17" s="41">
        <f t="shared" si="2"/>
        <v>0</v>
      </c>
      <c r="I17" s="48" t="s">
        <v>43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6.5" customHeight="1">
      <c r="A18" s="34" t="s">
        <v>47</v>
      </c>
      <c r="B18" s="50" t="s">
        <v>42</v>
      </c>
      <c r="C18" s="53">
        <v>45823.0</v>
      </c>
      <c r="D18" s="37">
        <f t="shared" si="3"/>
        <v>30</v>
      </c>
      <c r="E18" s="38">
        <v>20000.0</v>
      </c>
      <c r="F18" s="39">
        <f>E18/30*D18-1100</f>
        <v>18900</v>
      </c>
      <c r="G18" s="40">
        <f>1000+5000</f>
        <v>6000</v>
      </c>
      <c r="H18" s="41">
        <f t="shared" si="2"/>
        <v>12900</v>
      </c>
      <c r="I18" s="48" t="s">
        <v>43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6.5" customHeight="1">
      <c r="A19" s="34" t="s">
        <v>49</v>
      </c>
      <c r="B19" s="35" t="s">
        <v>46</v>
      </c>
      <c r="C19" s="56">
        <v>45846.0</v>
      </c>
      <c r="D19" s="37">
        <f>30-6-0+6</f>
        <v>30</v>
      </c>
      <c r="E19" s="47">
        <v>35000.0</v>
      </c>
      <c r="F19" s="39">
        <f>E19/30*D19-950</f>
        <v>34050</v>
      </c>
      <c r="G19" s="40"/>
      <c r="H19" s="41">
        <f t="shared" si="2"/>
        <v>34050</v>
      </c>
      <c r="I19" s="44" t="s">
        <v>24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6.5" customHeight="1">
      <c r="A20" s="34" t="s">
        <v>51</v>
      </c>
      <c r="B20" s="55" t="s">
        <v>59</v>
      </c>
      <c r="C20" s="36">
        <v>45871.0</v>
      </c>
      <c r="D20" s="37">
        <f>30-18-3</f>
        <v>9</v>
      </c>
      <c r="E20" s="47">
        <v>20000.0</v>
      </c>
      <c r="F20" s="52">
        <f>E20/30*D20-600</f>
        <v>5400</v>
      </c>
      <c r="G20" s="40"/>
      <c r="H20" s="54"/>
      <c r="I20" s="44" t="s">
        <v>36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6.5" customHeight="1">
      <c r="A21" s="34" t="s">
        <v>53</v>
      </c>
      <c r="B21" s="35" t="s">
        <v>48</v>
      </c>
      <c r="C21" s="36">
        <v>45972.0</v>
      </c>
      <c r="D21" s="37">
        <f>30-0-1</f>
        <v>29</v>
      </c>
      <c r="E21" s="47">
        <v>35000.0</v>
      </c>
      <c r="F21" s="39">
        <f>E21/30*D21-1250</f>
        <v>32583.33333</v>
      </c>
      <c r="G21" s="40">
        <f>20000+12583</f>
        <v>32583</v>
      </c>
      <c r="H21" s="41">
        <f t="shared" ref="H21:H23" si="4">F21-G21</f>
        <v>0.3333333333</v>
      </c>
      <c r="I21" s="48" t="s">
        <v>40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6.5" customHeight="1">
      <c r="A22" s="34" t="s">
        <v>55</v>
      </c>
      <c r="B22" s="35" t="s">
        <v>50</v>
      </c>
      <c r="C22" s="36">
        <v>45972.0</v>
      </c>
      <c r="D22" s="37">
        <f t="shared" ref="D22:D23" si="5">30-0-0</f>
        <v>30</v>
      </c>
      <c r="E22" s="47">
        <v>20000.0</v>
      </c>
      <c r="F22" s="39">
        <f>E22/30*D22-1400</f>
        <v>18600</v>
      </c>
      <c r="G22" s="58">
        <f>500+1000+8000+9100</f>
        <v>18600</v>
      </c>
      <c r="H22" s="41">
        <f t="shared" si="4"/>
        <v>0</v>
      </c>
      <c r="I22" s="48" t="s">
        <v>43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6.5" customHeight="1">
      <c r="A23" s="34" t="s">
        <v>60</v>
      </c>
      <c r="B23" s="35" t="s">
        <v>52</v>
      </c>
      <c r="C23" s="36">
        <v>45997.0</v>
      </c>
      <c r="D23" s="37">
        <f t="shared" si="5"/>
        <v>30</v>
      </c>
      <c r="E23" s="47">
        <v>20000.0</v>
      </c>
      <c r="F23" s="39">
        <f>E23/30*D23-1250</f>
        <v>18750</v>
      </c>
      <c r="G23" s="40">
        <f>1000+500+10000+2000</f>
        <v>13500</v>
      </c>
      <c r="H23" s="41">
        <f t="shared" si="4"/>
        <v>5250</v>
      </c>
      <c r="I23" s="48" t="s">
        <v>43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6.5" customHeight="1">
      <c r="A24" s="34" t="s">
        <v>65</v>
      </c>
      <c r="B24" s="55" t="s">
        <v>77</v>
      </c>
      <c r="C24" s="36">
        <v>46023.0</v>
      </c>
      <c r="D24" s="37">
        <f>30-5-1</f>
        <v>24</v>
      </c>
      <c r="E24" s="47">
        <v>70000.0</v>
      </c>
      <c r="F24" s="52">
        <f>E24/30*D24-900</f>
        <v>55100</v>
      </c>
      <c r="G24" s="40"/>
      <c r="H24" s="54"/>
      <c r="I24" s="48" t="s">
        <v>24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6.5" customHeight="1">
      <c r="A25" s="34" t="s">
        <v>68</v>
      </c>
      <c r="B25" s="35" t="s">
        <v>54</v>
      </c>
      <c r="C25" s="36">
        <v>46023.0</v>
      </c>
      <c r="D25" s="37">
        <f>30-0-0</f>
        <v>30</v>
      </c>
      <c r="E25" s="47">
        <v>50000.0</v>
      </c>
      <c r="F25" s="39">
        <f>E25/30*D25-1050</f>
        <v>48950</v>
      </c>
      <c r="G25" s="58">
        <v>48950.0</v>
      </c>
      <c r="H25" s="41">
        <f>F25-G25</f>
        <v>0</v>
      </c>
      <c r="I25" s="48" t="s">
        <v>32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6.5" customHeight="1">
      <c r="A26" s="34" t="s">
        <v>57</v>
      </c>
      <c r="B26" s="55" t="s">
        <v>79</v>
      </c>
      <c r="C26" s="36">
        <v>46025.0</v>
      </c>
      <c r="D26" s="37">
        <f>30-9-3</f>
        <v>18</v>
      </c>
      <c r="E26" s="47">
        <v>35000.0</v>
      </c>
      <c r="F26" s="52">
        <f>E26/30*D26-900</f>
        <v>20100</v>
      </c>
      <c r="G26" s="40"/>
      <c r="H26" s="54"/>
      <c r="I26" s="48" t="s">
        <v>40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6.5" customHeight="1">
      <c r="A27" s="34" t="s">
        <v>62</v>
      </c>
      <c r="B27" s="50" t="s">
        <v>56</v>
      </c>
      <c r="C27" s="56">
        <v>46032.0</v>
      </c>
      <c r="D27" s="37">
        <f>30-1-1</f>
        <v>28</v>
      </c>
      <c r="E27" s="47">
        <v>25000.0</v>
      </c>
      <c r="F27" s="39">
        <f t="shared" ref="F27:F28" si="6">E27/30*D27-1250</f>
        <v>22083.33333</v>
      </c>
      <c r="G27" s="40">
        <f>12083+500+5000+4500</f>
        <v>22083</v>
      </c>
      <c r="H27" s="41">
        <f>F27-G27</f>
        <v>0.3333333333</v>
      </c>
      <c r="I27" s="44" t="s">
        <v>36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6.5" customHeight="1">
      <c r="A28" s="34" t="s">
        <v>64</v>
      </c>
      <c r="B28" s="55" t="s">
        <v>61</v>
      </c>
      <c r="C28" s="56">
        <v>46054.0</v>
      </c>
      <c r="D28" s="37">
        <f>30-0-1</f>
        <v>29</v>
      </c>
      <c r="E28" s="47">
        <v>25000.0</v>
      </c>
      <c r="F28" s="52">
        <f t="shared" si="6"/>
        <v>22916.66667</v>
      </c>
      <c r="G28" s="40"/>
      <c r="H28" s="54"/>
      <c r="I28" s="44" t="s">
        <v>36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6.5" customHeight="1">
      <c r="A29" s="34" t="s">
        <v>70</v>
      </c>
      <c r="B29" s="55" t="s">
        <v>83</v>
      </c>
      <c r="C29" s="56">
        <v>46054.0</v>
      </c>
      <c r="D29" s="37">
        <f>30-1-1</f>
        <v>28</v>
      </c>
      <c r="E29" s="47">
        <v>110000.0</v>
      </c>
      <c r="F29" s="52">
        <f>E29/30*D29-1150</f>
        <v>101516.6667</v>
      </c>
      <c r="G29" s="40"/>
      <c r="H29" s="54"/>
      <c r="I29" s="79" t="s">
        <v>84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6.5" customHeight="1">
      <c r="A30" s="34" t="s">
        <v>72</v>
      </c>
      <c r="B30" s="55" t="s">
        <v>85</v>
      </c>
      <c r="C30" s="56">
        <v>46082.0</v>
      </c>
      <c r="D30" s="37">
        <f>30-16-0</f>
        <v>14</v>
      </c>
      <c r="E30" s="38">
        <v>50000.0</v>
      </c>
      <c r="F30" s="52">
        <f>E30/30*D30-600</f>
        <v>22733.33333</v>
      </c>
      <c r="G30" s="40"/>
      <c r="H30" s="54"/>
      <c r="I30" s="48" t="s">
        <v>32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6.5" customHeight="1">
      <c r="A31" s="34" t="s">
        <v>75</v>
      </c>
      <c r="B31" s="35" t="s">
        <v>67</v>
      </c>
      <c r="C31" s="56">
        <v>46144.0</v>
      </c>
      <c r="D31" s="37">
        <f>30-3-0</f>
        <v>27</v>
      </c>
      <c r="E31" s="38">
        <v>25000.0</v>
      </c>
      <c r="F31" s="39">
        <f>E31/30*D31-1150</f>
        <v>21350</v>
      </c>
      <c r="G31" s="58">
        <f>2000</f>
        <v>2000</v>
      </c>
      <c r="H31" s="41">
        <f t="shared" ref="H31:H37" si="7">F31-G31</f>
        <v>19350</v>
      </c>
      <c r="I31" s="43" t="s">
        <v>36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6.5" customHeight="1">
      <c r="A32" s="34" t="s">
        <v>89</v>
      </c>
      <c r="B32" s="35" t="s">
        <v>69</v>
      </c>
      <c r="C32" s="56">
        <v>46152.0</v>
      </c>
      <c r="D32" s="37">
        <f>30-5-0</f>
        <v>25</v>
      </c>
      <c r="E32" s="38">
        <v>25000.0</v>
      </c>
      <c r="F32" s="39">
        <f>E32/30*D32-500</f>
        <v>20333.33333</v>
      </c>
      <c r="G32" s="40"/>
      <c r="H32" s="41">
        <f t="shared" si="7"/>
        <v>20333.33333</v>
      </c>
      <c r="I32" s="43" t="s">
        <v>36</v>
      </c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6.5" customHeight="1">
      <c r="A33" s="34" t="s">
        <v>91</v>
      </c>
      <c r="B33" s="59" t="s">
        <v>58</v>
      </c>
      <c r="C33" s="60">
        <v>45854.0</v>
      </c>
      <c r="D33" s="37">
        <f>30-2-1</f>
        <v>27</v>
      </c>
      <c r="E33" s="38">
        <v>25000.0</v>
      </c>
      <c r="F33" s="39">
        <f>E33/30*D33-950</f>
        <v>21550</v>
      </c>
      <c r="G33" s="40">
        <f>3000+3000+15550</f>
        <v>21550</v>
      </c>
      <c r="H33" s="41">
        <f t="shared" si="7"/>
        <v>0</v>
      </c>
      <c r="I33" s="43" t="s">
        <v>36</v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34" t="s">
        <v>93</v>
      </c>
      <c r="B34" s="59" t="s">
        <v>63</v>
      </c>
      <c r="C34" s="60">
        <v>45910.0</v>
      </c>
      <c r="D34" s="37">
        <f>30-1-1</f>
        <v>28</v>
      </c>
      <c r="E34" s="38">
        <v>25000.0</v>
      </c>
      <c r="F34" s="39">
        <f>E34/30*D34-200</f>
        <v>23133.33333</v>
      </c>
      <c r="G34" s="40">
        <f>3133+3000</f>
        <v>6133</v>
      </c>
      <c r="H34" s="41">
        <f t="shared" si="7"/>
        <v>17000.33333</v>
      </c>
      <c r="I34" s="43" t="s">
        <v>43</v>
      </c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34" t="s">
        <v>97</v>
      </c>
      <c r="B35" s="59" t="s">
        <v>66</v>
      </c>
      <c r="C35" s="60">
        <v>45857.0</v>
      </c>
      <c r="D35" s="37">
        <f>30-1-0</f>
        <v>29</v>
      </c>
      <c r="E35" s="61">
        <v>20000.0</v>
      </c>
      <c r="F35" s="39">
        <f>E35/30*D35-800</f>
        <v>18533.33333</v>
      </c>
      <c r="G35" s="40">
        <f>500+2000+16033</f>
        <v>18533</v>
      </c>
      <c r="H35" s="41">
        <f t="shared" si="7"/>
        <v>0.3333333333</v>
      </c>
      <c r="I35" s="43" t="s">
        <v>43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34" t="s">
        <v>99</v>
      </c>
      <c r="B36" s="59" t="s">
        <v>71</v>
      </c>
      <c r="C36" s="60">
        <v>45945.0</v>
      </c>
      <c r="D36" s="37">
        <f>30-0-0</f>
        <v>30</v>
      </c>
      <c r="E36" s="61">
        <v>150000.0</v>
      </c>
      <c r="F36" s="39">
        <f>E36/30*D36-4000</f>
        <v>146000</v>
      </c>
      <c r="G36" s="40"/>
      <c r="H36" s="41">
        <f t="shared" si="7"/>
        <v>146000</v>
      </c>
      <c r="I36" s="45" t="s">
        <v>16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34" t="s">
        <v>101</v>
      </c>
      <c r="B37" s="59" t="s">
        <v>73</v>
      </c>
      <c r="C37" s="60">
        <v>45931.0</v>
      </c>
      <c r="D37" s="37">
        <f>30</f>
        <v>30</v>
      </c>
      <c r="E37" s="61">
        <v>120000.0</v>
      </c>
      <c r="F37" s="39">
        <f>E37/30*D37-1100-1250</f>
        <v>117650</v>
      </c>
      <c r="G37" s="40"/>
      <c r="H37" s="41">
        <f t="shared" si="7"/>
        <v>117650</v>
      </c>
      <c r="I37" s="42" t="s">
        <v>74</v>
      </c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62"/>
      <c r="B38" s="59"/>
      <c r="C38" s="60"/>
      <c r="D38" s="34"/>
      <c r="E38" s="38"/>
      <c r="F38" s="39"/>
      <c r="G38" s="40"/>
      <c r="H38" s="41"/>
      <c r="I38" s="64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6.5" customHeight="1">
      <c r="A39" s="62"/>
      <c r="B39" s="35"/>
      <c r="C39" s="56"/>
      <c r="D39" s="34"/>
      <c r="E39" s="38"/>
      <c r="F39" s="39"/>
      <c r="G39" s="40"/>
      <c r="H39" s="41"/>
      <c r="I39" s="64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6.5" customHeight="1">
      <c r="A40" s="62"/>
      <c r="B40" s="35"/>
      <c r="C40" s="56"/>
      <c r="D40" s="34"/>
      <c r="E40" s="38"/>
      <c r="F40" s="39"/>
      <c r="G40" s="40"/>
      <c r="H40" s="41"/>
      <c r="I40" s="64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6.5" customHeight="1">
      <c r="A41" s="65"/>
      <c r="B41" s="35"/>
      <c r="C41" s="56"/>
      <c r="D41" s="34"/>
      <c r="E41" s="38"/>
      <c r="F41" s="39"/>
      <c r="G41" s="40"/>
      <c r="H41" s="41"/>
      <c r="I41" s="48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9.5" customHeight="1">
      <c r="A42" s="66" t="s">
        <v>78</v>
      </c>
      <c r="B42" s="21"/>
      <c r="C42" s="21"/>
      <c r="D42" s="67"/>
      <c r="E42" s="68">
        <f t="shared" ref="E42:H42" si="8">SUM(E8:E41)</f>
        <v>1605000</v>
      </c>
      <c r="F42" s="68">
        <f t="shared" si="8"/>
        <v>1434267</v>
      </c>
      <c r="G42" s="68">
        <f t="shared" si="8"/>
        <v>621666</v>
      </c>
      <c r="H42" s="68">
        <f t="shared" si="8"/>
        <v>563767.6667</v>
      </c>
      <c r="I42" s="69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9.5" customHeight="1">
      <c r="A43" s="70" t="s">
        <v>80</v>
      </c>
      <c r="B43" s="71"/>
      <c r="C43" s="71"/>
      <c r="D43" s="71"/>
      <c r="E43" s="71"/>
      <c r="F43" s="71"/>
      <c r="G43" s="71"/>
      <c r="H43" s="71"/>
      <c r="I43" s="72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73" t="s">
        <v>14</v>
      </c>
      <c r="B44" s="74" t="s">
        <v>81</v>
      </c>
      <c r="C44" s="75">
        <v>45783.0</v>
      </c>
      <c r="D44" s="76">
        <f t="shared" ref="D44:D46" si="9">30</f>
        <v>30</v>
      </c>
      <c r="E44" s="77">
        <f>60000</f>
        <v>60000</v>
      </c>
      <c r="F44" s="77">
        <f>E44/30*D44</f>
        <v>60000</v>
      </c>
      <c r="G44" s="78">
        <f>30000+30000</f>
        <v>60000</v>
      </c>
      <c r="H44" s="78">
        <f t="shared" ref="H44:H48" si="10">F44-G44</f>
        <v>0</v>
      </c>
      <c r="I44" s="80" t="s">
        <v>32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65" t="s">
        <v>18</v>
      </c>
      <c r="B45" s="74" t="s">
        <v>86</v>
      </c>
      <c r="C45" s="75">
        <v>46023.0</v>
      </c>
      <c r="D45" s="76">
        <f t="shared" si="9"/>
        <v>30</v>
      </c>
      <c r="E45" s="77">
        <v>35000.0</v>
      </c>
      <c r="F45" s="77">
        <f>E45/30*D45-800</f>
        <v>34200</v>
      </c>
      <c r="G45" s="78">
        <f>10000+2000+10000+12200</f>
        <v>34200</v>
      </c>
      <c r="H45" s="78">
        <f t="shared" si="10"/>
        <v>0</v>
      </c>
      <c r="I45" s="80" t="s">
        <v>40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65" t="s">
        <v>22</v>
      </c>
      <c r="B46" s="81" t="s">
        <v>87</v>
      </c>
      <c r="C46" s="75">
        <v>45934.0</v>
      </c>
      <c r="D46" s="76">
        <f t="shared" si="9"/>
        <v>30</v>
      </c>
      <c r="E46" s="77">
        <v>20000.0</v>
      </c>
      <c r="F46" s="77">
        <f>E46/30*D46-250</f>
        <v>19750</v>
      </c>
      <c r="G46" s="78">
        <f>19750</f>
        <v>19750</v>
      </c>
      <c r="H46" s="78">
        <f t="shared" si="10"/>
        <v>0</v>
      </c>
      <c r="I46" s="80" t="s">
        <v>43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65" t="s">
        <v>25</v>
      </c>
      <c r="B47" s="82" t="s">
        <v>88</v>
      </c>
      <c r="C47" s="83">
        <v>46033.0</v>
      </c>
      <c r="D47" s="84">
        <f>30-2+2</f>
        <v>30</v>
      </c>
      <c r="E47" s="85">
        <v>30000.0</v>
      </c>
      <c r="F47" s="85">
        <f>E47/30*D47-700</f>
        <v>29300</v>
      </c>
      <c r="G47" s="40">
        <f>10000+1000+8300+2000+8000</f>
        <v>29300</v>
      </c>
      <c r="H47" s="40">
        <f t="shared" si="10"/>
        <v>0</v>
      </c>
      <c r="I47" s="86" t="s">
        <v>90</v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65" t="s">
        <v>27</v>
      </c>
      <c r="B48" s="87" t="s">
        <v>92</v>
      </c>
      <c r="C48" s="88">
        <v>45783.0</v>
      </c>
      <c r="D48" s="89">
        <f t="shared" ref="D48:D55" si="11">30</f>
        <v>30</v>
      </c>
      <c r="E48" s="90">
        <v>20000.0</v>
      </c>
      <c r="F48" s="90">
        <f t="shared" ref="F48:F55" si="12">E48/30*D48</f>
        <v>20000</v>
      </c>
      <c r="G48" s="91">
        <f>3000+17000</f>
        <v>20000</v>
      </c>
      <c r="H48" s="91">
        <f t="shared" si="10"/>
        <v>0</v>
      </c>
      <c r="I48" s="93" t="s">
        <v>95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65" t="s">
        <v>30</v>
      </c>
      <c r="B49" s="55" t="s">
        <v>111</v>
      </c>
      <c r="C49" s="88">
        <v>45763.0</v>
      </c>
      <c r="D49" s="89">
        <f t="shared" si="11"/>
        <v>30</v>
      </c>
      <c r="E49" s="90">
        <v>14000.0</v>
      </c>
      <c r="F49" s="52">
        <f t="shared" si="12"/>
        <v>14000</v>
      </c>
      <c r="G49" s="91"/>
      <c r="H49" s="54"/>
      <c r="I49" s="93" t="s">
        <v>102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65" t="s">
        <v>34</v>
      </c>
      <c r="B50" s="87" t="s">
        <v>105</v>
      </c>
      <c r="C50" s="88">
        <v>45773.0</v>
      </c>
      <c r="D50" s="89">
        <f t="shared" si="11"/>
        <v>30</v>
      </c>
      <c r="E50" s="90">
        <v>12000.0</v>
      </c>
      <c r="F50" s="90">
        <f t="shared" si="12"/>
        <v>12000</v>
      </c>
      <c r="G50" s="98">
        <f>12000</f>
        <v>12000</v>
      </c>
      <c r="H50" s="91">
        <f>F50-G50</f>
        <v>0</v>
      </c>
      <c r="I50" s="99" t="s">
        <v>102</v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65" t="s">
        <v>37</v>
      </c>
      <c r="B51" s="55" t="s">
        <v>112</v>
      </c>
      <c r="C51" s="88">
        <v>46113.0</v>
      </c>
      <c r="D51" s="89">
        <f t="shared" si="11"/>
        <v>30</v>
      </c>
      <c r="E51" s="90">
        <v>14000.0</v>
      </c>
      <c r="F51" s="52">
        <f t="shared" si="12"/>
        <v>14000</v>
      </c>
      <c r="G51" s="98"/>
      <c r="H51" s="54"/>
      <c r="I51" s="99" t="s">
        <v>102</v>
      </c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65" t="s">
        <v>41</v>
      </c>
      <c r="B52" s="94" t="s">
        <v>96</v>
      </c>
      <c r="C52" s="96">
        <v>45322.0</v>
      </c>
      <c r="D52" s="89">
        <f t="shared" si="11"/>
        <v>30</v>
      </c>
      <c r="E52" s="90">
        <v>14000.0</v>
      </c>
      <c r="F52" s="90">
        <f t="shared" si="12"/>
        <v>14000</v>
      </c>
      <c r="G52" s="98">
        <f>5000+9000</f>
        <v>14000</v>
      </c>
      <c r="H52" s="91">
        <f t="shared" ref="H52:H55" si="13">F52-G52</f>
        <v>0</v>
      </c>
      <c r="I52" s="99" t="s">
        <v>102</v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65" t="s">
        <v>44</v>
      </c>
      <c r="B53" s="94" t="s">
        <v>103</v>
      </c>
      <c r="C53" s="96">
        <v>45322.0</v>
      </c>
      <c r="D53" s="89">
        <f t="shared" si="11"/>
        <v>30</v>
      </c>
      <c r="E53" s="90">
        <v>14000.0</v>
      </c>
      <c r="F53" s="90">
        <f t="shared" si="12"/>
        <v>14000</v>
      </c>
      <c r="G53" s="98">
        <f>14000</f>
        <v>14000</v>
      </c>
      <c r="H53" s="91">
        <f t="shared" si="13"/>
        <v>0</v>
      </c>
      <c r="I53" s="99" t="s">
        <v>102</v>
      </c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65" t="s">
        <v>47</v>
      </c>
      <c r="B54" s="101" t="s">
        <v>106</v>
      </c>
      <c r="C54" s="102">
        <v>44992.0</v>
      </c>
      <c r="D54" s="103">
        <f t="shared" si="11"/>
        <v>30</v>
      </c>
      <c r="E54" s="104">
        <v>24000.0</v>
      </c>
      <c r="F54" s="104">
        <f t="shared" si="12"/>
        <v>24000</v>
      </c>
      <c r="G54" s="105">
        <f>10000+2000+12000</f>
        <v>24000</v>
      </c>
      <c r="H54" s="105">
        <f t="shared" si="13"/>
        <v>0</v>
      </c>
      <c r="I54" s="106" t="s">
        <v>109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65" t="s">
        <v>49</v>
      </c>
      <c r="B55" s="101" t="s">
        <v>113</v>
      </c>
      <c r="C55" s="102">
        <v>46126.0</v>
      </c>
      <c r="D55" s="103">
        <f t="shared" si="11"/>
        <v>30</v>
      </c>
      <c r="E55" s="104">
        <v>22000.0</v>
      </c>
      <c r="F55" s="104">
        <f t="shared" si="12"/>
        <v>22000</v>
      </c>
      <c r="G55" s="105">
        <f>2000</f>
        <v>2000</v>
      </c>
      <c r="H55" s="105">
        <f t="shared" si="13"/>
        <v>20000</v>
      </c>
      <c r="I55" s="106" t="s">
        <v>109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6.5" customHeight="1">
      <c r="A56" s="110"/>
      <c r="B56" s="111"/>
      <c r="C56" s="112"/>
      <c r="D56" s="113"/>
      <c r="E56" s="114"/>
      <c r="F56" s="114"/>
      <c r="G56" s="115"/>
      <c r="H56" s="115"/>
      <c r="I56" s="11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9.5" customHeight="1">
      <c r="A57" s="66" t="s">
        <v>78</v>
      </c>
      <c r="B57" s="21"/>
      <c r="C57" s="21"/>
      <c r="D57" s="67"/>
      <c r="E57" s="68">
        <f t="shared" ref="E57:H57" si="14">SUM(E44:E56)</f>
        <v>279000</v>
      </c>
      <c r="F57" s="68">
        <f t="shared" si="14"/>
        <v>277250</v>
      </c>
      <c r="G57" s="68">
        <f t="shared" si="14"/>
        <v>229250</v>
      </c>
      <c r="H57" s="68">
        <f t="shared" si="14"/>
        <v>20000</v>
      </c>
      <c r="I57" s="69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24.75" customHeight="1">
      <c r="A58" s="117" t="s">
        <v>78</v>
      </c>
      <c r="B58" s="21"/>
      <c r="C58" s="21"/>
      <c r="D58" s="67"/>
      <c r="E58" s="118">
        <f t="shared" ref="E58:H58" si="15">E42+E57</f>
        <v>1884000</v>
      </c>
      <c r="F58" s="118">
        <f t="shared" si="15"/>
        <v>1711517</v>
      </c>
      <c r="G58" s="118">
        <f t="shared" si="15"/>
        <v>850916</v>
      </c>
      <c r="H58" s="118">
        <f t="shared" si="15"/>
        <v>583767.6667</v>
      </c>
      <c r="I58" s="119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120"/>
      <c r="B59" s="120"/>
      <c r="C59" s="121"/>
      <c r="D59" s="11"/>
      <c r="E59" s="122"/>
      <c r="F59" s="122"/>
      <c r="G59" s="123"/>
      <c r="H59" s="123"/>
      <c r="I59" s="11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120"/>
      <c r="B60" s="120"/>
      <c r="C60" s="121"/>
      <c r="D60" s="11"/>
      <c r="E60" s="122"/>
      <c r="F60" s="122"/>
      <c r="G60" s="123"/>
      <c r="H60" s="123"/>
      <c r="I60" s="11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120"/>
      <c r="B61" s="120"/>
      <c r="C61" s="121"/>
      <c r="D61" s="11"/>
      <c r="E61" s="122"/>
      <c r="F61" s="122"/>
      <c r="G61" s="123"/>
      <c r="H61" s="123"/>
      <c r="I61" s="11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120"/>
      <c r="B62" s="120"/>
      <c r="C62" s="121"/>
      <c r="D62" s="11"/>
      <c r="E62" s="122"/>
      <c r="F62" s="122"/>
      <c r="G62" s="123"/>
      <c r="H62" s="123"/>
      <c r="I62" s="11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120"/>
      <c r="B63" s="120"/>
      <c r="C63" s="121"/>
      <c r="D63" s="11"/>
      <c r="E63" s="122"/>
      <c r="F63" s="122"/>
      <c r="G63" s="123"/>
      <c r="H63" s="123"/>
      <c r="I63" s="11"/>
      <c r="J63" s="5"/>
      <c r="K63" s="5"/>
      <c r="L63" s="5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6.5" customHeight="1">
      <c r="A64" s="120"/>
      <c r="B64" s="120"/>
      <c r="C64" s="121"/>
      <c r="D64" s="11"/>
      <c r="E64" s="122"/>
      <c r="F64" s="122"/>
      <c r="G64" s="123"/>
      <c r="H64" s="123"/>
      <c r="I64" s="11"/>
      <c r="J64" s="5"/>
      <c r="K64" s="5"/>
      <c r="L64" s="5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6.5" customHeight="1">
      <c r="A65" s="120"/>
      <c r="B65" s="120"/>
      <c r="C65" s="121"/>
      <c r="D65" s="11"/>
      <c r="E65" s="122"/>
      <c r="F65" s="122"/>
      <c r="G65" s="123"/>
      <c r="H65" s="123"/>
      <c r="I65" s="11"/>
      <c r="J65" s="5"/>
      <c r="K65" s="5"/>
      <c r="L65" s="5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6.5" customHeight="1">
      <c r="A66" s="120"/>
      <c r="B66" s="120"/>
      <c r="C66" s="121"/>
      <c r="D66" s="11"/>
      <c r="E66" s="122"/>
      <c r="F66" s="122"/>
      <c r="G66" s="123"/>
      <c r="H66" s="123"/>
      <c r="I66" s="11"/>
      <c r="J66" s="5"/>
      <c r="K66" s="5"/>
      <c r="L66" s="5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6.5" customHeight="1">
      <c r="A67" s="120"/>
      <c r="B67" s="120"/>
      <c r="C67" s="121"/>
      <c r="D67" s="11"/>
      <c r="E67" s="122"/>
      <c r="F67" s="122"/>
      <c r="G67" s="123"/>
      <c r="H67" s="123"/>
      <c r="I67" s="11"/>
      <c r="J67" s="5"/>
      <c r="K67" s="5"/>
      <c r="L67" s="5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6.5" customHeight="1">
      <c r="A68" s="7"/>
      <c r="B68" s="7"/>
      <c r="C68" s="5"/>
      <c r="D68" s="8"/>
      <c r="E68" s="9"/>
      <c r="F68" s="9"/>
      <c r="G68" s="10"/>
      <c r="H68" s="10"/>
      <c r="I68" s="11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7"/>
      <c r="B69" s="7"/>
      <c r="C69" s="5"/>
      <c r="D69" s="8"/>
      <c r="E69" s="9"/>
      <c r="F69" s="9"/>
      <c r="G69" s="10"/>
      <c r="H69" s="10"/>
      <c r="I69" s="11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7"/>
      <c r="B70" s="7"/>
      <c r="C70" s="5"/>
      <c r="D70" s="8"/>
      <c r="E70" s="9"/>
      <c r="F70" s="9"/>
      <c r="G70" s="10"/>
      <c r="H70" s="10"/>
      <c r="I70" s="11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7"/>
      <c r="B71" s="7"/>
      <c r="C71" s="5"/>
      <c r="D71" s="8"/>
      <c r="E71" s="9"/>
      <c r="F71" s="9"/>
      <c r="G71" s="10"/>
      <c r="H71" s="10"/>
      <c r="I71" s="11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7"/>
      <c r="B72" s="7"/>
      <c r="C72" s="5"/>
      <c r="D72" s="8"/>
      <c r="E72" s="9"/>
      <c r="F72" s="9"/>
      <c r="G72" s="10"/>
      <c r="H72" s="10"/>
      <c r="I72" s="11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7"/>
      <c r="B73" s="7"/>
      <c r="C73" s="5"/>
      <c r="D73" s="8"/>
      <c r="E73" s="9"/>
      <c r="F73" s="9"/>
      <c r="G73" s="10"/>
      <c r="H73" s="10"/>
      <c r="I73" s="11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7"/>
      <c r="B74" s="7"/>
      <c r="C74" s="5"/>
      <c r="D74" s="8"/>
      <c r="E74" s="9"/>
      <c r="F74" s="9"/>
      <c r="G74" s="10"/>
      <c r="H74" s="10"/>
      <c r="I74" s="11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7"/>
      <c r="B75" s="7"/>
      <c r="C75" s="5"/>
      <c r="D75" s="8"/>
      <c r="E75" s="9"/>
      <c r="F75" s="9"/>
      <c r="G75" s="10"/>
      <c r="H75" s="10"/>
      <c r="I75" s="11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7"/>
      <c r="B76" s="7"/>
      <c r="C76" s="5"/>
      <c r="D76" s="8"/>
      <c r="E76" s="9"/>
      <c r="F76" s="9"/>
      <c r="G76" s="10"/>
      <c r="H76" s="10"/>
      <c r="I76" s="11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7"/>
      <c r="B77" s="7"/>
      <c r="C77" s="5"/>
      <c r="D77" s="8"/>
      <c r="E77" s="9"/>
      <c r="F77" s="9"/>
      <c r="G77" s="10"/>
      <c r="H77" s="10"/>
      <c r="I77" s="11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7"/>
      <c r="B78" s="7"/>
      <c r="C78" s="5"/>
      <c r="D78" s="8"/>
      <c r="E78" s="9"/>
      <c r="F78" s="9"/>
      <c r="G78" s="10"/>
      <c r="H78" s="10"/>
      <c r="I78" s="11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7"/>
      <c r="B79" s="7"/>
      <c r="C79" s="5"/>
      <c r="D79" s="8"/>
      <c r="E79" s="9"/>
      <c r="F79" s="9"/>
      <c r="G79" s="10"/>
      <c r="H79" s="10"/>
      <c r="I79" s="11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7"/>
      <c r="B80" s="7"/>
      <c r="C80" s="5"/>
      <c r="D80" s="8"/>
      <c r="E80" s="9"/>
      <c r="F80" s="9"/>
      <c r="G80" s="10"/>
      <c r="H80" s="10"/>
      <c r="I80" s="11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7"/>
      <c r="B81" s="7"/>
      <c r="C81" s="5"/>
      <c r="D81" s="8"/>
      <c r="E81" s="9"/>
      <c r="F81" s="9"/>
      <c r="G81" s="10"/>
      <c r="H81" s="10"/>
      <c r="I81" s="11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7"/>
      <c r="B82" s="7"/>
      <c r="C82" s="5"/>
      <c r="D82" s="8"/>
      <c r="E82" s="9"/>
      <c r="F82" s="9"/>
      <c r="G82" s="10"/>
      <c r="H82" s="10"/>
      <c r="I82" s="11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7"/>
      <c r="B83" s="7"/>
      <c r="C83" s="5"/>
      <c r="D83" s="8"/>
      <c r="E83" s="9"/>
      <c r="F83" s="9"/>
      <c r="G83" s="10"/>
      <c r="H83" s="10"/>
      <c r="I83" s="11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7"/>
      <c r="B84" s="7"/>
      <c r="C84" s="5"/>
      <c r="D84" s="8"/>
      <c r="E84" s="9"/>
      <c r="F84" s="9"/>
      <c r="G84" s="10"/>
      <c r="H84" s="10"/>
      <c r="I84" s="11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7"/>
      <c r="B85" s="7"/>
      <c r="C85" s="5"/>
      <c r="D85" s="8"/>
      <c r="E85" s="9"/>
      <c r="F85" s="9"/>
      <c r="G85" s="10"/>
      <c r="H85" s="10"/>
      <c r="I85" s="11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7"/>
      <c r="B86" s="7"/>
      <c r="C86" s="5"/>
      <c r="D86" s="8"/>
      <c r="E86" s="9"/>
      <c r="F86" s="9"/>
      <c r="G86" s="10"/>
      <c r="H86" s="10"/>
      <c r="I86" s="11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7"/>
      <c r="B87" s="7"/>
      <c r="C87" s="5"/>
      <c r="D87" s="8"/>
      <c r="E87" s="9"/>
      <c r="F87" s="9"/>
      <c r="G87" s="10"/>
      <c r="H87" s="10"/>
      <c r="I87" s="11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7"/>
      <c r="B88" s="7"/>
      <c r="C88" s="5"/>
      <c r="D88" s="8"/>
      <c r="E88" s="9"/>
      <c r="F88" s="9"/>
      <c r="G88" s="10"/>
      <c r="H88" s="10"/>
      <c r="I88" s="11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7"/>
      <c r="B89" s="7"/>
      <c r="C89" s="5"/>
      <c r="D89" s="8"/>
      <c r="E89" s="9"/>
      <c r="F89" s="9"/>
      <c r="G89" s="10"/>
      <c r="H89" s="10"/>
      <c r="I89" s="11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7"/>
      <c r="B90" s="7"/>
      <c r="C90" s="5"/>
      <c r="D90" s="8"/>
      <c r="E90" s="9"/>
      <c r="F90" s="9"/>
      <c r="G90" s="10"/>
      <c r="H90" s="10"/>
      <c r="I90" s="11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7"/>
      <c r="B91" s="7"/>
      <c r="C91" s="5"/>
      <c r="D91" s="8"/>
      <c r="E91" s="9"/>
      <c r="F91" s="9"/>
      <c r="G91" s="10"/>
      <c r="H91" s="10"/>
      <c r="I91" s="11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7"/>
      <c r="B92" s="7"/>
      <c r="C92" s="5"/>
      <c r="D92" s="8"/>
      <c r="E92" s="9"/>
      <c r="F92" s="9"/>
      <c r="G92" s="10"/>
      <c r="H92" s="10"/>
      <c r="I92" s="11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7"/>
      <c r="B93" s="7"/>
      <c r="C93" s="5"/>
      <c r="D93" s="8"/>
      <c r="E93" s="9"/>
      <c r="F93" s="9"/>
      <c r="G93" s="10"/>
      <c r="H93" s="10"/>
      <c r="I93" s="11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7"/>
      <c r="B94" s="7"/>
      <c r="C94" s="5"/>
      <c r="D94" s="8"/>
      <c r="E94" s="9"/>
      <c r="F94" s="9"/>
      <c r="G94" s="10"/>
      <c r="H94" s="10"/>
      <c r="I94" s="11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7"/>
      <c r="B95" s="7"/>
      <c r="C95" s="5"/>
      <c r="D95" s="8"/>
      <c r="E95" s="9"/>
      <c r="F95" s="9"/>
      <c r="G95" s="10"/>
      <c r="H95" s="10"/>
      <c r="I95" s="11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7"/>
      <c r="B96" s="7"/>
      <c r="C96" s="5"/>
      <c r="D96" s="8"/>
      <c r="E96" s="9"/>
      <c r="F96" s="9"/>
      <c r="G96" s="10"/>
      <c r="H96" s="10"/>
      <c r="I96" s="11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7"/>
      <c r="B97" s="7"/>
      <c r="C97" s="5"/>
      <c r="D97" s="8"/>
      <c r="E97" s="9"/>
      <c r="F97" s="9"/>
      <c r="G97" s="10"/>
      <c r="H97" s="10"/>
      <c r="I97" s="11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7"/>
      <c r="B98" s="7"/>
      <c r="C98" s="5"/>
      <c r="D98" s="8"/>
      <c r="E98" s="9"/>
      <c r="F98" s="9"/>
      <c r="G98" s="10"/>
      <c r="H98" s="10"/>
      <c r="I98" s="11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7"/>
      <c r="B99" s="7"/>
      <c r="C99" s="5"/>
      <c r="D99" s="8"/>
      <c r="E99" s="9"/>
      <c r="F99" s="9"/>
      <c r="G99" s="10"/>
      <c r="H99" s="10"/>
      <c r="I99" s="11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7"/>
      <c r="B100" s="7"/>
      <c r="C100" s="5"/>
      <c r="D100" s="8"/>
      <c r="E100" s="9"/>
      <c r="F100" s="9"/>
      <c r="G100" s="10"/>
      <c r="H100" s="10"/>
      <c r="I100" s="11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7"/>
      <c r="B101" s="7"/>
      <c r="C101" s="5"/>
      <c r="D101" s="8"/>
      <c r="E101" s="9"/>
      <c r="F101" s="9"/>
      <c r="G101" s="10"/>
      <c r="H101" s="10"/>
      <c r="I101" s="11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7"/>
      <c r="B102" s="7"/>
      <c r="C102" s="5"/>
      <c r="D102" s="8"/>
      <c r="E102" s="9"/>
      <c r="F102" s="9"/>
      <c r="G102" s="10"/>
      <c r="H102" s="10"/>
      <c r="I102" s="11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7"/>
      <c r="B103" s="7"/>
      <c r="C103" s="5"/>
      <c r="D103" s="8"/>
      <c r="E103" s="9"/>
      <c r="F103" s="9"/>
      <c r="G103" s="10"/>
      <c r="H103" s="10"/>
      <c r="I103" s="11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7"/>
      <c r="B104" s="7"/>
      <c r="C104" s="5"/>
      <c r="D104" s="8"/>
      <c r="E104" s="9"/>
      <c r="F104" s="9"/>
      <c r="G104" s="10"/>
      <c r="H104" s="10"/>
      <c r="I104" s="11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7"/>
      <c r="B105" s="7"/>
      <c r="C105" s="5"/>
      <c r="D105" s="8"/>
      <c r="E105" s="9"/>
      <c r="F105" s="9"/>
      <c r="G105" s="10"/>
      <c r="H105" s="10"/>
      <c r="I105" s="11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7"/>
      <c r="B106" s="7"/>
      <c r="C106" s="5"/>
      <c r="D106" s="8"/>
      <c r="E106" s="9"/>
      <c r="F106" s="9"/>
      <c r="G106" s="10"/>
      <c r="H106" s="10"/>
      <c r="I106" s="11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7"/>
      <c r="B107" s="7"/>
      <c r="C107" s="5"/>
      <c r="D107" s="8"/>
      <c r="E107" s="9"/>
      <c r="F107" s="9"/>
      <c r="G107" s="10"/>
      <c r="H107" s="10"/>
      <c r="I107" s="11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7"/>
      <c r="B108" s="7"/>
      <c r="C108" s="5"/>
      <c r="D108" s="8"/>
      <c r="E108" s="9"/>
      <c r="F108" s="9"/>
      <c r="G108" s="10"/>
      <c r="H108" s="10"/>
      <c r="I108" s="11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7"/>
      <c r="B109" s="7"/>
      <c r="C109" s="5"/>
      <c r="D109" s="8"/>
      <c r="E109" s="9"/>
      <c r="F109" s="9"/>
      <c r="G109" s="10"/>
      <c r="H109" s="10"/>
      <c r="I109" s="11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7"/>
      <c r="B110" s="7"/>
      <c r="C110" s="5"/>
      <c r="D110" s="8"/>
      <c r="E110" s="9"/>
      <c r="F110" s="9"/>
      <c r="G110" s="10"/>
      <c r="H110" s="10"/>
      <c r="I110" s="11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7"/>
      <c r="B111" s="7"/>
      <c r="C111" s="5"/>
      <c r="D111" s="8"/>
      <c r="E111" s="9"/>
      <c r="F111" s="9"/>
      <c r="G111" s="10"/>
      <c r="H111" s="10"/>
      <c r="I111" s="11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7"/>
      <c r="B112" s="7"/>
      <c r="C112" s="5"/>
      <c r="D112" s="8"/>
      <c r="E112" s="9"/>
      <c r="F112" s="9"/>
      <c r="G112" s="10"/>
      <c r="H112" s="10"/>
      <c r="I112" s="11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7"/>
      <c r="B113" s="7"/>
      <c r="C113" s="5"/>
      <c r="D113" s="8"/>
      <c r="E113" s="9"/>
      <c r="F113" s="9"/>
      <c r="G113" s="10"/>
      <c r="H113" s="10"/>
      <c r="I113" s="11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7"/>
      <c r="B114" s="7"/>
      <c r="C114" s="5"/>
      <c r="D114" s="8"/>
      <c r="E114" s="9"/>
      <c r="F114" s="9"/>
      <c r="G114" s="10"/>
      <c r="H114" s="10"/>
      <c r="I114" s="11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7"/>
      <c r="B115" s="7"/>
      <c r="C115" s="5"/>
      <c r="D115" s="8"/>
      <c r="E115" s="9"/>
      <c r="F115" s="9"/>
      <c r="G115" s="10"/>
      <c r="H115" s="10"/>
      <c r="I115" s="11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7"/>
      <c r="B116" s="7"/>
      <c r="C116" s="5"/>
      <c r="D116" s="8"/>
      <c r="E116" s="9"/>
      <c r="F116" s="9"/>
      <c r="G116" s="10"/>
      <c r="H116" s="10"/>
      <c r="I116" s="11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7"/>
      <c r="B117" s="7"/>
      <c r="C117" s="5"/>
      <c r="D117" s="8"/>
      <c r="E117" s="9"/>
      <c r="F117" s="9"/>
      <c r="G117" s="10"/>
      <c r="H117" s="10"/>
      <c r="I117" s="11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7"/>
      <c r="B118" s="7"/>
      <c r="C118" s="5"/>
      <c r="D118" s="8"/>
      <c r="E118" s="9"/>
      <c r="F118" s="9"/>
      <c r="G118" s="10"/>
      <c r="H118" s="10"/>
      <c r="I118" s="11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7"/>
      <c r="B119" s="7"/>
      <c r="C119" s="5"/>
      <c r="D119" s="8"/>
      <c r="E119" s="9"/>
      <c r="F119" s="9"/>
      <c r="G119" s="10"/>
      <c r="H119" s="10"/>
      <c r="I119" s="11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7"/>
      <c r="B120" s="7"/>
      <c r="C120" s="5"/>
      <c r="D120" s="8"/>
      <c r="E120" s="9"/>
      <c r="F120" s="9"/>
      <c r="G120" s="10"/>
      <c r="H120" s="10"/>
      <c r="I120" s="11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7"/>
      <c r="B121" s="7"/>
      <c r="C121" s="5"/>
      <c r="D121" s="8"/>
      <c r="E121" s="9"/>
      <c r="F121" s="9"/>
      <c r="G121" s="10"/>
      <c r="H121" s="10"/>
      <c r="I121" s="11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7"/>
      <c r="B122" s="7"/>
      <c r="C122" s="5"/>
      <c r="D122" s="8"/>
      <c r="E122" s="9"/>
      <c r="F122" s="9"/>
      <c r="G122" s="10"/>
      <c r="H122" s="10"/>
      <c r="I122" s="11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7"/>
      <c r="B123" s="7"/>
      <c r="C123" s="5"/>
      <c r="D123" s="8"/>
      <c r="E123" s="9"/>
      <c r="F123" s="9"/>
      <c r="G123" s="10"/>
      <c r="H123" s="10"/>
      <c r="I123" s="11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7"/>
      <c r="B124" s="7"/>
      <c r="C124" s="5"/>
      <c r="D124" s="8"/>
      <c r="E124" s="9"/>
      <c r="F124" s="9"/>
      <c r="G124" s="10"/>
      <c r="H124" s="10"/>
      <c r="I124" s="11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7"/>
      <c r="B125" s="7"/>
      <c r="C125" s="5"/>
      <c r="D125" s="8"/>
      <c r="E125" s="9"/>
      <c r="F125" s="9"/>
      <c r="G125" s="10"/>
      <c r="H125" s="10"/>
      <c r="I125" s="11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7"/>
      <c r="B126" s="7"/>
      <c r="C126" s="5"/>
      <c r="D126" s="8"/>
      <c r="E126" s="9"/>
      <c r="F126" s="9"/>
      <c r="G126" s="10"/>
      <c r="H126" s="10"/>
      <c r="I126" s="11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7"/>
      <c r="B127" s="7"/>
      <c r="C127" s="5"/>
      <c r="D127" s="8"/>
      <c r="E127" s="9"/>
      <c r="F127" s="9"/>
      <c r="G127" s="10"/>
      <c r="H127" s="10"/>
      <c r="I127" s="11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7"/>
      <c r="B128" s="7"/>
      <c r="C128" s="5"/>
      <c r="D128" s="8"/>
      <c r="E128" s="9"/>
      <c r="F128" s="9"/>
      <c r="G128" s="10"/>
      <c r="H128" s="10"/>
      <c r="I128" s="11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7"/>
      <c r="B129" s="7"/>
      <c r="C129" s="5"/>
      <c r="D129" s="8"/>
      <c r="E129" s="9"/>
      <c r="F129" s="9"/>
      <c r="G129" s="10"/>
      <c r="H129" s="10"/>
      <c r="I129" s="11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7"/>
      <c r="B130" s="7"/>
      <c r="C130" s="5"/>
      <c r="D130" s="8"/>
      <c r="E130" s="9"/>
      <c r="F130" s="9"/>
      <c r="G130" s="10"/>
      <c r="H130" s="10"/>
      <c r="I130" s="11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7"/>
      <c r="B131" s="7"/>
      <c r="C131" s="5"/>
      <c r="D131" s="8"/>
      <c r="E131" s="9"/>
      <c r="F131" s="9"/>
      <c r="G131" s="10"/>
      <c r="H131" s="10"/>
      <c r="I131" s="11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7"/>
      <c r="B132" s="7"/>
      <c r="C132" s="5"/>
      <c r="D132" s="8"/>
      <c r="E132" s="9"/>
      <c r="F132" s="9"/>
      <c r="G132" s="10"/>
      <c r="H132" s="10"/>
      <c r="I132" s="11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7"/>
      <c r="B133" s="7"/>
      <c r="C133" s="5"/>
      <c r="D133" s="8"/>
      <c r="E133" s="9"/>
      <c r="F133" s="9"/>
      <c r="G133" s="10"/>
      <c r="H133" s="10"/>
      <c r="I133" s="11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7"/>
      <c r="B134" s="7"/>
      <c r="C134" s="5"/>
      <c r="D134" s="8"/>
      <c r="E134" s="9"/>
      <c r="F134" s="9"/>
      <c r="G134" s="10"/>
      <c r="H134" s="10"/>
      <c r="I134" s="11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7"/>
      <c r="B135" s="7"/>
      <c r="C135" s="5"/>
      <c r="D135" s="8"/>
      <c r="E135" s="9"/>
      <c r="F135" s="9"/>
      <c r="G135" s="10"/>
      <c r="H135" s="10"/>
      <c r="I135" s="11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7"/>
      <c r="B136" s="7"/>
      <c r="C136" s="5"/>
      <c r="D136" s="8"/>
      <c r="E136" s="9"/>
      <c r="F136" s="9"/>
      <c r="G136" s="10"/>
      <c r="H136" s="10"/>
      <c r="I136" s="11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7"/>
      <c r="B137" s="7"/>
      <c r="C137" s="5"/>
      <c r="D137" s="8"/>
      <c r="E137" s="9"/>
      <c r="F137" s="9"/>
      <c r="G137" s="10"/>
      <c r="H137" s="10"/>
      <c r="I137" s="11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7"/>
      <c r="B138" s="7"/>
      <c r="C138" s="5"/>
      <c r="D138" s="8"/>
      <c r="E138" s="9"/>
      <c r="F138" s="9"/>
      <c r="G138" s="10"/>
      <c r="H138" s="10"/>
      <c r="I138" s="11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7"/>
      <c r="B139" s="7"/>
      <c r="C139" s="5"/>
      <c r="D139" s="8"/>
      <c r="E139" s="9"/>
      <c r="F139" s="9"/>
      <c r="G139" s="10"/>
      <c r="H139" s="10"/>
      <c r="I139" s="11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7"/>
      <c r="B140" s="7"/>
      <c r="C140" s="5"/>
      <c r="D140" s="8"/>
      <c r="E140" s="9"/>
      <c r="F140" s="9"/>
      <c r="G140" s="10"/>
      <c r="H140" s="10"/>
      <c r="I140" s="11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7"/>
      <c r="B141" s="7"/>
      <c r="C141" s="5"/>
      <c r="D141" s="8"/>
      <c r="E141" s="9"/>
      <c r="F141" s="9"/>
      <c r="G141" s="10"/>
      <c r="H141" s="10"/>
      <c r="I141" s="11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7"/>
      <c r="B142" s="7"/>
      <c r="C142" s="5"/>
      <c r="D142" s="8"/>
      <c r="E142" s="9"/>
      <c r="F142" s="9"/>
      <c r="G142" s="10"/>
      <c r="H142" s="10"/>
      <c r="I142" s="11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7"/>
      <c r="B143" s="7"/>
      <c r="C143" s="5"/>
      <c r="D143" s="8"/>
      <c r="E143" s="9"/>
      <c r="F143" s="9"/>
      <c r="G143" s="10"/>
      <c r="H143" s="10"/>
      <c r="I143" s="11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7"/>
      <c r="B144" s="7"/>
      <c r="C144" s="5"/>
      <c r="D144" s="8"/>
      <c r="E144" s="9"/>
      <c r="F144" s="9"/>
      <c r="G144" s="10"/>
      <c r="H144" s="10"/>
      <c r="I144" s="11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7"/>
      <c r="B145" s="7"/>
      <c r="C145" s="5"/>
      <c r="D145" s="8"/>
      <c r="E145" s="9"/>
      <c r="F145" s="9"/>
      <c r="G145" s="10"/>
      <c r="H145" s="10"/>
      <c r="I145" s="11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7"/>
      <c r="B146" s="7"/>
      <c r="C146" s="5"/>
      <c r="D146" s="8"/>
      <c r="E146" s="9"/>
      <c r="F146" s="9"/>
      <c r="G146" s="10"/>
      <c r="H146" s="10"/>
      <c r="I146" s="11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7"/>
      <c r="B147" s="7"/>
      <c r="C147" s="5"/>
      <c r="D147" s="8"/>
      <c r="E147" s="9"/>
      <c r="F147" s="9"/>
      <c r="G147" s="10"/>
      <c r="H147" s="10"/>
      <c r="I147" s="11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7"/>
      <c r="B148" s="7"/>
      <c r="C148" s="5"/>
      <c r="D148" s="8"/>
      <c r="E148" s="9"/>
      <c r="F148" s="9"/>
      <c r="G148" s="10"/>
      <c r="H148" s="10"/>
      <c r="I148" s="11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7"/>
      <c r="B149" s="7"/>
      <c r="C149" s="5"/>
      <c r="D149" s="8"/>
      <c r="E149" s="9"/>
      <c r="F149" s="9"/>
      <c r="G149" s="10"/>
      <c r="H149" s="10"/>
      <c r="I149" s="11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7"/>
      <c r="B150" s="7"/>
      <c r="C150" s="5"/>
      <c r="D150" s="8"/>
      <c r="E150" s="9"/>
      <c r="F150" s="9"/>
      <c r="G150" s="10"/>
      <c r="H150" s="10"/>
      <c r="I150" s="11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7"/>
      <c r="B151" s="7"/>
      <c r="C151" s="5"/>
      <c r="D151" s="8"/>
      <c r="E151" s="9"/>
      <c r="F151" s="9"/>
      <c r="G151" s="10"/>
      <c r="H151" s="10"/>
      <c r="I151" s="11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7"/>
      <c r="B152" s="7"/>
      <c r="C152" s="5"/>
      <c r="D152" s="8"/>
      <c r="E152" s="9"/>
      <c r="F152" s="9"/>
      <c r="G152" s="10"/>
      <c r="H152" s="10"/>
      <c r="I152" s="11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7"/>
      <c r="B153" s="7"/>
      <c r="C153" s="5"/>
      <c r="D153" s="8"/>
      <c r="E153" s="9"/>
      <c r="F153" s="9"/>
      <c r="G153" s="10"/>
      <c r="H153" s="10"/>
      <c r="I153" s="11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7"/>
      <c r="B154" s="7"/>
      <c r="C154" s="5"/>
      <c r="D154" s="8"/>
      <c r="E154" s="9"/>
      <c r="F154" s="9"/>
      <c r="G154" s="10"/>
      <c r="H154" s="10"/>
      <c r="I154" s="11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7"/>
      <c r="B155" s="7"/>
      <c r="C155" s="5"/>
      <c r="D155" s="8"/>
      <c r="E155" s="9"/>
      <c r="F155" s="9"/>
      <c r="G155" s="10"/>
      <c r="H155" s="10"/>
      <c r="I155" s="11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7"/>
      <c r="B156" s="7"/>
      <c r="C156" s="5"/>
      <c r="D156" s="8"/>
      <c r="E156" s="9"/>
      <c r="F156" s="9"/>
      <c r="G156" s="10"/>
      <c r="H156" s="10"/>
      <c r="I156" s="11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7"/>
      <c r="B157" s="7"/>
      <c r="C157" s="5"/>
      <c r="D157" s="8"/>
      <c r="E157" s="9"/>
      <c r="F157" s="9"/>
      <c r="G157" s="10"/>
      <c r="H157" s="10"/>
      <c r="I157" s="11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7"/>
      <c r="B158" s="7"/>
      <c r="C158" s="5"/>
      <c r="D158" s="8"/>
      <c r="E158" s="9"/>
      <c r="F158" s="9"/>
      <c r="G158" s="10"/>
      <c r="H158" s="10"/>
      <c r="I158" s="11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7"/>
      <c r="B159" s="7"/>
      <c r="C159" s="5"/>
      <c r="D159" s="8"/>
      <c r="E159" s="9"/>
      <c r="F159" s="9"/>
      <c r="G159" s="10"/>
      <c r="H159" s="10"/>
      <c r="I159" s="11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7"/>
      <c r="B160" s="7"/>
      <c r="C160" s="5"/>
      <c r="D160" s="8"/>
      <c r="E160" s="9"/>
      <c r="F160" s="9"/>
      <c r="G160" s="10"/>
      <c r="H160" s="10"/>
      <c r="I160" s="11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7"/>
      <c r="B161" s="7"/>
      <c r="C161" s="5"/>
      <c r="D161" s="8"/>
      <c r="E161" s="9"/>
      <c r="F161" s="9"/>
      <c r="G161" s="10"/>
      <c r="H161" s="10"/>
      <c r="I161" s="11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7"/>
      <c r="B162" s="7"/>
      <c r="C162" s="5"/>
      <c r="D162" s="8"/>
      <c r="E162" s="9"/>
      <c r="F162" s="9"/>
      <c r="G162" s="10"/>
      <c r="H162" s="10"/>
      <c r="I162" s="11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7"/>
      <c r="B163" s="7"/>
      <c r="C163" s="5"/>
      <c r="D163" s="8"/>
      <c r="E163" s="9"/>
      <c r="F163" s="9"/>
      <c r="G163" s="10"/>
      <c r="H163" s="10"/>
      <c r="I163" s="11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7"/>
      <c r="B164" s="7"/>
      <c r="C164" s="5"/>
      <c r="D164" s="8"/>
      <c r="E164" s="9"/>
      <c r="F164" s="9"/>
      <c r="G164" s="10"/>
      <c r="H164" s="10"/>
      <c r="I164" s="11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7"/>
      <c r="B165" s="7"/>
      <c r="C165" s="5"/>
      <c r="D165" s="8"/>
      <c r="E165" s="9"/>
      <c r="F165" s="9"/>
      <c r="G165" s="10"/>
      <c r="H165" s="10"/>
      <c r="I165" s="11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7"/>
      <c r="B166" s="7"/>
      <c r="C166" s="5"/>
      <c r="D166" s="8"/>
      <c r="E166" s="9"/>
      <c r="F166" s="9"/>
      <c r="G166" s="10"/>
      <c r="H166" s="10"/>
      <c r="I166" s="11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7"/>
      <c r="B167" s="7"/>
      <c r="C167" s="5"/>
      <c r="D167" s="8"/>
      <c r="E167" s="9"/>
      <c r="F167" s="9"/>
      <c r="G167" s="10"/>
      <c r="H167" s="10"/>
      <c r="I167" s="11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7"/>
      <c r="B168" s="7"/>
      <c r="C168" s="5"/>
      <c r="D168" s="8"/>
      <c r="E168" s="9"/>
      <c r="F168" s="9"/>
      <c r="G168" s="10"/>
      <c r="H168" s="10"/>
      <c r="I168" s="11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7"/>
      <c r="B169" s="7"/>
      <c r="C169" s="5"/>
      <c r="D169" s="8"/>
      <c r="E169" s="9"/>
      <c r="F169" s="9"/>
      <c r="G169" s="10"/>
      <c r="H169" s="10"/>
      <c r="I169" s="11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7"/>
      <c r="B170" s="7"/>
      <c r="C170" s="5"/>
      <c r="D170" s="8"/>
      <c r="E170" s="9"/>
      <c r="F170" s="9"/>
      <c r="G170" s="10"/>
      <c r="H170" s="10"/>
      <c r="I170" s="11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7"/>
      <c r="B171" s="7"/>
      <c r="C171" s="5"/>
      <c r="D171" s="8"/>
      <c r="E171" s="9"/>
      <c r="F171" s="9"/>
      <c r="G171" s="10"/>
      <c r="H171" s="10"/>
      <c r="I171" s="11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7"/>
      <c r="B172" s="7"/>
      <c r="C172" s="5"/>
      <c r="D172" s="8"/>
      <c r="E172" s="9"/>
      <c r="F172" s="9"/>
      <c r="G172" s="10"/>
      <c r="H172" s="10"/>
      <c r="I172" s="11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7"/>
      <c r="B173" s="7"/>
      <c r="C173" s="5"/>
      <c r="D173" s="8"/>
      <c r="E173" s="9"/>
      <c r="F173" s="9"/>
      <c r="G173" s="10"/>
      <c r="H173" s="10"/>
      <c r="I173" s="11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7"/>
      <c r="B174" s="7"/>
      <c r="C174" s="5"/>
      <c r="D174" s="8"/>
      <c r="E174" s="9"/>
      <c r="F174" s="9"/>
      <c r="G174" s="10"/>
      <c r="H174" s="10"/>
      <c r="I174" s="11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7"/>
      <c r="B175" s="7"/>
      <c r="C175" s="5"/>
      <c r="D175" s="8"/>
      <c r="E175" s="9"/>
      <c r="F175" s="9"/>
      <c r="G175" s="10"/>
      <c r="H175" s="10"/>
      <c r="I175" s="11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7"/>
      <c r="B176" s="7"/>
      <c r="C176" s="5"/>
      <c r="D176" s="8"/>
      <c r="E176" s="9"/>
      <c r="F176" s="9"/>
      <c r="G176" s="10"/>
      <c r="H176" s="10"/>
      <c r="I176" s="11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7"/>
      <c r="B177" s="7"/>
      <c r="C177" s="5"/>
      <c r="D177" s="8"/>
      <c r="E177" s="9"/>
      <c r="F177" s="9"/>
      <c r="G177" s="10"/>
      <c r="H177" s="10"/>
      <c r="I177" s="11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7"/>
      <c r="B178" s="7"/>
      <c r="C178" s="5"/>
      <c r="D178" s="8"/>
      <c r="E178" s="9"/>
      <c r="F178" s="9"/>
      <c r="G178" s="10"/>
      <c r="H178" s="10"/>
      <c r="I178" s="11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7"/>
      <c r="B179" s="7"/>
      <c r="C179" s="5"/>
      <c r="D179" s="8"/>
      <c r="E179" s="9"/>
      <c r="F179" s="9"/>
      <c r="G179" s="10"/>
      <c r="H179" s="10"/>
      <c r="I179" s="11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7"/>
      <c r="B180" s="7"/>
      <c r="C180" s="5"/>
      <c r="D180" s="8"/>
      <c r="E180" s="9"/>
      <c r="F180" s="9"/>
      <c r="G180" s="10"/>
      <c r="H180" s="10"/>
      <c r="I180" s="11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7"/>
      <c r="B181" s="7"/>
      <c r="C181" s="5"/>
      <c r="D181" s="8"/>
      <c r="E181" s="9"/>
      <c r="F181" s="9"/>
      <c r="G181" s="10"/>
      <c r="H181" s="10"/>
      <c r="I181" s="11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7"/>
      <c r="B182" s="7"/>
      <c r="C182" s="5"/>
      <c r="D182" s="8"/>
      <c r="E182" s="9"/>
      <c r="F182" s="9"/>
      <c r="G182" s="10"/>
      <c r="H182" s="10"/>
      <c r="I182" s="11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7"/>
      <c r="B183" s="7"/>
      <c r="C183" s="5"/>
      <c r="D183" s="8"/>
      <c r="E183" s="9"/>
      <c r="F183" s="9"/>
      <c r="G183" s="10"/>
      <c r="H183" s="10"/>
      <c r="I183" s="11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7"/>
      <c r="B184" s="7"/>
      <c r="C184" s="5"/>
      <c r="D184" s="8"/>
      <c r="E184" s="9"/>
      <c r="F184" s="9"/>
      <c r="G184" s="10"/>
      <c r="H184" s="10"/>
      <c r="I184" s="11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7"/>
      <c r="B185" s="7"/>
      <c r="C185" s="5"/>
      <c r="D185" s="8"/>
      <c r="E185" s="9"/>
      <c r="F185" s="9"/>
      <c r="G185" s="10"/>
      <c r="H185" s="10"/>
      <c r="I185" s="11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7"/>
      <c r="B186" s="7"/>
      <c r="C186" s="5"/>
      <c r="D186" s="8"/>
      <c r="E186" s="9"/>
      <c r="F186" s="9"/>
      <c r="G186" s="10"/>
      <c r="H186" s="10"/>
      <c r="I186" s="11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7"/>
      <c r="B187" s="7"/>
      <c r="C187" s="5"/>
      <c r="D187" s="8"/>
      <c r="E187" s="9"/>
      <c r="F187" s="9"/>
      <c r="G187" s="10"/>
      <c r="H187" s="10"/>
      <c r="I187" s="11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7"/>
      <c r="B188" s="7"/>
      <c r="C188" s="5"/>
      <c r="D188" s="8"/>
      <c r="E188" s="9"/>
      <c r="F188" s="9"/>
      <c r="G188" s="10"/>
      <c r="H188" s="10"/>
      <c r="I188" s="11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7"/>
      <c r="B189" s="7"/>
      <c r="C189" s="5"/>
      <c r="D189" s="8"/>
      <c r="E189" s="9"/>
      <c r="F189" s="9"/>
      <c r="G189" s="10"/>
      <c r="H189" s="10"/>
      <c r="I189" s="11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7"/>
      <c r="B190" s="7"/>
      <c r="C190" s="5"/>
      <c r="D190" s="8"/>
      <c r="E190" s="9"/>
      <c r="F190" s="9"/>
      <c r="G190" s="10"/>
      <c r="H190" s="10"/>
      <c r="I190" s="11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7"/>
      <c r="B191" s="7"/>
      <c r="C191" s="5"/>
      <c r="D191" s="8"/>
      <c r="E191" s="9"/>
      <c r="F191" s="9"/>
      <c r="G191" s="10"/>
      <c r="H191" s="10"/>
      <c r="I191" s="11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7"/>
      <c r="B192" s="7"/>
      <c r="C192" s="5"/>
      <c r="D192" s="8"/>
      <c r="E192" s="9"/>
      <c r="F192" s="9"/>
      <c r="G192" s="10"/>
      <c r="H192" s="10"/>
      <c r="I192" s="11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7"/>
      <c r="B193" s="7"/>
      <c r="C193" s="5"/>
      <c r="D193" s="8"/>
      <c r="E193" s="9"/>
      <c r="F193" s="9"/>
      <c r="G193" s="10"/>
      <c r="H193" s="10"/>
      <c r="I193" s="11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7"/>
      <c r="B194" s="7"/>
      <c r="C194" s="5"/>
      <c r="D194" s="8"/>
      <c r="E194" s="9"/>
      <c r="F194" s="9"/>
      <c r="G194" s="10"/>
      <c r="H194" s="10"/>
      <c r="I194" s="11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7"/>
      <c r="B195" s="7"/>
      <c r="C195" s="5"/>
      <c r="D195" s="8"/>
      <c r="E195" s="9"/>
      <c r="F195" s="9"/>
      <c r="G195" s="10"/>
      <c r="H195" s="10"/>
      <c r="I195" s="11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7"/>
      <c r="B196" s="7"/>
      <c r="C196" s="5"/>
      <c r="D196" s="8"/>
      <c r="E196" s="9"/>
      <c r="F196" s="9"/>
      <c r="G196" s="10"/>
      <c r="H196" s="10"/>
      <c r="I196" s="11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7"/>
      <c r="B197" s="7"/>
      <c r="C197" s="5"/>
      <c r="D197" s="8"/>
      <c r="E197" s="9"/>
      <c r="F197" s="9"/>
      <c r="G197" s="10"/>
      <c r="H197" s="10"/>
      <c r="I197" s="11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7"/>
      <c r="B198" s="7"/>
      <c r="C198" s="5"/>
      <c r="D198" s="8"/>
      <c r="E198" s="9"/>
      <c r="F198" s="9"/>
      <c r="G198" s="10"/>
      <c r="H198" s="10"/>
      <c r="I198" s="11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7"/>
      <c r="B199" s="7"/>
      <c r="C199" s="5"/>
      <c r="D199" s="8"/>
      <c r="E199" s="9"/>
      <c r="F199" s="9"/>
      <c r="G199" s="10"/>
      <c r="H199" s="10"/>
      <c r="I199" s="11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7"/>
      <c r="B200" s="7"/>
      <c r="C200" s="5"/>
      <c r="D200" s="8"/>
      <c r="E200" s="9"/>
      <c r="F200" s="9"/>
      <c r="G200" s="10"/>
      <c r="H200" s="10"/>
      <c r="I200" s="11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7"/>
      <c r="B201" s="7"/>
      <c r="C201" s="5"/>
      <c r="D201" s="8"/>
      <c r="E201" s="9"/>
      <c r="F201" s="9"/>
      <c r="G201" s="10"/>
      <c r="H201" s="10"/>
      <c r="I201" s="11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7"/>
      <c r="B202" s="7"/>
      <c r="C202" s="5"/>
      <c r="D202" s="8"/>
      <c r="E202" s="9"/>
      <c r="F202" s="9"/>
      <c r="G202" s="10"/>
      <c r="H202" s="10"/>
      <c r="I202" s="11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7"/>
      <c r="B203" s="7"/>
      <c r="C203" s="5"/>
      <c r="D203" s="8"/>
      <c r="E203" s="9"/>
      <c r="F203" s="9"/>
      <c r="G203" s="10"/>
      <c r="H203" s="10"/>
      <c r="I203" s="11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7"/>
      <c r="B204" s="7"/>
      <c r="C204" s="5"/>
      <c r="D204" s="8"/>
      <c r="E204" s="9"/>
      <c r="F204" s="9"/>
      <c r="G204" s="10"/>
      <c r="H204" s="10"/>
      <c r="I204" s="11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7"/>
      <c r="B205" s="7"/>
      <c r="C205" s="5"/>
      <c r="D205" s="8"/>
      <c r="E205" s="9"/>
      <c r="F205" s="9"/>
      <c r="G205" s="10"/>
      <c r="H205" s="10"/>
      <c r="I205" s="11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7"/>
      <c r="B206" s="7"/>
      <c r="C206" s="5"/>
      <c r="D206" s="8"/>
      <c r="E206" s="9"/>
      <c r="F206" s="9"/>
      <c r="G206" s="10"/>
      <c r="H206" s="10"/>
      <c r="I206" s="11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7"/>
      <c r="B207" s="7"/>
      <c r="C207" s="5"/>
      <c r="D207" s="8"/>
      <c r="E207" s="9"/>
      <c r="F207" s="9"/>
      <c r="G207" s="10"/>
      <c r="H207" s="10"/>
      <c r="I207" s="11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7"/>
      <c r="B208" s="7"/>
      <c r="C208" s="5"/>
      <c r="D208" s="8"/>
      <c r="E208" s="9"/>
      <c r="F208" s="9"/>
      <c r="G208" s="10"/>
      <c r="H208" s="10"/>
      <c r="I208" s="11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7"/>
      <c r="B209" s="7"/>
      <c r="C209" s="5"/>
      <c r="D209" s="8"/>
      <c r="E209" s="9"/>
      <c r="F209" s="9"/>
      <c r="G209" s="10"/>
      <c r="H209" s="10"/>
      <c r="I209" s="11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7"/>
      <c r="B210" s="7"/>
      <c r="C210" s="5"/>
      <c r="D210" s="8"/>
      <c r="E210" s="9"/>
      <c r="F210" s="9"/>
      <c r="G210" s="10"/>
      <c r="H210" s="10"/>
      <c r="I210" s="11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7"/>
      <c r="B211" s="7"/>
      <c r="C211" s="5"/>
      <c r="D211" s="8"/>
      <c r="E211" s="9"/>
      <c r="F211" s="9"/>
      <c r="G211" s="10"/>
      <c r="H211" s="10"/>
      <c r="I211" s="11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7"/>
      <c r="B212" s="7"/>
      <c r="C212" s="5"/>
      <c r="D212" s="8"/>
      <c r="E212" s="9"/>
      <c r="F212" s="9"/>
      <c r="G212" s="10"/>
      <c r="H212" s="10"/>
      <c r="I212" s="11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7"/>
      <c r="B213" s="7"/>
      <c r="C213" s="5"/>
      <c r="D213" s="8"/>
      <c r="E213" s="9"/>
      <c r="F213" s="9"/>
      <c r="G213" s="10"/>
      <c r="H213" s="10"/>
      <c r="I213" s="11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7"/>
      <c r="B214" s="7"/>
      <c r="C214" s="5"/>
      <c r="D214" s="8"/>
      <c r="E214" s="9"/>
      <c r="F214" s="9"/>
      <c r="G214" s="10"/>
      <c r="H214" s="10"/>
      <c r="I214" s="11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7"/>
      <c r="B215" s="7"/>
      <c r="C215" s="5"/>
      <c r="D215" s="8"/>
      <c r="E215" s="9"/>
      <c r="F215" s="9"/>
      <c r="G215" s="10"/>
      <c r="H215" s="10"/>
      <c r="I215" s="11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7"/>
      <c r="B216" s="7"/>
      <c r="C216" s="5"/>
      <c r="D216" s="8"/>
      <c r="E216" s="9"/>
      <c r="F216" s="9"/>
      <c r="G216" s="10"/>
      <c r="H216" s="10"/>
      <c r="I216" s="11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7"/>
      <c r="B217" s="7"/>
      <c r="C217" s="5"/>
      <c r="D217" s="8"/>
      <c r="E217" s="9"/>
      <c r="F217" s="9"/>
      <c r="G217" s="10"/>
      <c r="H217" s="10"/>
      <c r="I217" s="11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7"/>
      <c r="B218" s="7"/>
      <c r="C218" s="5"/>
      <c r="D218" s="8"/>
      <c r="E218" s="9"/>
      <c r="F218" s="9"/>
      <c r="G218" s="10"/>
      <c r="H218" s="10"/>
      <c r="I218" s="11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7"/>
      <c r="B219" s="7"/>
      <c r="C219" s="5"/>
      <c r="D219" s="8"/>
      <c r="E219" s="9"/>
      <c r="F219" s="9"/>
      <c r="G219" s="10"/>
      <c r="H219" s="10"/>
      <c r="I219" s="11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7"/>
      <c r="B220" s="7"/>
      <c r="C220" s="5"/>
      <c r="D220" s="8"/>
      <c r="E220" s="9"/>
      <c r="F220" s="9"/>
      <c r="G220" s="10"/>
      <c r="H220" s="10"/>
      <c r="I220" s="11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7"/>
      <c r="B221" s="7"/>
      <c r="C221" s="5"/>
      <c r="D221" s="8"/>
      <c r="E221" s="9"/>
      <c r="F221" s="9"/>
      <c r="G221" s="10"/>
      <c r="H221" s="10"/>
      <c r="I221" s="11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7"/>
      <c r="B222" s="7"/>
      <c r="C222" s="5"/>
      <c r="D222" s="8"/>
      <c r="E222" s="9"/>
      <c r="F222" s="9"/>
      <c r="G222" s="10"/>
      <c r="H222" s="10"/>
      <c r="I222" s="11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7"/>
      <c r="B223" s="7"/>
      <c r="C223" s="5"/>
      <c r="D223" s="8"/>
      <c r="E223" s="9"/>
      <c r="F223" s="9"/>
      <c r="G223" s="10"/>
      <c r="H223" s="10"/>
      <c r="I223" s="11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7"/>
      <c r="B224" s="7"/>
      <c r="C224" s="5"/>
      <c r="D224" s="8"/>
      <c r="E224" s="9"/>
      <c r="F224" s="9"/>
      <c r="G224" s="10"/>
      <c r="H224" s="10"/>
      <c r="I224" s="11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7"/>
      <c r="B225" s="7"/>
      <c r="C225" s="5"/>
      <c r="D225" s="8"/>
      <c r="E225" s="9"/>
      <c r="F225" s="9"/>
      <c r="G225" s="10"/>
      <c r="H225" s="10"/>
      <c r="I225" s="11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7"/>
      <c r="B226" s="7"/>
      <c r="C226" s="5"/>
      <c r="D226" s="8"/>
      <c r="E226" s="9"/>
      <c r="F226" s="9"/>
      <c r="G226" s="10"/>
      <c r="H226" s="10"/>
      <c r="I226" s="11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7"/>
      <c r="B227" s="7"/>
      <c r="C227" s="5"/>
      <c r="D227" s="8"/>
      <c r="E227" s="9"/>
      <c r="F227" s="9"/>
      <c r="G227" s="10"/>
      <c r="H227" s="10"/>
      <c r="I227" s="11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7"/>
      <c r="B228" s="7"/>
      <c r="C228" s="5"/>
      <c r="D228" s="8"/>
      <c r="E228" s="9"/>
      <c r="F228" s="9"/>
      <c r="G228" s="10"/>
      <c r="H228" s="10"/>
      <c r="I228" s="11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7"/>
      <c r="B229" s="7"/>
      <c r="C229" s="5"/>
      <c r="D229" s="8"/>
      <c r="E229" s="9"/>
      <c r="F229" s="9"/>
      <c r="G229" s="10"/>
      <c r="H229" s="10"/>
      <c r="I229" s="11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7"/>
      <c r="B230" s="7"/>
      <c r="C230" s="5"/>
      <c r="D230" s="8"/>
      <c r="E230" s="9"/>
      <c r="F230" s="9"/>
      <c r="G230" s="10"/>
      <c r="H230" s="10"/>
      <c r="I230" s="11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7"/>
      <c r="B231" s="7"/>
      <c r="C231" s="5"/>
      <c r="D231" s="8"/>
      <c r="E231" s="9"/>
      <c r="F231" s="9"/>
      <c r="G231" s="10"/>
      <c r="H231" s="10"/>
      <c r="I231" s="11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7"/>
      <c r="B232" s="7"/>
      <c r="C232" s="5"/>
      <c r="D232" s="8"/>
      <c r="E232" s="9"/>
      <c r="F232" s="9"/>
      <c r="G232" s="10"/>
      <c r="H232" s="10"/>
      <c r="I232" s="11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7"/>
      <c r="B233" s="7"/>
      <c r="C233" s="5"/>
      <c r="D233" s="8"/>
      <c r="E233" s="9"/>
      <c r="F233" s="9"/>
      <c r="G233" s="10"/>
      <c r="H233" s="10"/>
      <c r="I233" s="11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7"/>
      <c r="B234" s="7"/>
      <c r="C234" s="5"/>
      <c r="D234" s="8"/>
      <c r="E234" s="9"/>
      <c r="F234" s="9"/>
      <c r="G234" s="10"/>
      <c r="H234" s="10"/>
      <c r="I234" s="11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7"/>
      <c r="B235" s="7"/>
      <c r="C235" s="5"/>
      <c r="D235" s="8"/>
      <c r="E235" s="9"/>
      <c r="F235" s="9"/>
      <c r="G235" s="10"/>
      <c r="H235" s="10"/>
      <c r="I235" s="11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7"/>
      <c r="B236" s="7"/>
      <c r="C236" s="5"/>
      <c r="D236" s="8"/>
      <c r="E236" s="9"/>
      <c r="F236" s="9"/>
      <c r="G236" s="10"/>
      <c r="H236" s="10"/>
      <c r="I236" s="11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7"/>
      <c r="B237" s="7"/>
      <c r="C237" s="5"/>
      <c r="D237" s="8"/>
      <c r="E237" s="9"/>
      <c r="F237" s="9"/>
      <c r="G237" s="10"/>
      <c r="H237" s="10"/>
      <c r="I237" s="11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7"/>
      <c r="B238" s="7"/>
      <c r="C238" s="5"/>
      <c r="D238" s="8"/>
      <c r="E238" s="9"/>
      <c r="F238" s="9"/>
      <c r="G238" s="10"/>
      <c r="H238" s="10"/>
      <c r="I238" s="11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7"/>
      <c r="B239" s="7"/>
      <c r="C239" s="5"/>
      <c r="D239" s="8"/>
      <c r="E239" s="9"/>
      <c r="F239" s="9"/>
      <c r="G239" s="10"/>
      <c r="H239" s="10"/>
      <c r="I239" s="11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7"/>
      <c r="B240" s="7"/>
      <c r="C240" s="5"/>
      <c r="D240" s="8"/>
      <c r="E240" s="9"/>
      <c r="F240" s="9"/>
      <c r="G240" s="10"/>
      <c r="H240" s="10"/>
      <c r="I240" s="11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7"/>
      <c r="B241" s="7"/>
      <c r="C241" s="5"/>
      <c r="D241" s="8"/>
      <c r="E241" s="9"/>
      <c r="F241" s="9"/>
      <c r="G241" s="10"/>
      <c r="H241" s="10"/>
      <c r="I241" s="11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7"/>
      <c r="B242" s="7"/>
      <c r="C242" s="5"/>
      <c r="D242" s="8"/>
      <c r="E242" s="9"/>
      <c r="F242" s="9"/>
      <c r="G242" s="10"/>
      <c r="H242" s="10"/>
      <c r="I242" s="11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7"/>
      <c r="B243" s="7"/>
      <c r="C243" s="5"/>
      <c r="D243" s="8"/>
      <c r="E243" s="9"/>
      <c r="F243" s="9"/>
      <c r="G243" s="10"/>
      <c r="H243" s="10"/>
      <c r="I243" s="11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7"/>
      <c r="B244" s="7"/>
      <c r="C244" s="5"/>
      <c r="D244" s="8"/>
      <c r="E244" s="9"/>
      <c r="F244" s="9"/>
      <c r="G244" s="10"/>
      <c r="H244" s="10"/>
      <c r="I244" s="11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7"/>
      <c r="B245" s="7"/>
      <c r="C245" s="5"/>
      <c r="D245" s="8"/>
      <c r="E245" s="9"/>
      <c r="F245" s="9"/>
      <c r="G245" s="10"/>
      <c r="H245" s="10"/>
      <c r="I245" s="11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7"/>
      <c r="B246" s="7"/>
      <c r="C246" s="5"/>
      <c r="D246" s="8"/>
      <c r="E246" s="9"/>
      <c r="F246" s="9"/>
      <c r="G246" s="10"/>
      <c r="H246" s="10"/>
      <c r="I246" s="11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7"/>
      <c r="B247" s="7"/>
      <c r="C247" s="5"/>
      <c r="D247" s="8"/>
      <c r="E247" s="9"/>
      <c r="F247" s="9"/>
      <c r="G247" s="10"/>
      <c r="H247" s="10"/>
      <c r="I247" s="11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7"/>
      <c r="B248" s="7"/>
      <c r="C248" s="5"/>
      <c r="D248" s="8"/>
      <c r="E248" s="9"/>
      <c r="F248" s="9"/>
      <c r="G248" s="10"/>
      <c r="H248" s="10"/>
      <c r="I248" s="11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7"/>
      <c r="B249" s="7"/>
      <c r="C249" s="5"/>
      <c r="D249" s="8"/>
      <c r="E249" s="9"/>
      <c r="F249" s="9"/>
      <c r="G249" s="10"/>
      <c r="H249" s="10"/>
      <c r="I249" s="11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7"/>
      <c r="B250" s="7"/>
      <c r="C250" s="5"/>
      <c r="D250" s="8"/>
      <c r="E250" s="9"/>
      <c r="F250" s="9"/>
      <c r="G250" s="10"/>
      <c r="H250" s="10"/>
      <c r="I250" s="11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7"/>
      <c r="B251" s="7"/>
      <c r="C251" s="5"/>
      <c r="D251" s="8"/>
      <c r="E251" s="9"/>
      <c r="F251" s="9"/>
      <c r="G251" s="10"/>
      <c r="H251" s="10"/>
      <c r="I251" s="11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7"/>
      <c r="B252" s="7"/>
      <c r="C252" s="5"/>
      <c r="D252" s="8"/>
      <c r="E252" s="9"/>
      <c r="F252" s="9"/>
      <c r="G252" s="10"/>
      <c r="H252" s="10"/>
      <c r="I252" s="11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7"/>
      <c r="B253" s="7"/>
      <c r="C253" s="5"/>
      <c r="D253" s="8"/>
      <c r="E253" s="9"/>
      <c r="F253" s="9"/>
      <c r="G253" s="10"/>
      <c r="H253" s="10"/>
      <c r="I253" s="11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7"/>
      <c r="B254" s="7"/>
      <c r="C254" s="5"/>
      <c r="D254" s="8"/>
      <c r="E254" s="9"/>
      <c r="F254" s="9"/>
      <c r="G254" s="10"/>
      <c r="H254" s="10"/>
      <c r="I254" s="11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7"/>
      <c r="B255" s="7"/>
      <c r="C255" s="5"/>
      <c r="D255" s="8"/>
      <c r="E255" s="9"/>
      <c r="F255" s="9"/>
      <c r="G255" s="10"/>
      <c r="H255" s="10"/>
      <c r="I255" s="11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7"/>
      <c r="B256" s="7"/>
      <c r="C256" s="5"/>
      <c r="D256" s="8"/>
      <c r="E256" s="9"/>
      <c r="F256" s="9"/>
      <c r="G256" s="10"/>
      <c r="H256" s="10"/>
      <c r="I256" s="11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7"/>
      <c r="B257" s="7"/>
      <c r="C257" s="5"/>
      <c r="D257" s="8"/>
      <c r="E257" s="9"/>
      <c r="F257" s="9"/>
      <c r="G257" s="10"/>
      <c r="H257" s="10"/>
      <c r="I257" s="11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7"/>
      <c r="B258" s="7"/>
      <c r="C258" s="5"/>
      <c r="D258" s="8"/>
      <c r="E258" s="9"/>
      <c r="F258" s="9"/>
      <c r="G258" s="10"/>
      <c r="H258" s="10"/>
      <c r="I258" s="11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7"/>
      <c r="B259" s="7"/>
      <c r="C259" s="5"/>
      <c r="D259" s="8"/>
      <c r="E259" s="9"/>
      <c r="F259" s="9"/>
      <c r="G259" s="10"/>
      <c r="H259" s="10"/>
      <c r="I259" s="11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7"/>
      <c r="B260" s="7"/>
      <c r="C260" s="5"/>
      <c r="D260" s="8"/>
      <c r="E260" s="9"/>
      <c r="F260" s="9"/>
      <c r="G260" s="10"/>
      <c r="H260" s="10"/>
      <c r="I260" s="11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7"/>
      <c r="B261" s="7"/>
      <c r="C261" s="5"/>
      <c r="D261" s="8"/>
      <c r="E261" s="9"/>
      <c r="F261" s="9"/>
      <c r="G261" s="10"/>
      <c r="H261" s="10"/>
      <c r="I261" s="11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7"/>
      <c r="B262" s="7"/>
      <c r="C262" s="5"/>
      <c r="D262" s="8"/>
      <c r="E262" s="9"/>
      <c r="F262" s="9"/>
      <c r="G262" s="10"/>
      <c r="H262" s="10"/>
      <c r="I262" s="11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7"/>
      <c r="B263" s="7"/>
      <c r="C263" s="5"/>
      <c r="D263" s="8"/>
      <c r="E263" s="9"/>
      <c r="F263" s="9"/>
      <c r="G263" s="10"/>
      <c r="H263" s="10"/>
      <c r="I263" s="11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7"/>
      <c r="B264" s="7"/>
      <c r="C264" s="5"/>
      <c r="D264" s="8"/>
      <c r="E264" s="9"/>
      <c r="F264" s="9"/>
      <c r="G264" s="10"/>
      <c r="H264" s="10"/>
      <c r="I264" s="11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7"/>
      <c r="B265" s="7"/>
      <c r="C265" s="5"/>
      <c r="D265" s="8"/>
      <c r="E265" s="9"/>
      <c r="F265" s="9"/>
      <c r="G265" s="10"/>
      <c r="H265" s="10"/>
      <c r="I265" s="11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7"/>
      <c r="B266" s="7"/>
      <c r="C266" s="5"/>
      <c r="D266" s="8"/>
      <c r="E266" s="9"/>
      <c r="F266" s="9"/>
      <c r="G266" s="10"/>
      <c r="H266" s="10"/>
      <c r="I266" s="11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7"/>
      <c r="B267" s="7"/>
      <c r="C267" s="5"/>
      <c r="D267" s="8"/>
      <c r="E267" s="9"/>
      <c r="F267" s="9"/>
      <c r="G267" s="10"/>
      <c r="H267" s="10"/>
      <c r="I267" s="11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7"/>
      <c r="B268" s="7"/>
      <c r="C268" s="5"/>
      <c r="D268" s="8"/>
      <c r="E268" s="9"/>
      <c r="F268" s="9"/>
      <c r="G268" s="10"/>
      <c r="H268" s="10"/>
      <c r="I268" s="11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7"/>
      <c r="B269" s="7"/>
      <c r="C269" s="5"/>
      <c r="D269" s="8"/>
      <c r="E269" s="9"/>
      <c r="F269" s="9"/>
      <c r="G269" s="10"/>
      <c r="H269" s="10"/>
      <c r="I269" s="11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7"/>
      <c r="B270" s="7"/>
      <c r="C270" s="5"/>
      <c r="D270" s="8"/>
      <c r="E270" s="9"/>
      <c r="F270" s="9"/>
      <c r="G270" s="10"/>
      <c r="H270" s="10"/>
      <c r="I270" s="11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7"/>
      <c r="B271" s="7"/>
      <c r="C271" s="5"/>
      <c r="D271" s="8"/>
      <c r="E271" s="9"/>
      <c r="F271" s="9"/>
      <c r="G271" s="10"/>
      <c r="H271" s="10"/>
      <c r="I271" s="11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7"/>
      <c r="B272" s="7"/>
      <c r="C272" s="5"/>
      <c r="D272" s="8"/>
      <c r="E272" s="9"/>
      <c r="F272" s="9"/>
      <c r="G272" s="10"/>
      <c r="H272" s="10"/>
      <c r="I272" s="11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7"/>
      <c r="B273" s="7"/>
      <c r="C273" s="5"/>
      <c r="D273" s="8"/>
      <c r="E273" s="9"/>
      <c r="F273" s="9"/>
      <c r="G273" s="10"/>
      <c r="H273" s="10"/>
      <c r="I273" s="11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7"/>
      <c r="B274" s="7"/>
      <c r="C274" s="5"/>
      <c r="D274" s="8"/>
      <c r="E274" s="9"/>
      <c r="F274" s="9"/>
      <c r="G274" s="10"/>
      <c r="H274" s="10"/>
      <c r="I274" s="11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7"/>
      <c r="B275" s="7"/>
      <c r="C275" s="5"/>
      <c r="D275" s="8"/>
      <c r="E275" s="9"/>
      <c r="F275" s="9"/>
      <c r="G275" s="10"/>
      <c r="H275" s="10"/>
      <c r="I275" s="11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7"/>
      <c r="B276" s="7"/>
      <c r="C276" s="5"/>
      <c r="D276" s="8"/>
      <c r="E276" s="9"/>
      <c r="F276" s="9"/>
      <c r="G276" s="10"/>
      <c r="H276" s="10"/>
      <c r="I276" s="11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7"/>
      <c r="B277" s="7"/>
      <c r="C277" s="5"/>
      <c r="D277" s="8"/>
      <c r="E277" s="9"/>
      <c r="F277" s="9"/>
      <c r="G277" s="10"/>
      <c r="H277" s="10"/>
      <c r="I277" s="11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7"/>
      <c r="B278" s="7"/>
      <c r="C278" s="5"/>
      <c r="D278" s="8"/>
      <c r="E278" s="9"/>
      <c r="F278" s="9"/>
      <c r="G278" s="10"/>
      <c r="H278" s="10"/>
      <c r="I278" s="11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7"/>
      <c r="B279" s="7"/>
      <c r="C279" s="5"/>
      <c r="D279" s="8"/>
      <c r="E279" s="9"/>
      <c r="F279" s="9"/>
      <c r="G279" s="10"/>
      <c r="H279" s="10"/>
      <c r="I279" s="11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7"/>
      <c r="B280" s="7"/>
      <c r="C280" s="5"/>
      <c r="D280" s="8"/>
      <c r="E280" s="9"/>
      <c r="F280" s="9"/>
      <c r="G280" s="10"/>
      <c r="H280" s="10"/>
      <c r="I280" s="11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7"/>
      <c r="B281" s="7"/>
      <c r="C281" s="5"/>
      <c r="D281" s="8"/>
      <c r="E281" s="9"/>
      <c r="F281" s="9"/>
      <c r="G281" s="10"/>
      <c r="H281" s="10"/>
      <c r="I281" s="11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7"/>
      <c r="B282" s="7"/>
      <c r="C282" s="5"/>
      <c r="D282" s="8"/>
      <c r="E282" s="9"/>
      <c r="F282" s="9"/>
      <c r="G282" s="10"/>
      <c r="H282" s="10"/>
      <c r="I282" s="11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7"/>
      <c r="B283" s="7"/>
      <c r="C283" s="5"/>
      <c r="D283" s="8"/>
      <c r="E283" s="9"/>
      <c r="F283" s="9"/>
      <c r="G283" s="10"/>
      <c r="H283" s="10"/>
      <c r="I283" s="11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7"/>
      <c r="B284" s="7"/>
      <c r="C284" s="5"/>
      <c r="D284" s="8"/>
      <c r="E284" s="9"/>
      <c r="F284" s="9"/>
      <c r="G284" s="10"/>
      <c r="H284" s="10"/>
      <c r="I284" s="11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7"/>
      <c r="B285" s="7"/>
      <c r="C285" s="5"/>
      <c r="D285" s="8"/>
      <c r="E285" s="9"/>
      <c r="F285" s="9"/>
      <c r="G285" s="10"/>
      <c r="H285" s="10"/>
      <c r="I285" s="11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7"/>
      <c r="B286" s="7"/>
      <c r="C286" s="5"/>
      <c r="D286" s="8"/>
      <c r="E286" s="9"/>
      <c r="F286" s="9"/>
      <c r="G286" s="10"/>
      <c r="H286" s="10"/>
      <c r="I286" s="11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7"/>
      <c r="B287" s="7"/>
      <c r="C287" s="5"/>
      <c r="D287" s="8"/>
      <c r="E287" s="9"/>
      <c r="F287" s="9"/>
      <c r="G287" s="10"/>
      <c r="H287" s="10"/>
      <c r="I287" s="11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7"/>
      <c r="B288" s="7"/>
      <c r="C288" s="5"/>
      <c r="D288" s="8"/>
      <c r="E288" s="9"/>
      <c r="F288" s="9"/>
      <c r="G288" s="10"/>
      <c r="H288" s="10"/>
      <c r="I288" s="11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7"/>
      <c r="B289" s="7"/>
      <c r="C289" s="5"/>
      <c r="D289" s="8"/>
      <c r="E289" s="9"/>
      <c r="F289" s="9"/>
      <c r="G289" s="10"/>
      <c r="H289" s="10"/>
      <c r="I289" s="11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7"/>
      <c r="B290" s="7"/>
      <c r="C290" s="5"/>
      <c r="D290" s="8"/>
      <c r="E290" s="9"/>
      <c r="F290" s="9"/>
      <c r="G290" s="10"/>
      <c r="H290" s="10"/>
      <c r="I290" s="11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7"/>
      <c r="B291" s="7"/>
      <c r="C291" s="5"/>
      <c r="D291" s="8"/>
      <c r="E291" s="9"/>
      <c r="F291" s="9"/>
      <c r="G291" s="10"/>
      <c r="H291" s="10"/>
      <c r="I291" s="11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7"/>
      <c r="B292" s="7"/>
      <c r="C292" s="5"/>
      <c r="D292" s="8"/>
      <c r="E292" s="9"/>
      <c r="F292" s="9"/>
      <c r="G292" s="10"/>
      <c r="H292" s="10"/>
      <c r="I292" s="11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7"/>
      <c r="B293" s="7"/>
      <c r="C293" s="5"/>
      <c r="D293" s="8"/>
      <c r="E293" s="9"/>
      <c r="F293" s="9"/>
      <c r="G293" s="10"/>
      <c r="H293" s="10"/>
      <c r="I293" s="11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7"/>
      <c r="B294" s="7"/>
      <c r="C294" s="5"/>
      <c r="D294" s="8"/>
      <c r="E294" s="9"/>
      <c r="F294" s="9"/>
      <c r="G294" s="10"/>
      <c r="H294" s="10"/>
      <c r="I294" s="11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7"/>
      <c r="B295" s="7"/>
      <c r="C295" s="5"/>
      <c r="D295" s="8"/>
      <c r="E295" s="9"/>
      <c r="F295" s="9"/>
      <c r="G295" s="10"/>
      <c r="H295" s="10"/>
      <c r="I295" s="11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7"/>
      <c r="B296" s="7"/>
      <c r="C296" s="5"/>
      <c r="D296" s="8"/>
      <c r="E296" s="9"/>
      <c r="F296" s="9"/>
      <c r="G296" s="10"/>
      <c r="H296" s="10"/>
      <c r="I296" s="11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7"/>
      <c r="B297" s="7"/>
      <c r="C297" s="5"/>
      <c r="D297" s="8"/>
      <c r="E297" s="9"/>
      <c r="F297" s="9"/>
      <c r="G297" s="10"/>
      <c r="H297" s="10"/>
      <c r="I297" s="11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7"/>
      <c r="B298" s="7"/>
      <c r="C298" s="5"/>
      <c r="D298" s="8"/>
      <c r="E298" s="9"/>
      <c r="F298" s="9"/>
      <c r="G298" s="10"/>
      <c r="H298" s="10"/>
      <c r="I298" s="11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7"/>
      <c r="B299" s="7"/>
      <c r="C299" s="5"/>
      <c r="D299" s="8"/>
      <c r="E299" s="9"/>
      <c r="F299" s="9"/>
      <c r="G299" s="10"/>
      <c r="H299" s="10"/>
      <c r="I299" s="11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7"/>
      <c r="B300" s="7"/>
      <c r="C300" s="5"/>
      <c r="D300" s="8"/>
      <c r="E300" s="9"/>
      <c r="F300" s="9"/>
      <c r="G300" s="10"/>
      <c r="H300" s="10"/>
      <c r="I300" s="11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7"/>
      <c r="B301" s="7"/>
      <c r="C301" s="5"/>
      <c r="D301" s="8"/>
      <c r="E301" s="9"/>
      <c r="F301" s="9"/>
      <c r="G301" s="10"/>
      <c r="H301" s="10"/>
      <c r="I301" s="11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7"/>
      <c r="B302" s="7"/>
      <c r="C302" s="5"/>
      <c r="D302" s="8"/>
      <c r="E302" s="9"/>
      <c r="F302" s="9"/>
      <c r="G302" s="10"/>
      <c r="H302" s="10"/>
      <c r="I302" s="11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7"/>
      <c r="B303" s="7"/>
      <c r="C303" s="5"/>
      <c r="D303" s="8"/>
      <c r="E303" s="9"/>
      <c r="F303" s="9"/>
      <c r="G303" s="10"/>
      <c r="H303" s="10"/>
      <c r="I303" s="11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7"/>
      <c r="B304" s="7"/>
      <c r="C304" s="5"/>
      <c r="D304" s="8"/>
      <c r="E304" s="9"/>
      <c r="F304" s="9"/>
      <c r="G304" s="10"/>
      <c r="H304" s="10"/>
      <c r="I304" s="11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7"/>
      <c r="B305" s="7"/>
      <c r="C305" s="5"/>
      <c r="D305" s="8"/>
      <c r="E305" s="9"/>
      <c r="F305" s="9"/>
      <c r="G305" s="10"/>
      <c r="H305" s="10"/>
      <c r="I305" s="11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7"/>
      <c r="B306" s="7"/>
      <c r="C306" s="5"/>
      <c r="D306" s="8"/>
      <c r="E306" s="9"/>
      <c r="F306" s="9"/>
      <c r="G306" s="10"/>
      <c r="H306" s="10"/>
      <c r="I306" s="11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7"/>
      <c r="B307" s="7"/>
      <c r="C307" s="5"/>
      <c r="D307" s="8"/>
      <c r="E307" s="9"/>
      <c r="F307" s="9"/>
      <c r="G307" s="10"/>
      <c r="H307" s="10"/>
      <c r="I307" s="11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7"/>
      <c r="B308" s="7"/>
      <c r="C308" s="5"/>
      <c r="D308" s="8"/>
      <c r="E308" s="9"/>
      <c r="F308" s="9"/>
      <c r="G308" s="10"/>
      <c r="H308" s="10"/>
      <c r="I308" s="11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7"/>
      <c r="B309" s="7"/>
      <c r="C309" s="5"/>
      <c r="D309" s="8"/>
      <c r="E309" s="9"/>
      <c r="F309" s="9"/>
      <c r="G309" s="10"/>
      <c r="H309" s="10"/>
      <c r="I309" s="11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7"/>
      <c r="B310" s="7"/>
      <c r="C310" s="5"/>
      <c r="D310" s="8"/>
      <c r="E310" s="9"/>
      <c r="F310" s="9"/>
      <c r="G310" s="10"/>
      <c r="H310" s="10"/>
      <c r="I310" s="11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7"/>
      <c r="B311" s="7"/>
      <c r="C311" s="5"/>
      <c r="D311" s="8"/>
      <c r="E311" s="9"/>
      <c r="F311" s="9"/>
      <c r="G311" s="10"/>
      <c r="H311" s="10"/>
      <c r="I311" s="11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7"/>
      <c r="B312" s="7"/>
      <c r="C312" s="5"/>
      <c r="D312" s="8"/>
      <c r="E312" s="9"/>
      <c r="F312" s="9"/>
      <c r="G312" s="10"/>
      <c r="H312" s="10"/>
      <c r="I312" s="11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7"/>
      <c r="B313" s="7"/>
      <c r="C313" s="5"/>
      <c r="D313" s="8"/>
      <c r="E313" s="9"/>
      <c r="F313" s="9"/>
      <c r="G313" s="10"/>
      <c r="H313" s="10"/>
      <c r="I313" s="11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7"/>
      <c r="B314" s="7"/>
      <c r="C314" s="5"/>
      <c r="D314" s="8"/>
      <c r="E314" s="9"/>
      <c r="F314" s="9"/>
      <c r="G314" s="10"/>
      <c r="H314" s="10"/>
      <c r="I314" s="11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7"/>
      <c r="B315" s="7"/>
      <c r="C315" s="5"/>
      <c r="D315" s="8"/>
      <c r="E315" s="9"/>
      <c r="F315" s="9"/>
      <c r="G315" s="10"/>
      <c r="H315" s="10"/>
      <c r="I315" s="11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7"/>
      <c r="B316" s="7"/>
      <c r="C316" s="5"/>
      <c r="D316" s="8"/>
      <c r="E316" s="9"/>
      <c r="F316" s="9"/>
      <c r="G316" s="10"/>
      <c r="H316" s="10"/>
      <c r="I316" s="11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7"/>
      <c r="B317" s="7"/>
      <c r="C317" s="5"/>
      <c r="D317" s="8"/>
      <c r="E317" s="9"/>
      <c r="F317" s="9"/>
      <c r="G317" s="10"/>
      <c r="H317" s="10"/>
      <c r="I317" s="11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7"/>
      <c r="B318" s="7"/>
      <c r="C318" s="5"/>
      <c r="D318" s="8"/>
      <c r="E318" s="9"/>
      <c r="F318" s="9"/>
      <c r="G318" s="10"/>
      <c r="H318" s="10"/>
      <c r="I318" s="11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7"/>
      <c r="B319" s="7"/>
      <c r="C319" s="5"/>
      <c r="D319" s="8"/>
      <c r="E319" s="9"/>
      <c r="F319" s="9"/>
      <c r="G319" s="10"/>
      <c r="H319" s="10"/>
      <c r="I319" s="11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7"/>
      <c r="B320" s="7"/>
      <c r="C320" s="5"/>
      <c r="D320" s="8"/>
      <c r="E320" s="9"/>
      <c r="F320" s="9"/>
      <c r="G320" s="10"/>
      <c r="H320" s="10"/>
      <c r="I320" s="11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7"/>
      <c r="B321" s="7"/>
      <c r="C321" s="5"/>
      <c r="D321" s="8"/>
      <c r="E321" s="9"/>
      <c r="F321" s="9"/>
      <c r="G321" s="10"/>
      <c r="H321" s="10"/>
      <c r="I321" s="11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7"/>
      <c r="B322" s="7"/>
      <c r="C322" s="5"/>
      <c r="D322" s="8"/>
      <c r="E322" s="9"/>
      <c r="F322" s="9"/>
      <c r="G322" s="10"/>
      <c r="H322" s="10"/>
      <c r="I322" s="11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7"/>
      <c r="B323" s="7"/>
      <c r="C323" s="5"/>
      <c r="D323" s="8"/>
      <c r="E323" s="9"/>
      <c r="F323" s="9"/>
      <c r="G323" s="10"/>
      <c r="H323" s="10"/>
      <c r="I323" s="11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7"/>
      <c r="B324" s="7"/>
      <c r="C324" s="5"/>
      <c r="D324" s="8"/>
      <c r="E324" s="9"/>
      <c r="F324" s="9"/>
      <c r="G324" s="10"/>
      <c r="H324" s="10"/>
      <c r="I324" s="11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7"/>
      <c r="B325" s="7"/>
      <c r="C325" s="5"/>
      <c r="D325" s="8"/>
      <c r="E325" s="9"/>
      <c r="F325" s="9"/>
      <c r="G325" s="10"/>
      <c r="H325" s="10"/>
      <c r="I325" s="11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7"/>
      <c r="B326" s="7"/>
      <c r="C326" s="5"/>
      <c r="D326" s="8"/>
      <c r="E326" s="9"/>
      <c r="F326" s="9"/>
      <c r="G326" s="10"/>
      <c r="H326" s="10"/>
      <c r="I326" s="11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7"/>
      <c r="B327" s="7"/>
      <c r="C327" s="5"/>
      <c r="D327" s="8"/>
      <c r="E327" s="9"/>
      <c r="F327" s="9"/>
      <c r="G327" s="10"/>
      <c r="H327" s="10"/>
      <c r="I327" s="11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7"/>
      <c r="B328" s="7"/>
      <c r="C328" s="5"/>
      <c r="D328" s="8"/>
      <c r="E328" s="9"/>
      <c r="F328" s="9"/>
      <c r="G328" s="10"/>
      <c r="H328" s="10"/>
      <c r="I328" s="11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7"/>
      <c r="B329" s="7"/>
      <c r="C329" s="5"/>
      <c r="D329" s="8"/>
      <c r="E329" s="9"/>
      <c r="F329" s="9"/>
      <c r="G329" s="10"/>
      <c r="H329" s="10"/>
      <c r="I329" s="11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7"/>
      <c r="B330" s="7"/>
      <c r="C330" s="5"/>
      <c r="D330" s="8"/>
      <c r="E330" s="9"/>
      <c r="F330" s="9"/>
      <c r="G330" s="10"/>
      <c r="H330" s="10"/>
      <c r="I330" s="11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7"/>
      <c r="B331" s="7"/>
      <c r="C331" s="5"/>
      <c r="D331" s="8"/>
      <c r="E331" s="9"/>
      <c r="F331" s="9"/>
      <c r="G331" s="10"/>
      <c r="H331" s="10"/>
      <c r="I331" s="11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7"/>
      <c r="B332" s="7"/>
      <c r="C332" s="5"/>
      <c r="D332" s="8"/>
      <c r="E332" s="9"/>
      <c r="F332" s="9"/>
      <c r="G332" s="10"/>
      <c r="H332" s="10"/>
      <c r="I332" s="11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7"/>
      <c r="B333" s="7"/>
      <c r="C333" s="5"/>
      <c r="D333" s="8"/>
      <c r="E333" s="9"/>
      <c r="F333" s="9"/>
      <c r="G333" s="10"/>
      <c r="H333" s="10"/>
      <c r="I333" s="11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7"/>
      <c r="B334" s="7"/>
      <c r="C334" s="5"/>
      <c r="D334" s="8"/>
      <c r="E334" s="9"/>
      <c r="F334" s="9"/>
      <c r="G334" s="10"/>
      <c r="H334" s="10"/>
      <c r="I334" s="11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7"/>
      <c r="B335" s="7"/>
      <c r="C335" s="5"/>
      <c r="D335" s="8"/>
      <c r="E335" s="9"/>
      <c r="F335" s="9"/>
      <c r="G335" s="10"/>
      <c r="H335" s="10"/>
      <c r="I335" s="11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7"/>
      <c r="B336" s="7"/>
      <c r="C336" s="5"/>
      <c r="D336" s="8"/>
      <c r="E336" s="9"/>
      <c r="F336" s="9"/>
      <c r="G336" s="10"/>
      <c r="H336" s="10"/>
      <c r="I336" s="11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7"/>
      <c r="B337" s="7"/>
      <c r="C337" s="5"/>
      <c r="D337" s="8"/>
      <c r="E337" s="9"/>
      <c r="F337" s="9"/>
      <c r="G337" s="10"/>
      <c r="H337" s="10"/>
      <c r="I337" s="11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7"/>
      <c r="B338" s="7"/>
      <c r="C338" s="5"/>
      <c r="D338" s="8"/>
      <c r="E338" s="9"/>
      <c r="F338" s="9"/>
      <c r="G338" s="10"/>
      <c r="H338" s="10"/>
      <c r="I338" s="11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7"/>
      <c r="B339" s="7"/>
      <c r="C339" s="5"/>
      <c r="D339" s="8"/>
      <c r="E339" s="9"/>
      <c r="F339" s="9"/>
      <c r="G339" s="10"/>
      <c r="H339" s="10"/>
      <c r="I339" s="11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7"/>
      <c r="B340" s="7"/>
      <c r="C340" s="5"/>
      <c r="D340" s="8"/>
      <c r="E340" s="9"/>
      <c r="F340" s="9"/>
      <c r="G340" s="10"/>
      <c r="H340" s="10"/>
      <c r="I340" s="11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7"/>
      <c r="B341" s="7"/>
      <c r="C341" s="5"/>
      <c r="D341" s="8"/>
      <c r="E341" s="9"/>
      <c r="F341" s="9"/>
      <c r="G341" s="10"/>
      <c r="H341" s="10"/>
      <c r="I341" s="11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7"/>
      <c r="B342" s="7"/>
      <c r="C342" s="5"/>
      <c r="D342" s="8"/>
      <c r="E342" s="9"/>
      <c r="F342" s="9"/>
      <c r="G342" s="10"/>
      <c r="H342" s="10"/>
      <c r="I342" s="11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7"/>
      <c r="B343" s="7"/>
      <c r="C343" s="5"/>
      <c r="D343" s="8"/>
      <c r="E343" s="9"/>
      <c r="F343" s="9"/>
      <c r="G343" s="10"/>
      <c r="H343" s="10"/>
      <c r="I343" s="11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7"/>
      <c r="B344" s="7"/>
      <c r="C344" s="5"/>
      <c r="D344" s="8"/>
      <c r="E344" s="9"/>
      <c r="F344" s="9"/>
      <c r="G344" s="10"/>
      <c r="H344" s="10"/>
      <c r="I344" s="11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7"/>
      <c r="B345" s="7"/>
      <c r="C345" s="5"/>
      <c r="D345" s="8"/>
      <c r="E345" s="9"/>
      <c r="F345" s="9"/>
      <c r="G345" s="10"/>
      <c r="H345" s="10"/>
      <c r="I345" s="11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7"/>
      <c r="B346" s="7"/>
      <c r="C346" s="5"/>
      <c r="D346" s="8"/>
      <c r="E346" s="9"/>
      <c r="F346" s="9"/>
      <c r="G346" s="10"/>
      <c r="H346" s="10"/>
      <c r="I346" s="11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7"/>
      <c r="B347" s="7"/>
      <c r="C347" s="5"/>
      <c r="D347" s="8"/>
      <c r="E347" s="9"/>
      <c r="F347" s="9"/>
      <c r="G347" s="10"/>
      <c r="H347" s="10"/>
      <c r="I347" s="11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7"/>
      <c r="B348" s="7"/>
      <c r="C348" s="5"/>
      <c r="D348" s="8"/>
      <c r="E348" s="9"/>
      <c r="F348" s="9"/>
      <c r="G348" s="10"/>
      <c r="H348" s="10"/>
      <c r="I348" s="11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7"/>
      <c r="B349" s="7"/>
      <c r="C349" s="5"/>
      <c r="D349" s="8"/>
      <c r="E349" s="9"/>
      <c r="F349" s="9"/>
      <c r="G349" s="10"/>
      <c r="H349" s="10"/>
      <c r="I349" s="11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7"/>
      <c r="B350" s="7"/>
      <c r="C350" s="5"/>
      <c r="D350" s="8"/>
      <c r="E350" s="9"/>
      <c r="F350" s="9"/>
      <c r="G350" s="10"/>
      <c r="H350" s="10"/>
      <c r="I350" s="11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7"/>
      <c r="B351" s="7"/>
      <c r="C351" s="5"/>
      <c r="D351" s="8"/>
      <c r="E351" s="9"/>
      <c r="F351" s="9"/>
      <c r="G351" s="10"/>
      <c r="H351" s="10"/>
      <c r="I351" s="11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7"/>
      <c r="B352" s="7"/>
      <c r="C352" s="5"/>
      <c r="D352" s="8"/>
      <c r="E352" s="9"/>
      <c r="F352" s="9"/>
      <c r="G352" s="10"/>
      <c r="H352" s="10"/>
      <c r="I352" s="11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7"/>
      <c r="B353" s="7"/>
      <c r="C353" s="5"/>
      <c r="D353" s="8"/>
      <c r="E353" s="9"/>
      <c r="F353" s="9"/>
      <c r="G353" s="10"/>
      <c r="H353" s="10"/>
      <c r="I353" s="11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7"/>
      <c r="B354" s="7"/>
      <c r="C354" s="5"/>
      <c r="D354" s="8"/>
      <c r="E354" s="9"/>
      <c r="F354" s="9"/>
      <c r="G354" s="10"/>
      <c r="H354" s="10"/>
      <c r="I354" s="11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7"/>
      <c r="B355" s="7"/>
      <c r="C355" s="5"/>
      <c r="D355" s="8"/>
      <c r="E355" s="9"/>
      <c r="F355" s="9"/>
      <c r="G355" s="10"/>
      <c r="H355" s="10"/>
      <c r="I355" s="11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7"/>
      <c r="B356" s="7"/>
      <c r="C356" s="5"/>
      <c r="D356" s="8"/>
      <c r="E356" s="9"/>
      <c r="F356" s="9"/>
      <c r="G356" s="10"/>
      <c r="H356" s="10"/>
      <c r="I356" s="11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7"/>
      <c r="B357" s="7"/>
      <c r="C357" s="5"/>
      <c r="D357" s="8"/>
      <c r="E357" s="9"/>
      <c r="F357" s="9"/>
      <c r="G357" s="10"/>
      <c r="H357" s="10"/>
      <c r="I357" s="11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7"/>
      <c r="B358" s="7"/>
      <c r="C358" s="5"/>
      <c r="D358" s="8"/>
      <c r="E358" s="9"/>
      <c r="F358" s="9"/>
      <c r="G358" s="10"/>
      <c r="H358" s="10"/>
      <c r="I358" s="11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7"/>
      <c r="B359" s="7"/>
      <c r="C359" s="5"/>
      <c r="D359" s="8"/>
      <c r="E359" s="9"/>
      <c r="F359" s="9"/>
      <c r="G359" s="10"/>
      <c r="H359" s="10"/>
      <c r="I359" s="11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7"/>
      <c r="B360" s="7"/>
      <c r="C360" s="5"/>
      <c r="D360" s="8"/>
      <c r="E360" s="9"/>
      <c r="F360" s="9"/>
      <c r="G360" s="10"/>
      <c r="H360" s="10"/>
      <c r="I360" s="11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7"/>
      <c r="B361" s="7"/>
      <c r="C361" s="5"/>
      <c r="D361" s="8"/>
      <c r="E361" s="9"/>
      <c r="F361" s="9"/>
      <c r="G361" s="10"/>
      <c r="H361" s="10"/>
      <c r="I361" s="11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7"/>
      <c r="B362" s="7"/>
      <c r="C362" s="5"/>
      <c r="D362" s="8"/>
      <c r="E362" s="9"/>
      <c r="F362" s="9"/>
      <c r="G362" s="10"/>
      <c r="H362" s="10"/>
      <c r="I362" s="11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7"/>
      <c r="B363" s="7"/>
      <c r="C363" s="5"/>
      <c r="D363" s="8"/>
      <c r="E363" s="9"/>
      <c r="F363" s="9"/>
      <c r="G363" s="10"/>
      <c r="H363" s="10"/>
      <c r="I363" s="11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7"/>
      <c r="B364" s="7"/>
      <c r="C364" s="5"/>
      <c r="D364" s="8"/>
      <c r="E364" s="9"/>
      <c r="F364" s="9"/>
      <c r="G364" s="10"/>
      <c r="H364" s="10"/>
      <c r="I364" s="11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7"/>
      <c r="B365" s="7"/>
      <c r="C365" s="5"/>
      <c r="D365" s="8"/>
      <c r="E365" s="9"/>
      <c r="F365" s="9"/>
      <c r="G365" s="10"/>
      <c r="H365" s="10"/>
      <c r="I365" s="11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7"/>
      <c r="B366" s="7"/>
      <c r="C366" s="5"/>
      <c r="D366" s="8"/>
      <c r="E366" s="9"/>
      <c r="F366" s="9"/>
      <c r="G366" s="10"/>
      <c r="H366" s="10"/>
      <c r="I366" s="11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7"/>
      <c r="B367" s="7"/>
      <c r="C367" s="5"/>
      <c r="D367" s="8"/>
      <c r="E367" s="9"/>
      <c r="F367" s="9"/>
      <c r="G367" s="10"/>
      <c r="H367" s="10"/>
      <c r="I367" s="11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7"/>
      <c r="B368" s="7"/>
      <c r="C368" s="5"/>
      <c r="D368" s="8"/>
      <c r="E368" s="9"/>
      <c r="F368" s="9"/>
      <c r="G368" s="10"/>
      <c r="H368" s="10"/>
      <c r="I368" s="11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7"/>
      <c r="B369" s="7"/>
      <c r="C369" s="5"/>
      <c r="D369" s="8"/>
      <c r="E369" s="9"/>
      <c r="F369" s="9"/>
      <c r="G369" s="10"/>
      <c r="H369" s="10"/>
      <c r="I369" s="11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7"/>
      <c r="B370" s="7"/>
      <c r="C370" s="5"/>
      <c r="D370" s="8"/>
      <c r="E370" s="9"/>
      <c r="F370" s="9"/>
      <c r="G370" s="10"/>
      <c r="H370" s="10"/>
      <c r="I370" s="11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7"/>
      <c r="B371" s="7"/>
      <c r="C371" s="5"/>
      <c r="D371" s="8"/>
      <c r="E371" s="9"/>
      <c r="F371" s="9"/>
      <c r="G371" s="10"/>
      <c r="H371" s="10"/>
      <c r="I371" s="11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7"/>
      <c r="B372" s="7"/>
      <c r="C372" s="5"/>
      <c r="D372" s="8"/>
      <c r="E372" s="9"/>
      <c r="F372" s="9"/>
      <c r="G372" s="10"/>
      <c r="H372" s="10"/>
      <c r="I372" s="11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7"/>
      <c r="B373" s="7"/>
      <c r="C373" s="5"/>
      <c r="D373" s="8"/>
      <c r="E373" s="9"/>
      <c r="F373" s="9"/>
      <c r="G373" s="10"/>
      <c r="H373" s="10"/>
      <c r="I373" s="11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7"/>
      <c r="B374" s="7"/>
      <c r="C374" s="5"/>
      <c r="D374" s="8"/>
      <c r="E374" s="9"/>
      <c r="F374" s="9"/>
      <c r="G374" s="10"/>
      <c r="H374" s="10"/>
      <c r="I374" s="11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7"/>
      <c r="B375" s="7"/>
      <c r="C375" s="5"/>
      <c r="D375" s="8"/>
      <c r="E375" s="9"/>
      <c r="F375" s="9"/>
      <c r="G375" s="10"/>
      <c r="H375" s="10"/>
      <c r="I375" s="11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7"/>
      <c r="B376" s="7"/>
      <c r="C376" s="5"/>
      <c r="D376" s="8"/>
      <c r="E376" s="9"/>
      <c r="F376" s="9"/>
      <c r="G376" s="10"/>
      <c r="H376" s="10"/>
      <c r="I376" s="11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7"/>
      <c r="B377" s="7"/>
      <c r="C377" s="5"/>
      <c r="D377" s="8"/>
      <c r="E377" s="9"/>
      <c r="F377" s="9"/>
      <c r="G377" s="10"/>
      <c r="H377" s="10"/>
      <c r="I377" s="11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7"/>
      <c r="B378" s="7"/>
      <c r="C378" s="5"/>
      <c r="D378" s="8"/>
      <c r="E378" s="9"/>
      <c r="F378" s="9"/>
      <c r="G378" s="10"/>
      <c r="H378" s="10"/>
      <c r="I378" s="11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7"/>
      <c r="B379" s="7"/>
      <c r="C379" s="5"/>
      <c r="D379" s="8"/>
      <c r="E379" s="9"/>
      <c r="F379" s="9"/>
      <c r="G379" s="10"/>
      <c r="H379" s="10"/>
      <c r="I379" s="11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7"/>
      <c r="B380" s="7"/>
      <c r="C380" s="5"/>
      <c r="D380" s="8"/>
      <c r="E380" s="9"/>
      <c r="F380" s="9"/>
      <c r="G380" s="10"/>
      <c r="H380" s="10"/>
      <c r="I380" s="11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7"/>
      <c r="B381" s="7"/>
      <c r="C381" s="5"/>
      <c r="D381" s="8"/>
      <c r="E381" s="9"/>
      <c r="F381" s="9"/>
      <c r="G381" s="10"/>
      <c r="H381" s="10"/>
      <c r="I381" s="11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7"/>
      <c r="B382" s="7"/>
      <c r="C382" s="5"/>
      <c r="D382" s="8"/>
      <c r="E382" s="9"/>
      <c r="F382" s="9"/>
      <c r="G382" s="10"/>
      <c r="H382" s="10"/>
      <c r="I382" s="11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7"/>
      <c r="B383" s="7"/>
      <c r="C383" s="5"/>
      <c r="D383" s="8"/>
      <c r="E383" s="9"/>
      <c r="F383" s="9"/>
      <c r="G383" s="10"/>
      <c r="H383" s="10"/>
      <c r="I383" s="11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7"/>
      <c r="B384" s="7"/>
      <c r="C384" s="5"/>
      <c r="D384" s="8"/>
      <c r="E384" s="9"/>
      <c r="F384" s="9"/>
      <c r="G384" s="10"/>
      <c r="H384" s="10"/>
      <c r="I384" s="11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7"/>
      <c r="B385" s="7"/>
      <c r="C385" s="5"/>
      <c r="D385" s="8"/>
      <c r="E385" s="9"/>
      <c r="F385" s="9"/>
      <c r="G385" s="10"/>
      <c r="H385" s="10"/>
      <c r="I385" s="11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7"/>
      <c r="B386" s="7"/>
      <c r="C386" s="5"/>
      <c r="D386" s="8"/>
      <c r="E386" s="9"/>
      <c r="F386" s="9"/>
      <c r="G386" s="10"/>
      <c r="H386" s="10"/>
      <c r="I386" s="11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7"/>
      <c r="B387" s="7"/>
      <c r="C387" s="5"/>
      <c r="D387" s="8"/>
      <c r="E387" s="9"/>
      <c r="F387" s="9"/>
      <c r="G387" s="10"/>
      <c r="H387" s="10"/>
      <c r="I387" s="11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7"/>
      <c r="B388" s="7"/>
      <c r="C388" s="5"/>
      <c r="D388" s="8"/>
      <c r="E388" s="9"/>
      <c r="F388" s="9"/>
      <c r="G388" s="10"/>
      <c r="H388" s="10"/>
      <c r="I388" s="11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7"/>
      <c r="B389" s="7"/>
      <c r="C389" s="5"/>
      <c r="D389" s="8"/>
      <c r="E389" s="9"/>
      <c r="F389" s="9"/>
      <c r="G389" s="10"/>
      <c r="H389" s="10"/>
      <c r="I389" s="11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7"/>
      <c r="B390" s="7"/>
      <c r="C390" s="5"/>
      <c r="D390" s="8"/>
      <c r="E390" s="9"/>
      <c r="F390" s="9"/>
      <c r="G390" s="10"/>
      <c r="H390" s="10"/>
      <c r="I390" s="11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7"/>
      <c r="B391" s="7"/>
      <c r="C391" s="5"/>
      <c r="D391" s="8"/>
      <c r="E391" s="9"/>
      <c r="F391" s="9"/>
      <c r="G391" s="10"/>
      <c r="H391" s="10"/>
      <c r="I391" s="11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7"/>
      <c r="B392" s="7"/>
      <c r="C392" s="5"/>
      <c r="D392" s="8"/>
      <c r="E392" s="9"/>
      <c r="F392" s="9"/>
      <c r="G392" s="10"/>
      <c r="H392" s="10"/>
      <c r="I392" s="11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7"/>
      <c r="B393" s="7"/>
      <c r="C393" s="5"/>
      <c r="D393" s="8"/>
      <c r="E393" s="9"/>
      <c r="F393" s="9"/>
      <c r="G393" s="10"/>
      <c r="H393" s="10"/>
      <c r="I393" s="11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7"/>
      <c r="B394" s="7"/>
      <c r="C394" s="5"/>
      <c r="D394" s="8"/>
      <c r="E394" s="9"/>
      <c r="F394" s="9"/>
      <c r="G394" s="10"/>
      <c r="H394" s="10"/>
      <c r="I394" s="11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7"/>
      <c r="B395" s="7"/>
      <c r="C395" s="5"/>
      <c r="D395" s="8"/>
      <c r="E395" s="9"/>
      <c r="F395" s="9"/>
      <c r="G395" s="10"/>
      <c r="H395" s="10"/>
      <c r="I395" s="11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7"/>
      <c r="B396" s="7"/>
      <c r="C396" s="5"/>
      <c r="D396" s="8"/>
      <c r="E396" s="9"/>
      <c r="F396" s="9"/>
      <c r="G396" s="10"/>
      <c r="H396" s="10"/>
      <c r="I396" s="11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7"/>
      <c r="B397" s="7"/>
      <c r="C397" s="5"/>
      <c r="D397" s="8"/>
      <c r="E397" s="9"/>
      <c r="F397" s="9"/>
      <c r="G397" s="10"/>
      <c r="H397" s="10"/>
      <c r="I397" s="11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7"/>
      <c r="B398" s="7"/>
      <c r="C398" s="5"/>
      <c r="D398" s="8"/>
      <c r="E398" s="9"/>
      <c r="F398" s="9"/>
      <c r="G398" s="10"/>
      <c r="H398" s="10"/>
      <c r="I398" s="11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7"/>
      <c r="B399" s="7"/>
      <c r="C399" s="5"/>
      <c r="D399" s="8"/>
      <c r="E399" s="9"/>
      <c r="F399" s="9"/>
      <c r="G399" s="10"/>
      <c r="H399" s="10"/>
      <c r="I399" s="11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7"/>
      <c r="B400" s="7"/>
      <c r="C400" s="5"/>
      <c r="D400" s="8"/>
      <c r="E400" s="9"/>
      <c r="F400" s="9"/>
      <c r="G400" s="10"/>
      <c r="H400" s="10"/>
      <c r="I400" s="11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7"/>
      <c r="B401" s="7"/>
      <c r="C401" s="5"/>
      <c r="D401" s="8"/>
      <c r="E401" s="9"/>
      <c r="F401" s="9"/>
      <c r="G401" s="10"/>
      <c r="H401" s="10"/>
      <c r="I401" s="11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7"/>
      <c r="B402" s="7"/>
      <c r="C402" s="5"/>
      <c r="D402" s="8"/>
      <c r="E402" s="9"/>
      <c r="F402" s="9"/>
      <c r="G402" s="10"/>
      <c r="H402" s="10"/>
      <c r="I402" s="11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7"/>
      <c r="B403" s="7"/>
      <c r="C403" s="5"/>
      <c r="D403" s="8"/>
      <c r="E403" s="9"/>
      <c r="F403" s="9"/>
      <c r="G403" s="10"/>
      <c r="H403" s="10"/>
      <c r="I403" s="11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7"/>
      <c r="B404" s="7"/>
      <c r="C404" s="5"/>
      <c r="D404" s="8"/>
      <c r="E404" s="9"/>
      <c r="F404" s="9"/>
      <c r="G404" s="10"/>
      <c r="H404" s="10"/>
      <c r="I404" s="11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7"/>
      <c r="B405" s="7"/>
      <c r="C405" s="5"/>
      <c r="D405" s="8"/>
      <c r="E405" s="9"/>
      <c r="F405" s="9"/>
      <c r="G405" s="10"/>
      <c r="H405" s="10"/>
      <c r="I405" s="11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7"/>
      <c r="B406" s="7"/>
      <c r="C406" s="5"/>
      <c r="D406" s="8"/>
      <c r="E406" s="9"/>
      <c r="F406" s="9"/>
      <c r="G406" s="10"/>
      <c r="H406" s="10"/>
      <c r="I406" s="11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7"/>
      <c r="B407" s="7"/>
      <c r="C407" s="5"/>
      <c r="D407" s="8"/>
      <c r="E407" s="9"/>
      <c r="F407" s="9"/>
      <c r="G407" s="10"/>
      <c r="H407" s="10"/>
      <c r="I407" s="11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7"/>
      <c r="B408" s="7"/>
      <c r="C408" s="5"/>
      <c r="D408" s="8"/>
      <c r="E408" s="9"/>
      <c r="F408" s="9"/>
      <c r="G408" s="10"/>
      <c r="H408" s="10"/>
      <c r="I408" s="11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7"/>
      <c r="B409" s="7"/>
      <c r="C409" s="5"/>
      <c r="D409" s="8"/>
      <c r="E409" s="9"/>
      <c r="F409" s="9"/>
      <c r="G409" s="10"/>
      <c r="H409" s="10"/>
      <c r="I409" s="11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7"/>
      <c r="B410" s="7"/>
      <c r="C410" s="5"/>
      <c r="D410" s="8"/>
      <c r="E410" s="9"/>
      <c r="F410" s="9"/>
      <c r="G410" s="10"/>
      <c r="H410" s="10"/>
      <c r="I410" s="11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7"/>
      <c r="B411" s="7"/>
      <c r="C411" s="5"/>
      <c r="D411" s="8"/>
      <c r="E411" s="9"/>
      <c r="F411" s="9"/>
      <c r="G411" s="10"/>
      <c r="H411" s="10"/>
      <c r="I411" s="11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7"/>
      <c r="B412" s="7"/>
      <c r="C412" s="5"/>
      <c r="D412" s="8"/>
      <c r="E412" s="9"/>
      <c r="F412" s="9"/>
      <c r="G412" s="10"/>
      <c r="H412" s="10"/>
      <c r="I412" s="11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7"/>
      <c r="B413" s="7"/>
      <c r="C413" s="5"/>
      <c r="D413" s="8"/>
      <c r="E413" s="9"/>
      <c r="F413" s="9"/>
      <c r="G413" s="10"/>
      <c r="H413" s="10"/>
      <c r="I413" s="11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7"/>
      <c r="B414" s="7"/>
      <c r="C414" s="5"/>
      <c r="D414" s="8"/>
      <c r="E414" s="9"/>
      <c r="F414" s="9"/>
      <c r="G414" s="10"/>
      <c r="H414" s="10"/>
      <c r="I414" s="11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7"/>
      <c r="B415" s="7"/>
      <c r="C415" s="5"/>
      <c r="D415" s="8"/>
      <c r="E415" s="9"/>
      <c r="F415" s="9"/>
      <c r="G415" s="10"/>
      <c r="H415" s="10"/>
      <c r="I415" s="11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7"/>
      <c r="B416" s="7"/>
      <c r="C416" s="5"/>
      <c r="D416" s="8"/>
      <c r="E416" s="9"/>
      <c r="F416" s="9"/>
      <c r="G416" s="10"/>
      <c r="H416" s="10"/>
      <c r="I416" s="11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7"/>
      <c r="B417" s="7"/>
      <c r="C417" s="5"/>
      <c r="D417" s="8"/>
      <c r="E417" s="9"/>
      <c r="F417" s="9"/>
      <c r="G417" s="10"/>
      <c r="H417" s="10"/>
      <c r="I417" s="11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7"/>
      <c r="B418" s="7"/>
      <c r="C418" s="5"/>
      <c r="D418" s="8"/>
      <c r="E418" s="9"/>
      <c r="F418" s="9"/>
      <c r="G418" s="10"/>
      <c r="H418" s="10"/>
      <c r="I418" s="11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7"/>
      <c r="B419" s="7"/>
      <c r="C419" s="5"/>
      <c r="D419" s="8"/>
      <c r="E419" s="9"/>
      <c r="F419" s="9"/>
      <c r="G419" s="10"/>
      <c r="H419" s="10"/>
      <c r="I419" s="11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7"/>
      <c r="B420" s="7"/>
      <c r="C420" s="5"/>
      <c r="D420" s="8"/>
      <c r="E420" s="9"/>
      <c r="F420" s="9"/>
      <c r="G420" s="10"/>
      <c r="H420" s="10"/>
      <c r="I420" s="11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7"/>
      <c r="B421" s="7"/>
      <c r="C421" s="5"/>
      <c r="D421" s="8"/>
      <c r="E421" s="9"/>
      <c r="F421" s="9"/>
      <c r="G421" s="10"/>
      <c r="H421" s="10"/>
      <c r="I421" s="11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7"/>
      <c r="B422" s="7"/>
      <c r="C422" s="5"/>
      <c r="D422" s="8"/>
      <c r="E422" s="9"/>
      <c r="F422" s="9"/>
      <c r="G422" s="10"/>
      <c r="H422" s="10"/>
      <c r="I422" s="11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7"/>
      <c r="B423" s="7"/>
      <c r="C423" s="5"/>
      <c r="D423" s="8"/>
      <c r="E423" s="9"/>
      <c r="F423" s="9"/>
      <c r="G423" s="10"/>
      <c r="H423" s="10"/>
      <c r="I423" s="11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7"/>
      <c r="B424" s="7"/>
      <c r="C424" s="5"/>
      <c r="D424" s="8"/>
      <c r="E424" s="9"/>
      <c r="F424" s="9"/>
      <c r="G424" s="10"/>
      <c r="H424" s="10"/>
      <c r="I424" s="11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7"/>
      <c r="B425" s="7"/>
      <c r="C425" s="5"/>
      <c r="D425" s="8"/>
      <c r="E425" s="9"/>
      <c r="F425" s="9"/>
      <c r="G425" s="10"/>
      <c r="H425" s="10"/>
      <c r="I425" s="11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7"/>
      <c r="B426" s="7"/>
      <c r="C426" s="5"/>
      <c r="D426" s="8"/>
      <c r="E426" s="9"/>
      <c r="F426" s="9"/>
      <c r="G426" s="10"/>
      <c r="H426" s="10"/>
      <c r="I426" s="11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7"/>
      <c r="B427" s="7"/>
      <c r="C427" s="5"/>
      <c r="D427" s="8"/>
      <c r="E427" s="9"/>
      <c r="F427" s="9"/>
      <c r="G427" s="10"/>
      <c r="H427" s="10"/>
      <c r="I427" s="11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7"/>
      <c r="B428" s="7"/>
      <c r="C428" s="5"/>
      <c r="D428" s="8"/>
      <c r="E428" s="9"/>
      <c r="F428" s="9"/>
      <c r="G428" s="10"/>
      <c r="H428" s="10"/>
      <c r="I428" s="11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7"/>
      <c r="B429" s="7"/>
      <c r="C429" s="5"/>
      <c r="D429" s="8"/>
      <c r="E429" s="9"/>
      <c r="F429" s="9"/>
      <c r="G429" s="10"/>
      <c r="H429" s="10"/>
      <c r="I429" s="11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7"/>
      <c r="B430" s="7"/>
      <c r="C430" s="5"/>
      <c r="D430" s="8"/>
      <c r="E430" s="9"/>
      <c r="F430" s="9"/>
      <c r="G430" s="10"/>
      <c r="H430" s="10"/>
      <c r="I430" s="11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7"/>
      <c r="B431" s="7"/>
      <c r="C431" s="5"/>
      <c r="D431" s="8"/>
      <c r="E431" s="9"/>
      <c r="F431" s="9"/>
      <c r="G431" s="10"/>
      <c r="H431" s="10"/>
      <c r="I431" s="11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7"/>
      <c r="B432" s="7"/>
      <c r="C432" s="5"/>
      <c r="D432" s="8"/>
      <c r="E432" s="9"/>
      <c r="F432" s="9"/>
      <c r="G432" s="10"/>
      <c r="H432" s="10"/>
      <c r="I432" s="11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7"/>
      <c r="B433" s="7"/>
      <c r="C433" s="5"/>
      <c r="D433" s="8"/>
      <c r="E433" s="9"/>
      <c r="F433" s="9"/>
      <c r="G433" s="10"/>
      <c r="H433" s="10"/>
      <c r="I433" s="11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7"/>
      <c r="B434" s="7"/>
      <c r="C434" s="5"/>
      <c r="D434" s="8"/>
      <c r="E434" s="9"/>
      <c r="F434" s="9"/>
      <c r="G434" s="10"/>
      <c r="H434" s="10"/>
      <c r="I434" s="11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7"/>
      <c r="B435" s="7"/>
      <c r="C435" s="5"/>
      <c r="D435" s="8"/>
      <c r="E435" s="9"/>
      <c r="F435" s="9"/>
      <c r="G435" s="10"/>
      <c r="H435" s="10"/>
      <c r="I435" s="11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7"/>
      <c r="B436" s="7"/>
      <c r="C436" s="5"/>
      <c r="D436" s="8"/>
      <c r="E436" s="9"/>
      <c r="F436" s="9"/>
      <c r="G436" s="10"/>
      <c r="H436" s="10"/>
      <c r="I436" s="11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7"/>
      <c r="B437" s="7"/>
      <c r="C437" s="5"/>
      <c r="D437" s="8"/>
      <c r="E437" s="9"/>
      <c r="F437" s="9"/>
      <c r="G437" s="10"/>
      <c r="H437" s="10"/>
      <c r="I437" s="11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7"/>
      <c r="B438" s="7"/>
      <c r="C438" s="5"/>
      <c r="D438" s="8"/>
      <c r="E438" s="9"/>
      <c r="F438" s="9"/>
      <c r="G438" s="10"/>
      <c r="H438" s="10"/>
      <c r="I438" s="11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7"/>
      <c r="B439" s="7"/>
      <c r="C439" s="5"/>
      <c r="D439" s="8"/>
      <c r="E439" s="9"/>
      <c r="F439" s="9"/>
      <c r="G439" s="10"/>
      <c r="H439" s="10"/>
      <c r="I439" s="11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7"/>
      <c r="B440" s="7"/>
      <c r="C440" s="5"/>
      <c r="D440" s="8"/>
      <c r="E440" s="9"/>
      <c r="F440" s="9"/>
      <c r="G440" s="10"/>
      <c r="H440" s="10"/>
      <c r="I440" s="11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7"/>
      <c r="B441" s="7"/>
      <c r="C441" s="5"/>
      <c r="D441" s="8"/>
      <c r="E441" s="9"/>
      <c r="F441" s="9"/>
      <c r="G441" s="10"/>
      <c r="H441" s="10"/>
      <c r="I441" s="11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7"/>
      <c r="B442" s="7"/>
      <c r="C442" s="5"/>
      <c r="D442" s="8"/>
      <c r="E442" s="9"/>
      <c r="F442" s="9"/>
      <c r="G442" s="10"/>
      <c r="H442" s="10"/>
      <c r="I442" s="11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7"/>
      <c r="B443" s="7"/>
      <c r="C443" s="5"/>
      <c r="D443" s="8"/>
      <c r="E443" s="9"/>
      <c r="F443" s="9"/>
      <c r="G443" s="10"/>
      <c r="H443" s="10"/>
      <c r="I443" s="11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7"/>
      <c r="B444" s="7"/>
      <c r="C444" s="5"/>
      <c r="D444" s="8"/>
      <c r="E444" s="9"/>
      <c r="F444" s="9"/>
      <c r="G444" s="10"/>
      <c r="H444" s="10"/>
      <c r="I444" s="11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7"/>
      <c r="B445" s="7"/>
      <c r="C445" s="5"/>
      <c r="D445" s="8"/>
      <c r="E445" s="9"/>
      <c r="F445" s="9"/>
      <c r="G445" s="10"/>
      <c r="H445" s="10"/>
      <c r="I445" s="11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7"/>
      <c r="B446" s="7"/>
      <c r="C446" s="5"/>
      <c r="D446" s="8"/>
      <c r="E446" s="9"/>
      <c r="F446" s="9"/>
      <c r="G446" s="10"/>
      <c r="H446" s="10"/>
      <c r="I446" s="11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7"/>
      <c r="B447" s="7"/>
      <c r="C447" s="5"/>
      <c r="D447" s="8"/>
      <c r="E447" s="9"/>
      <c r="F447" s="9"/>
      <c r="G447" s="10"/>
      <c r="H447" s="10"/>
      <c r="I447" s="11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7"/>
      <c r="B448" s="7"/>
      <c r="C448" s="5"/>
      <c r="D448" s="8"/>
      <c r="E448" s="9"/>
      <c r="F448" s="9"/>
      <c r="G448" s="10"/>
      <c r="H448" s="10"/>
      <c r="I448" s="11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7"/>
      <c r="B449" s="7"/>
      <c r="C449" s="5"/>
      <c r="D449" s="8"/>
      <c r="E449" s="9"/>
      <c r="F449" s="9"/>
      <c r="G449" s="10"/>
      <c r="H449" s="10"/>
      <c r="I449" s="11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7"/>
      <c r="B450" s="7"/>
      <c r="C450" s="5"/>
      <c r="D450" s="8"/>
      <c r="E450" s="9"/>
      <c r="F450" s="9"/>
      <c r="G450" s="10"/>
      <c r="H450" s="10"/>
      <c r="I450" s="11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7"/>
      <c r="B451" s="7"/>
      <c r="C451" s="5"/>
      <c r="D451" s="8"/>
      <c r="E451" s="9"/>
      <c r="F451" s="9"/>
      <c r="G451" s="10"/>
      <c r="H451" s="10"/>
      <c r="I451" s="11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7"/>
      <c r="B452" s="7"/>
      <c r="C452" s="5"/>
      <c r="D452" s="8"/>
      <c r="E452" s="9"/>
      <c r="F452" s="9"/>
      <c r="G452" s="10"/>
      <c r="H452" s="10"/>
      <c r="I452" s="11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7"/>
      <c r="B453" s="7"/>
      <c r="C453" s="5"/>
      <c r="D453" s="8"/>
      <c r="E453" s="9"/>
      <c r="F453" s="9"/>
      <c r="G453" s="10"/>
      <c r="H453" s="10"/>
      <c r="I453" s="11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7"/>
      <c r="B454" s="7"/>
      <c r="C454" s="5"/>
      <c r="D454" s="8"/>
      <c r="E454" s="9"/>
      <c r="F454" s="9"/>
      <c r="G454" s="10"/>
      <c r="H454" s="10"/>
      <c r="I454" s="11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7"/>
      <c r="B455" s="7"/>
      <c r="C455" s="5"/>
      <c r="D455" s="8"/>
      <c r="E455" s="9"/>
      <c r="F455" s="9"/>
      <c r="G455" s="10"/>
      <c r="H455" s="10"/>
      <c r="I455" s="11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7"/>
      <c r="B456" s="7"/>
      <c r="C456" s="5"/>
      <c r="D456" s="8"/>
      <c r="E456" s="9"/>
      <c r="F456" s="9"/>
      <c r="G456" s="10"/>
      <c r="H456" s="10"/>
      <c r="I456" s="11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7"/>
      <c r="B457" s="7"/>
      <c r="C457" s="5"/>
      <c r="D457" s="8"/>
      <c r="E457" s="9"/>
      <c r="F457" s="9"/>
      <c r="G457" s="10"/>
      <c r="H457" s="10"/>
      <c r="I457" s="11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7"/>
      <c r="B458" s="7"/>
      <c r="C458" s="5"/>
      <c r="D458" s="8"/>
      <c r="E458" s="9"/>
      <c r="F458" s="9"/>
      <c r="G458" s="10"/>
      <c r="H458" s="10"/>
      <c r="I458" s="11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7"/>
      <c r="B459" s="7"/>
      <c r="C459" s="5"/>
      <c r="D459" s="8"/>
      <c r="E459" s="9"/>
      <c r="F459" s="9"/>
      <c r="G459" s="10"/>
      <c r="H459" s="10"/>
      <c r="I459" s="11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7"/>
      <c r="B460" s="7"/>
      <c r="C460" s="5"/>
      <c r="D460" s="8"/>
      <c r="E460" s="9"/>
      <c r="F460" s="9"/>
      <c r="G460" s="10"/>
      <c r="H460" s="10"/>
      <c r="I460" s="11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7"/>
      <c r="B461" s="7"/>
      <c r="C461" s="5"/>
      <c r="D461" s="8"/>
      <c r="E461" s="9"/>
      <c r="F461" s="9"/>
      <c r="G461" s="10"/>
      <c r="H461" s="10"/>
      <c r="I461" s="11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7"/>
      <c r="B462" s="7"/>
      <c r="C462" s="5"/>
      <c r="D462" s="8"/>
      <c r="E462" s="9"/>
      <c r="F462" s="9"/>
      <c r="G462" s="10"/>
      <c r="H462" s="10"/>
      <c r="I462" s="11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7"/>
      <c r="B463" s="7"/>
      <c r="C463" s="5"/>
      <c r="D463" s="8"/>
      <c r="E463" s="9"/>
      <c r="F463" s="9"/>
      <c r="G463" s="10"/>
      <c r="H463" s="10"/>
      <c r="I463" s="11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7"/>
      <c r="B464" s="7"/>
      <c r="C464" s="5"/>
      <c r="D464" s="8"/>
      <c r="E464" s="9"/>
      <c r="F464" s="9"/>
      <c r="G464" s="10"/>
      <c r="H464" s="10"/>
      <c r="I464" s="11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7"/>
      <c r="B465" s="7"/>
      <c r="C465" s="5"/>
      <c r="D465" s="8"/>
      <c r="E465" s="9"/>
      <c r="F465" s="9"/>
      <c r="G465" s="10"/>
      <c r="H465" s="10"/>
      <c r="I465" s="11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7"/>
      <c r="B466" s="7"/>
      <c r="C466" s="5"/>
      <c r="D466" s="8"/>
      <c r="E466" s="9"/>
      <c r="F466" s="9"/>
      <c r="G466" s="10"/>
      <c r="H466" s="10"/>
      <c r="I466" s="11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7"/>
      <c r="B467" s="7"/>
      <c r="C467" s="5"/>
      <c r="D467" s="8"/>
      <c r="E467" s="9"/>
      <c r="F467" s="9"/>
      <c r="G467" s="10"/>
      <c r="H467" s="10"/>
      <c r="I467" s="11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7"/>
      <c r="B468" s="7"/>
      <c r="C468" s="5"/>
      <c r="D468" s="8"/>
      <c r="E468" s="9"/>
      <c r="F468" s="9"/>
      <c r="G468" s="10"/>
      <c r="H468" s="10"/>
      <c r="I468" s="11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7"/>
      <c r="B469" s="7"/>
      <c r="C469" s="5"/>
      <c r="D469" s="8"/>
      <c r="E469" s="9"/>
      <c r="F469" s="9"/>
      <c r="G469" s="10"/>
      <c r="H469" s="10"/>
      <c r="I469" s="11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7"/>
      <c r="B470" s="7"/>
      <c r="C470" s="5"/>
      <c r="D470" s="8"/>
      <c r="E470" s="9"/>
      <c r="F470" s="9"/>
      <c r="G470" s="10"/>
      <c r="H470" s="10"/>
      <c r="I470" s="11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7"/>
      <c r="B471" s="7"/>
      <c r="C471" s="5"/>
      <c r="D471" s="8"/>
      <c r="E471" s="9"/>
      <c r="F471" s="9"/>
      <c r="G471" s="10"/>
      <c r="H471" s="10"/>
      <c r="I471" s="11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7"/>
      <c r="B472" s="7"/>
      <c r="C472" s="5"/>
      <c r="D472" s="8"/>
      <c r="E472" s="9"/>
      <c r="F472" s="9"/>
      <c r="G472" s="10"/>
      <c r="H472" s="10"/>
      <c r="I472" s="11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7"/>
      <c r="B473" s="7"/>
      <c r="C473" s="5"/>
      <c r="D473" s="8"/>
      <c r="E473" s="9"/>
      <c r="F473" s="9"/>
      <c r="G473" s="10"/>
      <c r="H473" s="10"/>
      <c r="I473" s="11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7"/>
      <c r="B474" s="7"/>
      <c r="C474" s="5"/>
      <c r="D474" s="8"/>
      <c r="E474" s="9"/>
      <c r="F474" s="9"/>
      <c r="G474" s="10"/>
      <c r="H474" s="10"/>
      <c r="I474" s="11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7"/>
      <c r="B475" s="7"/>
      <c r="C475" s="5"/>
      <c r="D475" s="8"/>
      <c r="E475" s="9"/>
      <c r="F475" s="9"/>
      <c r="G475" s="10"/>
      <c r="H475" s="10"/>
      <c r="I475" s="11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7"/>
      <c r="B476" s="7"/>
      <c r="C476" s="5"/>
      <c r="D476" s="8"/>
      <c r="E476" s="9"/>
      <c r="F476" s="9"/>
      <c r="G476" s="10"/>
      <c r="H476" s="10"/>
      <c r="I476" s="11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7"/>
      <c r="B477" s="7"/>
      <c r="C477" s="5"/>
      <c r="D477" s="8"/>
      <c r="E477" s="9"/>
      <c r="F477" s="9"/>
      <c r="G477" s="10"/>
      <c r="H477" s="10"/>
      <c r="I477" s="11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7"/>
      <c r="B478" s="7"/>
      <c r="C478" s="5"/>
      <c r="D478" s="8"/>
      <c r="E478" s="9"/>
      <c r="F478" s="9"/>
      <c r="G478" s="10"/>
      <c r="H478" s="10"/>
      <c r="I478" s="11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7"/>
      <c r="B479" s="7"/>
      <c r="C479" s="5"/>
      <c r="D479" s="8"/>
      <c r="E479" s="9"/>
      <c r="F479" s="9"/>
      <c r="G479" s="10"/>
      <c r="H479" s="10"/>
      <c r="I479" s="11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7"/>
      <c r="B480" s="7"/>
      <c r="C480" s="5"/>
      <c r="D480" s="8"/>
      <c r="E480" s="9"/>
      <c r="F480" s="9"/>
      <c r="G480" s="10"/>
      <c r="H480" s="10"/>
      <c r="I480" s="11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7"/>
      <c r="B481" s="7"/>
      <c r="C481" s="5"/>
      <c r="D481" s="8"/>
      <c r="E481" s="9"/>
      <c r="F481" s="9"/>
      <c r="G481" s="10"/>
      <c r="H481" s="10"/>
      <c r="I481" s="11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7"/>
      <c r="B482" s="7"/>
      <c r="C482" s="5"/>
      <c r="D482" s="8"/>
      <c r="E482" s="9"/>
      <c r="F482" s="9"/>
      <c r="G482" s="10"/>
      <c r="H482" s="10"/>
      <c r="I482" s="11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7"/>
      <c r="B483" s="7"/>
      <c r="C483" s="5"/>
      <c r="D483" s="8"/>
      <c r="E483" s="9"/>
      <c r="F483" s="9"/>
      <c r="G483" s="10"/>
      <c r="H483" s="10"/>
      <c r="I483" s="11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7"/>
      <c r="B484" s="7"/>
      <c r="C484" s="5"/>
      <c r="D484" s="8"/>
      <c r="E484" s="9"/>
      <c r="F484" s="9"/>
      <c r="G484" s="10"/>
      <c r="H484" s="10"/>
      <c r="I484" s="11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7"/>
      <c r="B485" s="7"/>
      <c r="C485" s="5"/>
      <c r="D485" s="8"/>
      <c r="E485" s="9"/>
      <c r="F485" s="9"/>
      <c r="G485" s="10"/>
      <c r="H485" s="10"/>
      <c r="I485" s="11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7"/>
      <c r="B486" s="7"/>
      <c r="C486" s="5"/>
      <c r="D486" s="8"/>
      <c r="E486" s="9"/>
      <c r="F486" s="9"/>
      <c r="G486" s="10"/>
      <c r="H486" s="10"/>
      <c r="I486" s="11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7"/>
      <c r="B487" s="7"/>
      <c r="C487" s="5"/>
      <c r="D487" s="8"/>
      <c r="E487" s="9"/>
      <c r="F487" s="9"/>
      <c r="G487" s="10"/>
      <c r="H487" s="10"/>
      <c r="I487" s="11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7"/>
      <c r="B488" s="7"/>
      <c r="C488" s="5"/>
      <c r="D488" s="8"/>
      <c r="E488" s="9"/>
      <c r="F488" s="9"/>
      <c r="G488" s="10"/>
      <c r="H488" s="10"/>
      <c r="I488" s="11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7"/>
      <c r="B489" s="7"/>
      <c r="C489" s="5"/>
      <c r="D489" s="8"/>
      <c r="E489" s="9"/>
      <c r="F489" s="9"/>
      <c r="G489" s="10"/>
      <c r="H489" s="10"/>
      <c r="I489" s="11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7"/>
      <c r="B490" s="7"/>
      <c r="C490" s="5"/>
      <c r="D490" s="8"/>
      <c r="E490" s="9"/>
      <c r="F490" s="9"/>
      <c r="G490" s="10"/>
      <c r="H490" s="10"/>
      <c r="I490" s="11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7"/>
      <c r="B491" s="7"/>
      <c r="C491" s="5"/>
      <c r="D491" s="8"/>
      <c r="E491" s="9"/>
      <c r="F491" s="9"/>
      <c r="G491" s="10"/>
      <c r="H491" s="10"/>
      <c r="I491" s="11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7"/>
      <c r="B492" s="7"/>
      <c r="C492" s="5"/>
      <c r="D492" s="8"/>
      <c r="E492" s="9"/>
      <c r="F492" s="9"/>
      <c r="G492" s="10"/>
      <c r="H492" s="10"/>
      <c r="I492" s="11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7"/>
      <c r="B493" s="7"/>
      <c r="C493" s="5"/>
      <c r="D493" s="8"/>
      <c r="E493" s="9"/>
      <c r="F493" s="9"/>
      <c r="G493" s="10"/>
      <c r="H493" s="10"/>
      <c r="I493" s="11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7"/>
      <c r="B494" s="7"/>
      <c r="C494" s="5"/>
      <c r="D494" s="8"/>
      <c r="E494" s="9"/>
      <c r="F494" s="9"/>
      <c r="G494" s="10"/>
      <c r="H494" s="10"/>
      <c r="I494" s="11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7"/>
      <c r="B495" s="7"/>
      <c r="C495" s="5"/>
      <c r="D495" s="8"/>
      <c r="E495" s="9"/>
      <c r="F495" s="9"/>
      <c r="G495" s="10"/>
      <c r="H495" s="10"/>
      <c r="I495" s="11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7"/>
      <c r="B496" s="7"/>
      <c r="C496" s="5"/>
      <c r="D496" s="8"/>
      <c r="E496" s="9"/>
      <c r="F496" s="9"/>
      <c r="G496" s="10"/>
      <c r="H496" s="10"/>
      <c r="I496" s="11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7"/>
      <c r="B497" s="7"/>
      <c r="C497" s="5"/>
      <c r="D497" s="8"/>
      <c r="E497" s="9"/>
      <c r="F497" s="9"/>
      <c r="G497" s="10"/>
      <c r="H497" s="10"/>
      <c r="I497" s="11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7"/>
      <c r="B498" s="7"/>
      <c r="C498" s="5"/>
      <c r="D498" s="8"/>
      <c r="E498" s="9"/>
      <c r="F498" s="9"/>
      <c r="G498" s="10"/>
      <c r="H498" s="10"/>
      <c r="I498" s="11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7"/>
      <c r="B499" s="7"/>
      <c r="C499" s="5"/>
      <c r="D499" s="8"/>
      <c r="E499" s="9"/>
      <c r="F499" s="9"/>
      <c r="G499" s="10"/>
      <c r="H499" s="10"/>
      <c r="I499" s="11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7"/>
      <c r="B500" s="7"/>
      <c r="C500" s="5"/>
      <c r="D500" s="8"/>
      <c r="E500" s="9"/>
      <c r="F500" s="9"/>
      <c r="G500" s="10"/>
      <c r="H500" s="10"/>
      <c r="I500" s="11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7"/>
      <c r="B501" s="7"/>
      <c r="C501" s="5"/>
      <c r="D501" s="8"/>
      <c r="E501" s="9"/>
      <c r="F501" s="9"/>
      <c r="G501" s="10"/>
      <c r="H501" s="10"/>
      <c r="I501" s="11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7"/>
      <c r="B502" s="7"/>
      <c r="C502" s="5"/>
      <c r="D502" s="8"/>
      <c r="E502" s="9"/>
      <c r="F502" s="9"/>
      <c r="G502" s="10"/>
      <c r="H502" s="10"/>
      <c r="I502" s="11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7"/>
      <c r="B503" s="7"/>
      <c r="C503" s="5"/>
      <c r="D503" s="8"/>
      <c r="E503" s="9"/>
      <c r="F503" s="9"/>
      <c r="G503" s="10"/>
      <c r="H503" s="10"/>
      <c r="I503" s="11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7"/>
      <c r="B504" s="7"/>
      <c r="C504" s="5"/>
      <c r="D504" s="8"/>
      <c r="E504" s="9"/>
      <c r="F504" s="9"/>
      <c r="G504" s="10"/>
      <c r="H504" s="10"/>
      <c r="I504" s="11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7"/>
      <c r="B505" s="7"/>
      <c r="C505" s="5"/>
      <c r="D505" s="8"/>
      <c r="E505" s="9"/>
      <c r="F505" s="9"/>
      <c r="G505" s="10"/>
      <c r="H505" s="10"/>
      <c r="I505" s="11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7"/>
      <c r="B506" s="7"/>
      <c r="C506" s="5"/>
      <c r="D506" s="8"/>
      <c r="E506" s="9"/>
      <c r="F506" s="9"/>
      <c r="G506" s="10"/>
      <c r="H506" s="10"/>
      <c r="I506" s="11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7"/>
      <c r="B507" s="7"/>
      <c r="C507" s="5"/>
      <c r="D507" s="8"/>
      <c r="E507" s="9"/>
      <c r="F507" s="9"/>
      <c r="G507" s="10"/>
      <c r="H507" s="10"/>
      <c r="I507" s="11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7"/>
      <c r="B508" s="7"/>
      <c r="C508" s="5"/>
      <c r="D508" s="8"/>
      <c r="E508" s="9"/>
      <c r="F508" s="9"/>
      <c r="G508" s="10"/>
      <c r="H508" s="10"/>
      <c r="I508" s="11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7"/>
      <c r="B509" s="7"/>
      <c r="C509" s="5"/>
      <c r="D509" s="8"/>
      <c r="E509" s="9"/>
      <c r="F509" s="9"/>
      <c r="G509" s="10"/>
      <c r="H509" s="10"/>
      <c r="I509" s="11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7"/>
      <c r="B510" s="7"/>
      <c r="C510" s="5"/>
      <c r="D510" s="8"/>
      <c r="E510" s="9"/>
      <c r="F510" s="9"/>
      <c r="G510" s="10"/>
      <c r="H510" s="10"/>
      <c r="I510" s="11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7"/>
      <c r="B511" s="7"/>
      <c r="C511" s="5"/>
      <c r="D511" s="8"/>
      <c r="E511" s="9"/>
      <c r="F511" s="9"/>
      <c r="G511" s="10"/>
      <c r="H511" s="10"/>
      <c r="I511" s="11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7"/>
      <c r="B512" s="7"/>
      <c r="C512" s="5"/>
      <c r="D512" s="8"/>
      <c r="E512" s="9"/>
      <c r="F512" s="9"/>
      <c r="G512" s="10"/>
      <c r="H512" s="10"/>
      <c r="I512" s="11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7"/>
      <c r="B513" s="7"/>
      <c r="C513" s="5"/>
      <c r="D513" s="8"/>
      <c r="E513" s="9"/>
      <c r="F513" s="9"/>
      <c r="G513" s="10"/>
      <c r="H513" s="10"/>
      <c r="I513" s="11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7"/>
      <c r="B514" s="7"/>
      <c r="C514" s="5"/>
      <c r="D514" s="8"/>
      <c r="E514" s="9"/>
      <c r="F514" s="9"/>
      <c r="G514" s="10"/>
      <c r="H514" s="10"/>
      <c r="I514" s="11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7"/>
      <c r="B515" s="7"/>
      <c r="C515" s="5"/>
      <c r="D515" s="8"/>
      <c r="E515" s="9"/>
      <c r="F515" s="9"/>
      <c r="G515" s="10"/>
      <c r="H515" s="10"/>
      <c r="I515" s="11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7"/>
      <c r="B516" s="7"/>
      <c r="C516" s="5"/>
      <c r="D516" s="8"/>
      <c r="E516" s="9"/>
      <c r="F516" s="9"/>
      <c r="G516" s="10"/>
      <c r="H516" s="10"/>
      <c r="I516" s="11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7"/>
      <c r="B517" s="7"/>
      <c r="C517" s="5"/>
      <c r="D517" s="8"/>
      <c r="E517" s="9"/>
      <c r="F517" s="9"/>
      <c r="G517" s="10"/>
      <c r="H517" s="10"/>
      <c r="I517" s="11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7"/>
      <c r="B518" s="7"/>
      <c r="C518" s="5"/>
      <c r="D518" s="8"/>
      <c r="E518" s="9"/>
      <c r="F518" s="9"/>
      <c r="G518" s="10"/>
      <c r="H518" s="10"/>
      <c r="I518" s="11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7"/>
      <c r="B519" s="7"/>
      <c r="C519" s="5"/>
      <c r="D519" s="8"/>
      <c r="E519" s="9"/>
      <c r="F519" s="9"/>
      <c r="G519" s="10"/>
      <c r="H519" s="10"/>
      <c r="I519" s="11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7"/>
      <c r="B520" s="7"/>
      <c r="C520" s="5"/>
      <c r="D520" s="8"/>
      <c r="E520" s="9"/>
      <c r="F520" s="9"/>
      <c r="G520" s="10"/>
      <c r="H520" s="10"/>
      <c r="I520" s="11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7"/>
      <c r="B521" s="7"/>
      <c r="C521" s="5"/>
      <c r="D521" s="8"/>
      <c r="E521" s="9"/>
      <c r="F521" s="9"/>
      <c r="G521" s="10"/>
      <c r="H521" s="10"/>
      <c r="I521" s="11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7"/>
      <c r="B522" s="7"/>
      <c r="C522" s="5"/>
      <c r="D522" s="8"/>
      <c r="E522" s="9"/>
      <c r="F522" s="9"/>
      <c r="G522" s="10"/>
      <c r="H522" s="10"/>
      <c r="I522" s="11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7"/>
      <c r="B523" s="7"/>
      <c r="C523" s="5"/>
      <c r="D523" s="8"/>
      <c r="E523" s="9"/>
      <c r="F523" s="9"/>
      <c r="G523" s="10"/>
      <c r="H523" s="10"/>
      <c r="I523" s="11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7"/>
      <c r="B524" s="7"/>
      <c r="C524" s="5"/>
      <c r="D524" s="8"/>
      <c r="E524" s="9"/>
      <c r="F524" s="9"/>
      <c r="G524" s="10"/>
      <c r="H524" s="10"/>
      <c r="I524" s="11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7"/>
      <c r="B525" s="7"/>
      <c r="C525" s="5"/>
      <c r="D525" s="8"/>
      <c r="E525" s="9"/>
      <c r="F525" s="9"/>
      <c r="G525" s="10"/>
      <c r="H525" s="10"/>
      <c r="I525" s="11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7"/>
      <c r="B526" s="7"/>
      <c r="C526" s="5"/>
      <c r="D526" s="8"/>
      <c r="E526" s="9"/>
      <c r="F526" s="9"/>
      <c r="G526" s="10"/>
      <c r="H526" s="10"/>
      <c r="I526" s="11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7"/>
      <c r="B527" s="7"/>
      <c r="C527" s="5"/>
      <c r="D527" s="8"/>
      <c r="E527" s="9"/>
      <c r="F527" s="9"/>
      <c r="G527" s="10"/>
      <c r="H527" s="10"/>
      <c r="I527" s="11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7"/>
      <c r="B528" s="7"/>
      <c r="C528" s="5"/>
      <c r="D528" s="8"/>
      <c r="E528" s="9"/>
      <c r="F528" s="9"/>
      <c r="G528" s="10"/>
      <c r="H528" s="10"/>
      <c r="I528" s="11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7"/>
      <c r="B529" s="7"/>
      <c r="C529" s="5"/>
      <c r="D529" s="8"/>
      <c r="E529" s="9"/>
      <c r="F529" s="9"/>
      <c r="G529" s="10"/>
      <c r="H529" s="10"/>
      <c r="I529" s="11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7"/>
      <c r="B530" s="7"/>
      <c r="C530" s="5"/>
      <c r="D530" s="8"/>
      <c r="E530" s="9"/>
      <c r="F530" s="9"/>
      <c r="G530" s="10"/>
      <c r="H530" s="10"/>
      <c r="I530" s="11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7"/>
      <c r="B531" s="7"/>
      <c r="C531" s="5"/>
      <c r="D531" s="8"/>
      <c r="E531" s="9"/>
      <c r="F531" s="9"/>
      <c r="G531" s="10"/>
      <c r="H531" s="10"/>
      <c r="I531" s="11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7"/>
      <c r="B532" s="7"/>
      <c r="C532" s="5"/>
      <c r="D532" s="8"/>
      <c r="E532" s="9"/>
      <c r="F532" s="9"/>
      <c r="G532" s="10"/>
      <c r="H532" s="10"/>
      <c r="I532" s="11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7"/>
      <c r="B533" s="7"/>
      <c r="C533" s="5"/>
      <c r="D533" s="8"/>
      <c r="E533" s="9"/>
      <c r="F533" s="9"/>
      <c r="G533" s="10"/>
      <c r="H533" s="10"/>
      <c r="I533" s="11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7"/>
      <c r="B534" s="7"/>
      <c r="C534" s="5"/>
      <c r="D534" s="8"/>
      <c r="E534" s="9"/>
      <c r="F534" s="9"/>
      <c r="G534" s="10"/>
      <c r="H534" s="10"/>
      <c r="I534" s="11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7"/>
      <c r="B535" s="7"/>
      <c r="C535" s="5"/>
      <c r="D535" s="8"/>
      <c r="E535" s="9"/>
      <c r="F535" s="9"/>
      <c r="G535" s="10"/>
      <c r="H535" s="10"/>
      <c r="I535" s="11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7"/>
      <c r="B536" s="7"/>
      <c r="C536" s="5"/>
      <c r="D536" s="8"/>
      <c r="E536" s="9"/>
      <c r="F536" s="9"/>
      <c r="G536" s="10"/>
      <c r="H536" s="10"/>
      <c r="I536" s="11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7"/>
      <c r="B537" s="7"/>
      <c r="C537" s="5"/>
      <c r="D537" s="8"/>
      <c r="E537" s="9"/>
      <c r="F537" s="9"/>
      <c r="G537" s="10"/>
      <c r="H537" s="10"/>
      <c r="I537" s="11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7"/>
      <c r="B538" s="7"/>
      <c r="C538" s="5"/>
      <c r="D538" s="8"/>
      <c r="E538" s="9"/>
      <c r="F538" s="9"/>
      <c r="G538" s="10"/>
      <c r="H538" s="10"/>
      <c r="I538" s="11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7"/>
      <c r="B539" s="7"/>
      <c r="C539" s="5"/>
      <c r="D539" s="8"/>
      <c r="E539" s="9"/>
      <c r="F539" s="9"/>
      <c r="G539" s="10"/>
      <c r="H539" s="10"/>
      <c r="I539" s="11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7"/>
      <c r="B540" s="7"/>
      <c r="C540" s="5"/>
      <c r="D540" s="8"/>
      <c r="E540" s="9"/>
      <c r="F540" s="9"/>
      <c r="G540" s="10"/>
      <c r="H540" s="10"/>
      <c r="I540" s="11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7"/>
      <c r="B541" s="7"/>
      <c r="C541" s="5"/>
      <c r="D541" s="8"/>
      <c r="E541" s="9"/>
      <c r="F541" s="9"/>
      <c r="G541" s="10"/>
      <c r="H541" s="10"/>
      <c r="I541" s="11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7"/>
      <c r="B542" s="7"/>
      <c r="C542" s="5"/>
      <c r="D542" s="8"/>
      <c r="E542" s="9"/>
      <c r="F542" s="9"/>
      <c r="G542" s="10"/>
      <c r="H542" s="10"/>
      <c r="I542" s="11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7"/>
      <c r="B543" s="7"/>
      <c r="C543" s="5"/>
      <c r="D543" s="8"/>
      <c r="E543" s="9"/>
      <c r="F543" s="9"/>
      <c r="G543" s="10"/>
      <c r="H543" s="10"/>
      <c r="I543" s="11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7"/>
      <c r="B544" s="7"/>
      <c r="C544" s="5"/>
      <c r="D544" s="8"/>
      <c r="E544" s="9"/>
      <c r="F544" s="9"/>
      <c r="G544" s="10"/>
      <c r="H544" s="10"/>
      <c r="I544" s="11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7"/>
      <c r="B545" s="7"/>
      <c r="C545" s="5"/>
      <c r="D545" s="8"/>
      <c r="E545" s="9"/>
      <c r="F545" s="9"/>
      <c r="G545" s="10"/>
      <c r="H545" s="10"/>
      <c r="I545" s="11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7"/>
      <c r="B546" s="7"/>
      <c r="C546" s="5"/>
      <c r="D546" s="8"/>
      <c r="E546" s="9"/>
      <c r="F546" s="9"/>
      <c r="G546" s="10"/>
      <c r="H546" s="10"/>
      <c r="I546" s="11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7"/>
      <c r="B547" s="7"/>
      <c r="C547" s="5"/>
      <c r="D547" s="8"/>
      <c r="E547" s="9"/>
      <c r="F547" s="9"/>
      <c r="G547" s="10"/>
      <c r="H547" s="10"/>
      <c r="I547" s="11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7"/>
      <c r="B548" s="7"/>
      <c r="C548" s="5"/>
      <c r="D548" s="8"/>
      <c r="E548" s="9"/>
      <c r="F548" s="9"/>
      <c r="G548" s="10"/>
      <c r="H548" s="10"/>
      <c r="I548" s="11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7"/>
      <c r="B549" s="7"/>
      <c r="C549" s="5"/>
      <c r="D549" s="8"/>
      <c r="E549" s="9"/>
      <c r="F549" s="9"/>
      <c r="G549" s="10"/>
      <c r="H549" s="10"/>
      <c r="I549" s="11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7"/>
      <c r="B550" s="7"/>
      <c r="C550" s="5"/>
      <c r="D550" s="8"/>
      <c r="E550" s="9"/>
      <c r="F550" s="9"/>
      <c r="G550" s="10"/>
      <c r="H550" s="10"/>
      <c r="I550" s="11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7"/>
      <c r="B551" s="7"/>
      <c r="C551" s="5"/>
      <c r="D551" s="8"/>
      <c r="E551" s="9"/>
      <c r="F551" s="9"/>
      <c r="G551" s="10"/>
      <c r="H551" s="10"/>
      <c r="I551" s="11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7"/>
      <c r="B552" s="7"/>
      <c r="C552" s="5"/>
      <c r="D552" s="8"/>
      <c r="E552" s="9"/>
      <c r="F552" s="9"/>
      <c r="G552" s="10"/>
      <c r="H552" s="10"/>
      <c r="I552" s="11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7"/>
      <c r="B553" s="7"/>
      <c r="C553" s="5"/>
      <c r="D553" s="8"/>
      <c r="E553" s="9"/>
      <c r="F553" s="9"/>
      <c r="G553" s="10"/>
      <c r="H553" s="10"/>
      <c r="I553" s="11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7"/>
      <c r="B554" s="7"/>
      <c r="C554" s="5"/>
      <c r="D554" s="8"/>
      <c r="E554" s="9"/>
      <c r="F554" s="9"/>
      <c r="G554" s="10"/>
      <c r="H554" s="10"/>
      <c r="I554" s="11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7"/>
      <c r="B555" s="7"/>
      <c r="C555" s="5"/>
      <c r="D555" s="8"/>
      <c r="E555" s="9"/>
      <c r="F555" s="9"/>
      <c r="G555" s="10"/>
      <c r="H555" s="10"/>
      <c r="I555" s="11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7"/>
      <c r="B556" s="7"/>
      <c r="C556" s="5"/>
      <c r="D556" s="8"/>
      <c r="E556" s="9"/>
      <c r="F556" s="9"/>
      <c r="G556" s="10"/>
      <c r="H556" s="10"/>
      <c r="I556" s="11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7"/>
      <c r="B557" s="7"/>
      <c r="C557" s="5"/>
      <c r="D557" s="8"/>
      <c r="E557" s="9"/>
      <c r="F557" s="9"/>
      <c r="G557" s="10"/>
      <c r="H557" s="10"/>
      <c r="I557" s="11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7"/>
      <c r="B558" s="7"/>
      <c r="C558" s="5"/>
      <c r="D558" s="8"/>
      <c r="E558" s="9"/>
      <c r="F558" s="9"/>
      <c r="G558" s="10"/>
      <c r="H558" s="10"/>
      <c r="I558" s="11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7"/>
      <c r="B559" s="7"/>
      <c r="C559" s="5"/>
      <c r="D559" s="8"/>
      <c r="E559" s="9"/>
      <c r="F559" s="9"/>
      <c r="G559" s="10"/>
      <c r="H559" s="10"/>
      <c r="I559" s="11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7"/>
      <c r="B560" s="7"/>
      <c r="C560" s="5"/>
      <c r="D560" s="8"/>
      <c r="E560" s="9"/>
      <c r="F560" s="9"/>
      <c r="G560" s="10"/>
      <c r="H560" s="10"/>
      <c r="I560" s="11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7"/>
      <c r="B561" s="7"/>
      <c r="C561" s="5"/>
      <c r="D561" s="8"/>
      <c r="E561" s="9"/>
      <c r="F561" s="9"/>
      <c r="G561" s="10"/>
      <c r="H561" s="10"/>
      <c r="I561" s="11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7"/>
      <c r="B562" s="7"/>
      <c r="C562" s="5"/>
      <c r="D562" s="8"/>
      <c r="E562" s="9"/>
      <c r="F562" s="9"/>
      <c r="G562" s="10"/>
      <c r="H562" s="10"/>
      <c r="I562" s="11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7"/>
      <c r="B563" s="7"/>
      <c r="C563" s="5"/>
      <c r="D563" s="8"/>
      <c r="E563" s="9"/>
      <c r="F563" s="9"/>
      <c r="G563" s="10"/>
      <c r="H563" s="10"/>
      <c r="I563" s="11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7"/>
      <c r="B564" s="7"/>
      <c r="C564" s="5"/>
      <c r="D564" s="8"/>
      <c r="E564" s="9"/>
      <c r="F564" s="9"/>
      <c r="G564" s="10"/>
      <c r="H564" s="10"/>
      <c r="I564" s="11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7"/>
      <c r="B565" s="7"/>
      <c r="C565" s="5"/>
      <c r="D565" s="8"/>
      <c r="E565" s="9"/>
      <c r="F565" s="9"/>
      <c r="G565" s="10"/>
      <c r="H565" s="10"/>
      <c r="I565" s="11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7"/>
      <c r="B566" s="7"/>
      <c r="C566" s="5"/>
      <c r="D566" s="8"/>
      <c r="E566" s="9"/>
      <c r="F566" s="9"/>
      <c r="G566" s="10"/>
      <c r="H566" s="10"/>
      <c r="I566" s="11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7"/>
      <c r="B567" s="7"/>
      <c r="C567" s="5"/>
      <c r="D567" s="8"/>
      <c r="E567" s="9"/>
      <c r="F567" s="9"/>
      <c r="G567" s="10"/>
      <c r="H567" s="10"/>
      <c r="I567" s="11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7"/>
      <c r="B568" s="7"/>
      <c r="C568" s="5"/>
      <c r="D568" s="8"/>
      <c r="E568" s="9"/>
      <c r="F568" s="9"/>
      <c r="G568" s="10"/>
      <c r="H568" s="10"/>
      <c r="I568" s="11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7"/>
      <c r="B569" s="7"/>
      <c r="C569" s="5"/>
      <c r="D569" s="8"/>
      <c r="E569" s="9"/>
      <c r="F569" s="9"/>
      <c r="G569" s="10"/>
      <c r="H569" s="10"/>
      <c r="I569" s="11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7"/>
      <c r="B570" s="7"/>
      <c r="C570" s="5"/>
      <c r="D570" s="8"/>
      <c r="E570" s="9"/>
      <c r="F570" s="9"/>
      <c r="G570" s="10"/>
      <c r="H570" s="10"/>
      <c r="I570" s="11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7"/>
      <c r="B571" s="7"/>
      <c r="C571" s="5"/>
      <c r="D571" s="8"/>
      <c r="E571" s="9"/>
      <c r="F571" s="9"/>
      <c r="G571" s="10"/>
      <c r="H571" s="10"/>
      <c r="I571" s="11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7"/>
      <c r="B572" s="7"/>
      <c r="C572" s="5"/>
      <c r="D572" s="8"/>
      <c r="E572" s="9"/>
      <c r="F572" s="9"/>
      <c r="G572" s="10"/>
      <c r="H572" s="10"/>
      <c r="I572" s="11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7"/>
      <c r="B573" s="7"/>
      <c r="C573" s="5"/>
      <c r="D573" s="8"/>
      <c r="E573" s="9"/>
      <c r="F573" s="9"/>
      <c r="G573" s="10"/>
      <c r="H573" s="10"/>
      <c r="I573" s="11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7"/>
      <c r="B574" s="7"/>
      <c r="C574" s="5"/>
      <c r="D574" s="8"/>
      <c r="E574" s="9"/>
      <c r="F574" s="9"/>
      <c r="G574" s="10"/>
      <c r="H574" s="10"/>
      <c r="I574" s="11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7"/>
      <c r="B575" s="7"/>
      <c r="C575" s="5"/>
      <c r="D575" s="8"/>
      <c r="E575" s="9"/>
      <c r="F575" s="9"/>
      <c r="G575" s="10"/>
      <c r="H575" s="10"/>
      <c r="I575" s="11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7"/>
      <c r="B576" s="7"/>
      <c r="C576" s="5"/>
      <c r="D576" s="8"/>
      <c r="E576" s="9"/>
      <c r="F576" s="9"/>
      <c r="G576" s="10"/>
      <c r="H576" s="10"/>
      <c r="I576" s="11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7"/>
      <c r="B577" s="7"/>
      <c r="C577" s="5"/>
      <c r="D577" s="8"/>
      <c r="E577" s="9"/>
      <c r="F577" s="9"/>
      <c r="G577" s="10"/>
      <c r="H577" s="10"/>
      <c r="I577" s="11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7"/>
      <c r="B578" s="7"/>
      <c r="C578" s="5"/>
      <c r="D578" s="8"/>
      <c r="E578" s="9"/>
      <c r="F578" s="9"/>
      <c r="G578" s="10"/>
      <c r="H578" s="10"/>
      <c r="I578" s="11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7"/>
      <c r="B579" s="7"/>
      <c r="C579" s="5"/>
      <c r="D579" s="8"/>
      <c r="E579" s="9"/>
      <c r="F579" s="9"/>
      <c r="G579" s="10"/>
      <c r="H579" s="10"/>
      <c r="I579" s="11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7"/>
      <c r="B580" s="7"/>
      <c r="C580" s="5"/>
      <c r="D580" s="8"/>
      <c r="E580" s="9"/>
      <c r="F580" s="9"/>
      <c r="G580" s="10"/>
      <c r="H580" s="10"/>
      <c r="I580" s="11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7"/>
      <c r="B581" s="7"/>
      <c r="C581" s="5"/>
      <c r="D581" s="8"/>
      <c r="E581" s="9"/>
      <c r="F581" s="9"/>
      <c r="G581" s="10"/>
      <c r="H581" s="10"/>
      <c r="I581" s="11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7"/>
      <c r="B582" s="7"/>
      <c r="C582" s="5"/>
      <c r="D582" s="8"/>
      <c r="E582" s="9"/>
      <c r="F582" s="9"/>
      <c r="G582" s="10"/>
      <c r="H582" s="10"/>
      <c r="I582" s="11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7"/>
      <c r="B583" s="7"/>
      <c r="C583" s="5"/>
      <c r="D583" s="8"/>
      <c r="E583" s="9"/>
      <c r="F583" s="9"/>
      <c r="G583" s="10"/>
      <c r="H583" s="10"/>
      <c r="I583" s="11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7"/>
      <c r="B584" s="7"/>
      <c r="C584" s="5"/>
      <c r="D584" s="8"/>
      <c r="E584" s="9"/>
      <c r="F584" s="9"/>
      <c r="G584" s="10"/>
      <c r="H584" s="10"/>
      <c r="I584" s="11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7"/>
      <c r="B585" s="7"/>
      <c r="C585" s="5"/>
      <c r="D585" s="8"/>
      <c r="E585" s="9"/>
      <c r="F585" s="9"/>
      <c r="G585" s="10"/>
      <c r="H585" s="10"/>
      <c r="I585" s="11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7"/>
      <c r="B586" s="7"/>
      <c r="C586" s="5"/>
      <c r="D586" s="8"/>
      <c r="E586" s="9"/>
      <c r="F586" s="9"/>
      <c r="G586" s="10"/>
      <c r="H586" s="10"/>
      <c r="I586" s="11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7"/>
      <c r="B587" s="7"/>
      <c r="C587" s="5"/>
      <c r="D587" s="8"/>
      <c r="E587" s="9"/>
      <c r="F587" s="9"/>
      <c r="G587" s="10"/>
      <c r="H587" s="10"/>
      <c r="I587" s="11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7"/>
      <c r="B588" s="7"/>
      <c r="C588" s="5"/>
      <c r="D588" s="8"/>
      <c r="E588" s="9"/>
      <c r="F588" s="9"/>
      <c r="G588" s="10"/>
      <c r="H588" s="10"/>
      <c r="I588" s="11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7"/>
      <c r="B589" s="7"/>
      <c r="C589" s="5"/>
      <c r="D589" s="8"/>
      <c r="E589" s="9"/>
      <c r="F589" s="9"/>
      <c r="G589" s="10"/>
      <c r="H589" s="10"/>
      <c r="I589" s="11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7"/>
      <c r="B590" s="7"/>
      <c r="C590" s="5"/>
      <c r="D590" s="8"/>
      <c r="E590" s="9"/>
      <c r="F590" s="9"/>
      <c r="G590" s="10"/>
      <c r="H590" s="10"/>
      <c r="I590" s="11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7"/>
      <c r="B591" s="7"/>
      <c r="C591" s="5"/>
      <c r="D591" s="8"/>
      <c r="E591" s="9"/>
      <c r="F591" s="9"/>
      <c r="G591" s="10"/>
      <c r="H591" s="10"/>
      <c r="I591" s="11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7"/>
      <c r="B592" s="7"/>
      <c r="C592" s="5"/>
      <c r="D592" s="8"/>
      <c r="E592" s="9"/>
      <c r="F592" s="9"/>
      <c r="G592" s="10"/>
      <c r="H592" s="10"/>
      <c r="I592" s="11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7"/>
      <c r="B593" s="7"/>
      <c r="C593" s="5"/>
      <c r="D593" s="8"/>
      <c r="E593" s="9"/>
      <c r="F593" s="9"/>
      <c r="G593" s="10"/>
      <c r="H593" s="10"/>
      <c r="I593" s="11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7"/>
      <c r="B594" s="7"/>
      <c r="C594" s="5"/>
      <c r="D594" s="8"/>
      <c r="E594" s="9"/>
      <c r="F594" s="9"/>
      <c r="G594" s="10"/>
      <c r="H594" s="10"/>
      <c r="I594" s="11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7"/>
      <c r="B595" s="7"/>
      <c r="C595" s="5"/>
      <c r="D595" s="8"/>
      <c r="E595" s="9"/>
      <c r="F595" s="9"/>
      <c r="G595" s="10"/>
      <c r="H595" s="10"/>
      <c r="I595" s="11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7"/>
      <c r="B596" s="7"/>
      <c r="C596" s="5"/>
      <c r="D596" s="8"/>
      <c r="E596" s="9"/>
      <c r="F596" s="9"/>
      <c r="G596" s="10"/>
      <c r="H596" s="10"/>
      <c r="I596" s="11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7"/>
      <c r="B597" s="7"/>
      <c r="C597" s="5"/>
      <c r="D597" s="8"/>
      <c r="E597" s="9"/>
      <c r="F597" s="9"/>
      <c r="G597" s="10"/>
      <c r="H597" s="10"/>
      <c r="I597" s="11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7"/>
      <c r="B598" s="7"/>
      <c r="C598" s="5"/>
      <c r="D598" s="8"/>
      <c r="E598" s="9"/>
      <c r="F598" s="9"/>
      <c r="G598" s="10"/>
      <c r="H598" s="10"/>
      <c r="I598" s="11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7"/>
      <c r="B599" s="7"/>
      <c r="C599" s="5"/>
      <c r="D599" s="8"/>
      <c r="E599" s="9"/>
      <c r="F599" s="9"/>
      <c r="G599" s="10"/>
      <c r="H599" s="10"/>
      <c r="I599" s="11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7"/>
      <c r="B600" s="7"/>
      <c r="C600" s="5"/>
      <c r="D600" s="8"/>
      <c r="E600" s="9"/>
      <c r="F600" s="9"/>
      <c r="G600" s="10"/>
      <c r="H600" s="10"/>
      <c r="I600" s="11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7"/>
      <c r="B601" s="7"/>
      <c r="C601" s="5"/>
      <c r="D601" s="8"/>
      <c r="E601" s="9"/>
      <c r="F601" s="9"/>
      <c r="G601" s="10"/>
      <c r="H601" s="10"/>
      <c r="I601" s="11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7"/>
      <c r="B602" s="7"/>
      <c r="C602" s="5"/>
      <c r="D602" s="8"/>
      <c r="E602" s="9"/>
      <c r="F602" s="9"/>
      <c r="G602" s="10"/>
      <c r="H602" s="10"/>
      <c r="I602" s="11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7"/>
      <c r="B603" s="7"/>
      <c r="C603" s="5"/>
      <c r="D603" s="8"/>
      <c r="E603" s="9"/>
      <c r="F603" s="9"/>
      <c r="G603" s="10"/>
      <c r="H603" s="10"/>
      <c r="I603" s="11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7"/>
      <c r="B604" s="7"/>
      <c r="C604" s="5"/>
      <c r="D604" s="8"/>
      <c r="E604" s="9"/>
      <c r="F604" s="9"/>
      <c r="G604" s="10"/>
      <c r="H604" s="10"/>
      <c r="I604" s="11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7"/>
      <c r="B605" s="7"/>
      <c r="C605" s="5"/>
      <c r="D605" s="8"/>
      <c r="E605" s="9"/>
      <c r="F605" s="9"/>
      <c r="G605" s="10"/>
      <c r="H605" s="10"/>
      <c r="I605" s="11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7"/>
      <c r="B606" s="7"/>
      <c r="C606" s="5"/>
      <c r="D606" s="8"/>
      <c r="E606" s="9"/>
      <c r="F606" s="9"/>
      <c r="G606" s="10"/>
      <c r="H606" s="10"/>
      <c r="I606" s="11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7"/>
      <c r="B607" s="7"/>
      <c r="C607" s="5"/>
      <c r="D607" s="8"/>
      <c r="E607" s="9"/>
      <c r="F607" s="9"/>
      <c r="G607" s="10"/>
      <c r="H607" s="10"/>
      <c r="I607" s="11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7"/>
      <c r="B608" s="7"/>
      <c r="C608" s="5"/>
      <c r="D608" s="8"/>
      <c r="E608" s="9"/>
      <c r="F608" s="9"/>
      <c r="G608" s="10"/>
      <c r="H608" s="10"/>
      <c r="I608" s="11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7"/>
      <c r="B609" s="7"/>
      <c r="C609" s="5"/>
      <c r="D609" s="8"/>
      <c r="E609" s="9"/>
      <c r="F609" s="9"/>
      <c r="G609" s="10"/>
      <c r="H609" s="10"/>
      <c r="I609" s="11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7"/>
      <c r="B610" s="7"/>
      <c r="C610" s="5"/>
      <c r="D610" s="8"/>
      <c r="E610" s="9"/>
      <c r="F610" s="9"/>
      <c r="G610" s="10"/>
      <c r="H610" s="10"/>
      <c r="I610" s="11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7"/>
      <c r="B611" s="7"/>
      <c r="C611" s="5"/>
      <c r="D611" s="8"/>
      <c r="E611" s="9"/>
      <c r="F611" s="9"/>
      <c r="G611" s="10"/>
      <c r="H611" s="10"/>
      <c r="I611" s="11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7"/>
      <c r="B612" s="7"/>
      <c r="C612" s="5"/>
      <c r="D612" s="8"/>
      <c r="E612" s="9"/>
      <c r="F612" s="9"/>
      <c r="G612" s="10"/>
      <c r="H612" s="10"/>
      <c r="I612" s="11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7"/>
      <c r="B613" s="7"/>
      <c r="C613" s="5"/>
      <c r="D613" s="8"/>
      <c r="E613" s="9"/>
      <c r="F613" s="9"/>
      <c r="G613" s="10"/>
      <c r="H613" s="10"/>
      <c r="I613" s="11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7"/>
      <c r="B614" s="7"/>
      <c r="C614" s="5"/>
      <c r="D614" s="8"/>
      <c r="E614" s="9"/>
      <c r="F614" s="9"/>
      <c r="G614" s="10"/>
      <c r="H614" s="10"/>
      <c r="I614" s="11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7"/>
      <c r="B615" s="7"/>
      <c r="C615" s="5"/>
      <c r="D615" s="8"/>
      <c r="E615" s="9"/>
      <c r="F615" s="9"/>
      <c r="G615" s="10"/>
      <c r="H615" s="10"/>
      <c r="I615" s="11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7"/>
      <c r="B616" s="7"/>
      <c r="C616" s="5"/>
      <c r="D616" s="8"/>
      <c r="E616" s="9"/>
      <c r="F616" s="9"/>
      <c r="G616" s="10"/>
      <c r="H616" s="10"/>
      <c r="I616" s="11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7"/>
      <c r="B617" s="7"/>
      <c r="C617" s="5"/>
      <c r="D617" s="8"/>
      <c r="E617" s="9"/>
      <c r="F617" s="9"/>
      <c r="G617" s="10"/>
      <c r="H617" s="10"/>
      <c r="I617" s="11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7"/>
      <c r="B618" s="7"/>
      <c r="C618" s="5"/>
      <c r="D618" s="8"/>
      <c r="E618" s="9"/>
      <c r="F618" s="9"/>
      <c r="G618" s="10"/>
      <c r="H618" s="10"/>
      <c r="I618" s="11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7"/>
      <c r="B619" s="7"/>
      <c r="C619" s="5"/>
      <c r="D619" s="8"/>
      <c r="E619" s="9"/>
      <c r="F619" s="9"/>
      <c r="G619" s="10"/>
      <c r="H619" s="10"/>
      <c r="I619" s="11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7"/>
      <c r="B620" s="7"/>
      <c r="C620" s="5"/>
      <c r="D620" s="8"/>
      <c r="E620" s="9"/>
      <c r="F620" s="9"/>
      <c r="G620" s="10"/>
      <c r="H620" s="10"/>
      <c r="I620" s="11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7"/>
      <c r="B621" s="7"/>
      <c r="C621" s="5"/>
      <c r="D621" s="8"/>
      <c r="E621" s="9"/>
      <c r="F621" s="9"/>
      <c r="G621" s="10"/>
      <c r="H621" s="10"/>
      <c r="I621" s="11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7"/>
      <c r="B622" s="7"/>
      <c r="C622" s="5"/>
      <c r="D622" s="8"/>
      <c r="E622" s="9"/>
      <c r="F622" s="9"/>
      <c r="G622" s="10"/>
      <c r="H622" s="10"/>
      <c r="I622" s="11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7"/>
      <c r="B623" s="7"/>
      <c r="C623" s="5"/>
      <c r="D623" s="8"/>
      <c r="E623" s="9"/>
      <c r="F623" s="9"/>
      <c r="G623" s="10"/>
      <c r="H623" s="10"/>
      <c r="I623" s="11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7"/>
      <c r="B624" s="7"/>
      <c r="C624" s="5"/>
      <c r="D624" s="8"/>
      <c r="E624" s="9"/>
      <c r="F624" s="9"/>
      <c r="G624" s="10"/>
      <c r="H624" s="10"/>
      <c r="I624" s="11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7"/>
      <c r="B625" s="7"/>
      <c r="C625" s="5"/>
      <c r="D625" s="8"/>
      <c r="E625" s="9"/>
      <c r="F625" s="9"/>
      <c r="G625" s="10"/>
      <c r="H625" s="10"/>
      <c r="I625" s="11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7"/>
      <c r="B626" s="7"/>
      <c r="C626" s="5"/>
      <c r="D626" s="8"/>
      <c r="E626" s="9"/>
      <c r="F626" s="9"/>
      <c r="G626" s="10"/>
      <c r="H626" s="10"/>
      <c r="I626" s="11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7"/>
      <c r="B627" s="7"/>
      <c r="C627" s="5"/>
      <c r="D627" s="8"/>
      <c r="E627" s="9"/>
      <c r="F627" s="9"/>
      <c r="G627" s="10"/>
      <c r="H627" s="10"/>
      <c r="I627" s="11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7"/>
      <c r="B628" s="7"/>
      <c r="C628" s="5"/>
      <c r="D628" s="8"/>
      <c r="E628" s="9"/>
      <c r="F628" s="9"/>
      <c r="G628" s="10"/>
      <c r="H628" s="10"/>
      <c r="I628" s="11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7"/>
      <c r="B629" s="7"/>
      <c r="C629" s="5"/>
      <c r="D629" s="8"/>
      <c r="E629" s="9"/>
      <c r="F629" s="9"/>
      <c r="G629" s="10"/>
      <c r="H629" s="10"/>
      <c r="I629" s="11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7"/>
      <c r="B630" s="7"/>
      <c r="C630" s="5"/>
      <c r="D630" s="8"/>
      <c r="E630" s="9"/>
      <c r="F630" s="9"/>
      <c r="G630" s="10"/>
      <c r="H630" s="10"/>
      <c r="I630" s="11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7"/>
      <c r="B631" s="7"/>
      <c r="C631" s="5"/>
      <c r="D631" s="8"/>
      <c r="E631" s="9"/>
      <c r="F631" s="9"/>
      <c r="G631" s="10"/>
      <c r="H631" s="10"/>
      <c r="I631" s="11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7"/>
      <c r="B632" s="7"/>
      <c r="C632" s="5"/>
      <c r="D632" s="8"/>
      <c r="E632" s="9"/>
      <c r="F632" s="9"/>
      <c r="G632" s="10"/>
      <c r="H632" s="10"/>
      <c r="I632" s="11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7"/>
      <c r="B633" s="7"/>
      <c r="C633" s="5"/>
      <c r="D633" s="8"/>
      <c r="E633" s="9"/>
      <c r="F633" s="9"/>
      <c r="G633" s="10"/>
      <c r="H633" s="10"/>
      <c r="I633" s="11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7"/>
      <c r="B634" s="7"/>
      <c r="C634" s="5"/>
      <c r="D634" s="8"/>
      <c r="E634" s="9"/>
      <c r="F634" s="9"/>
      <c r="G634" s="10"/>
      <c r="H634" s="10"/>
      <c r="I634" s="11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7"/>
      <c r="B635" s="7"/>
      <c r="C635" s="5"/>
      <c r="D635" s="8"/>
      <c r="E635" s="9"/>
      <c r="F635" s="9"/>
      <c r="G635" s="10"/>
      <c r="H635" s="10"/>
      <c r="I635" s="11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7"/>
      <c r="B636" s="7"/>
      <c r="C636" s="5"/>
      <c r="D636" s="8"/>
      <c r="E636" s="9"/>
      <c r="F636" s="9"/>
      <c r="G636" s="10"/>
      <c r="H636" s="10"/>
      <c r="I636" s="11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7"/>
      <c r="B637" s="7"/>
      <c r="C637" s="5"/>
      <c r="D637" s="8"/>
      <c r="E637" s="9"/>
      <c r="F637" s="9"/>
      <c r="G637" s="10"/>
      <c r="H637" s="10"/>
      <c r="I637" s="11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7"/>
      <c r="B638" s="7"/>
      <c r="C638" s="5"/>
      <c r="D638" s="8"/>
      <c r="E638" s="9"/>
      <c r="F638" s="9"/>
      <c r="G638" s="10"/>
      <c r="H638" s="10"/>
      <c r="I638" s="11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7"/>
      <c r="B639" s="7"/>
      <c r="C639" s="5"/>
      <c r="D639" s="8"/>
      <c r="E639" s="9"/>
      <c r="F639" s="9"/>
      <c r="G639" s="10"/>
      <c r="H639" s="10"/>
      <c r="I639" s="11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7"/>
      <c r="B640" s="7"/>
      <c r="C640" s="5"/>
      <c r="D640" s="8"/>
      <c r="E640" s="9"/>
      <c r="F640" s="9"/>
      <c r="G640" s="10"/>
      <c r="H640" s="10"/>
      <c r="I640" s="11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7"/>
      <c r="B641" s="7"/>
      <c r="C641" s="5"/>
      <c r="D641" s="8"/>
      <c r="E641" s="9"/>
      <c r="F641" s="9"/>
      <c r="G641" s="10"/>
      <c r="H641" s="10"/>
      <c r="I641" s="11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7"/>
      <c r="B642" s="7"/>
      <c r="C642" s="5"/>
      <c r="D642" s="8"/>
      <c r="E642" s="9"/>
      <c r="F642" s="9"/>
      <c r="G642" s="10"/>
      <c r="H642" s="10"/>
      <c r="I642" s="11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7"/>
      <c r="B643" s="7"/>
      <c r="C643" s="5"/>
      <c r="D643" s="8"/>
      <c r="E643" s="9"/>
      <c r="F643" s="9"/>
      <c r="G643" s="10"/>
      <c r="H643" s="10"/>
      <c r="I643" s="11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7"/>
      <c r="B644" s="7"/>
      <c r="C644" s="5"/>
      <c r="D644" s="8"/>
      <c r="E644" s="9"/>
      <c r="F644" s="9"/>
      <c r="G644" s="10"/>
      <c r="H644" s="10"/>
      <c r="I644" s="11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7"/>
      <c r="B645" s="7"/>
      <c r="C645" s="5"/>
      <c r="D645" s="8"/>
      <c r="E645" s="9"/>
      <c r="F645" s="9"/>
      <c r="G645" s="10"/>
      <c r="H645" s="10"/>
      <c r="I645" s="11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7"/>
      <c r="B646" s="7"/>
      <c r="C646" s="5"/>
      <c r="D646" s="8"/>
      <c r="E646" s="9"/>
      <c r="F646" s="9"/>
      <c r="G646" s="10"/>
      <c r="H646" s="10"/>
      <c r="I646" s="11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7"/>
      <c r="B647" s="7"/>
      <c r="C647" s="5"/>
      <c r="D647" s="8"/>
      <c r="E647" s="9"/>
      <c r="F647" s="9"/>
      <c r="G647" s="10"/>
      <c r="H647" s="10"/>
      <c r="I647" s="11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7"/>
      <c r="B648" s="7"/>
      <c r="C648" s="5"/>
      <c r="D648" s="8"/>
      <c r="E648" s="9"/>
      <c r="F648" s="9"/>
      <c r="G648" s="10"/>
      <c r="H648" s="10"/>
      <c r="I648" s="11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7"/>
      <c r="B649" s="7"/>
      <c r="C649" s="5"/>
      <c r="D649" s="8"/>
      <c r="E649" s="9"/>
      <c r="F649" s="9"/>
      <c r="G649" s="10"/>
      <c r="H649" s="10"/>
      <c r="I649" s="11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7"/>
      <c r="B650" s="7"/>
      <c r="C650" s="5"/>
      <c r="D650" s="8"/>
      <c r="E650" s="9"/>
      <c r="F650" s="9"/>
      <c r="G650" s="10"/>
      <c r="H650" s="10"/>
      <c r="I650" s="11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7"/>
      <c r="B651" s="7"/>
      <c r="C651" s="5"/>
      <c r="D651" s="8"/>
      <c r="E651" s="9"/>
      <c r="F651" s="9"/>
      <c r="G651" s="10"/>
      <c r="H651" s="10"/>
      <c r="I651" s="11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7"/>
      <c r="B652" s="7"/>
      <c r="C652" s="5"/>
      <c r="D652" s="8"/>
      <c r="E652" s="9"/>
      <c r="F652" s="9"/>
      <c r="G652" s="10"/>
      <c r="H652" s="10"/>
      <c r="I652" s="11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7"/>
      <c r="B653" s="7"/>
      <c r="C653" s="5"/>
      <c r="D653" s="8"/>
      <c r="E653" s="9"/>
      <c r="F653" s="9"/>
      <c r="G653" s="10"/>
      <c r="H653" s="10"/>
      <c r="I653" s="11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7"/>
      <c r="B654" s="7"/>
      <c r="C654" s="5"/>
      <c r="D654" s="8"/>
      <c r="E654" s="9"/>
      <c r="F654" s="9"/>
      <c r="G654" s="10"/>
      <c r="H654" s="10"/>
      <c r="I654" s="11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7"/>
      <c r="B655" s="7"/>
      <c r="C655" s="5"/>
      <c r="D655" s="8"/>
      <c r="E655" s="9"/>
      <c r="F655" s="9"/>
      <c r="G655" s="10"/>
      <c r="H655" s="10"/>
      <c r="I655" s="11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7"/>
      <c r="B656" s="7"/>
      <c r="C656" s="5"/>
      <c r="D656" s="8"/>
      <c r="E656" s="9"/>
      <c r="F656" s="9"/>
      <c r="G656" s="10"/>
      <c r="H656" s="10"/>
      <c r="I656" s="11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7"/>
      <c r="B657" s="7"/>
      <c r="C657" s="5"/>
      <c r="D657" s="8"/>
      <c r="E657" s="9"/>
      <c r="F657" s="9"/>
      <c r="G657" s="10"/>
      <c r="H657" s="10"/>
      <c r="I657" s="11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7"/>
      <c r="B658" s="7"/>
      <c r="C658" s="5"/>
      <c r="D658" s="8"/>
      <c r="E658" s="9"/>
      <c r="F658" s="9"/>
      <c r="G658" s="10"/>
      <c r="H658" s="10"/>
      <c r="I658" s="11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7"/>
      <c r="B659" s="7"/>
      <c r="C659" s="5"/>
      <c r="D659" s="8"/>
      <c r="E659" s="9"/>
      <c r="F659" s="9"/>
      <c r="G659" s="10"/>
      <c r="H659" s="10"/>
      <c r="I659" s="11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7"/>
      <c r="B660" s="7"/>
      <c r="C660" s="5"/>
      <c r="D660" s="8"/>
      <c r="E660" s="9"/>
      <c r="F660" s="9"/>
      <c r="G660" s="10"/>
      <c r="H660" s="10"/>
      <c r="I660" s="11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7"/>
      <c r="B661" s="7"/>
      <c r="C661" s="5"/>
      <c r="D661" s="8"/>
      <c r="E661" s="9"/>
      <c r="F661" s="9"/>
      <c r="G661" s="10"/>
      <c r="H661" s="10"/>
      <c r="I661" s="11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7"/>
      <c r="B662" s="7"/>
      <c r="C662" s="5"/>
      <c r="D662" s="8"/>
      <c r="E662" s="9"/>
      <c r="F662" s="9"/>
      <c r="G662" s="10"/>
      <c r="H662" s="10"/>
      <c r="I662" s="11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7"/>
      <c r="B663" s="7"/>
      <c r="C663" s="5"/>
      <c r="D663" s="8"/>
      <c r="E663" s="9"/>
      <c r="F663" s="9"/>
      <c r="G663" s="10"/>
      <c r="H663" s="10"/>
      <c r="I663" s="11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7"/>
      <c r="B664" s="7"/>
      <c r="C664" s="5"/>
      <c r="D664" s="8"/>
      <c r="E664" s="9"/>
      <c r="F664" s="9"/>
      <c r="G664" s="10"/>
      <c r="H664" s="10"/>
      <c r="I664" s="11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7"/>
      <c r="B665" s="7"/>
      <c r="C665" s="5"/>
      <c r="D665" s="8"/>
      <c r="E665" s="9"/>
      <c r="F665" s="9"/>
      <c r="G665" s="10"/>
      <c r="H665" s="10"/>
      <c r="I665" s="11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7"/>
      <c r="B666" s="7"/>
      <c r="C666" s="5"/>
      <c r="D666" s="8"/>
      <c r="E666" s="9"/>
      <c r="F666" s="9"/>
      <c r="G666" s="10"/>
      <c r="H666" s="10"/>
      <c r="I666" s="11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7"/>
      <c r="B667" s="7"/>
      <c r="C667" s="5"/>
      <c r="D667" s="8"/>
      <c r="E667" s="9"/>
      <c r="F667" s="9"/>
      <c r="G667" s="10"/>
      <c r="H667" s="10"/>
      <c r="I667" s="11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7"/>
      <c r="B668" s="7"/>
      <c r="C668" s="5"/>
      <c r="D668" s="8"/>
      <c r="E668" s="9"/>
      <c r="F668" s="9"/>
      <c r="G668" s="10"/>
      <c r="H668" s="10"/>
      <c r="I668" s="11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7"/>
      <c r="B669" s="7"/>
      <c r="C669" s="5"/>
      <c r="D669" s="8"/>
      <c r="E669" s="9"/>
      <c r="F669" s="9"/>
      <c r="G669" s="10"/>
      <c r="H669" s="10"/>
      <c r="I669" s="11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7"/>
      <c r="B670" s="7"/>
      <c r="C670" s="5"/>
      <c r="D670" s="8"/>
      <c r="E670" s="9"/>
      <c r="F670" s="9"/>
      <c r="G670" s="10"/>
      <c r="H670" s="10"/>
      <c r="I670" s="11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7"/>
      <c r="B671" s="7"/>
      <c r="C671" s="5"/>
      <c r="D671" s="8"/>
      <c r="E671" s="9"/>
      <c r="F671" s="9"/>
      <c r="G671" s="10"/>
      <c r="H671" s="10"/>
      <c r="I671" s="11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7"/>
      <c r="B672" s="7"/>
      <c r="C672" s="5"/>
      <c r="D672" s="8"/>
      <c r="E672" s="9"/>
      <c r="F672" s="9"/>
      <c r="G672" s="10"/>
      <c r="H672" s="10"/>
      <c r="I672" s="11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7"/>
      <c r="B673" s="7"/>
      <c r="C673" s="5"/>
      <c r="D673" s="8"/>
      <c r="E673" s="9"/>
      <c r="F673" s="9"/>
      <c r="G673" s="10"/>
      <c r="H673" s="10"/>
      <c r="I673" s="11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7"/>
      <c r="B674" s="7"/>
      <c r="C674" s="5"/>
      <c r="D674" s="8"/>
      <c r="E674" s="9"/>
      <c r="F674" s="9"/>
      <c r="G674" s="10"/>
      <c r="H674" s="10"/>
      <c r="I674" s="11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7"/>
      <c r="B675" s="7"/>
      <c r="C675" s="5"/>
      <c r="D675" s="8"/>
      <c r="E675" s="9"/>
      <c r="F675" s="9"/>
      <c r="G675" s="10"/>
      <c r="H675" s="10"/>
      <c r="I675" s="11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7"/>
      <c r="B676" s="7"/>
      <c r="C676" s="5"/>
      <c r="D676" s="8"/>
      <c r="E676" s="9"/>
      <c r="F676" s="9"/>
      <c r="G676" s="10"/>
      <c r="H676" s="10"/>
      <c r="I676" s="11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7"/>
      <c r="B677" s="7"/>
      <c r="C677" s="5"/>
      <c r="D677" s="8"/>
      <c r="E677" s="9"/>
      <c r="F677" s="9"/>
      <c r="G677" s="10"/>
      <c r="H677" s="10"/>
      <c r="I677" s="11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7"/>
      <c r="B678" s="7"/>
      <c r="C678" s="5"/>
      <c r="D678" s="8"/>
      <c r="E678" s="9"/>
      <c r="F678" s="9"/>
      <c r="G678" s="10"/>
      <c r="H678" s="10"/>
      <c r="I678" s="11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7"/>
      <c r="B679" s="7"/>
      <c r="C679" s="5"/>
      <c r="D679" s="8"/>
      <c r="E679" s="9"/>
      <c r="F679" s="9"/>
      <c r="G679" s="10"/>
      <c r="H679" s="10"/>
      <c r="I679" s="11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7"/>
      <c r="B680" s="7"/>
      <c r="C680" s="5"/>
      <c r="D680" s="8"/>
      <c r="E680" s="9"/>
      <c r="F680" s="9"/>
      <c r="G680" s="10"/>
      <c r="H680" s="10"/>
      <c r="I680" s="11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7"/>
      <c r="B681" s="7"/>
      <c r="C681" s="5"/>
      <c r="D681" s="8"/>
      <c r="E681" s="9"/>
      <c r="F681" s="9"/>
      <c r="G681" s="10"/>
      <c r="H681" s="10"/>
      <c r="I681" s="11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7"/>
      <c r="B682" s="7"/>
      <c r="C682" s="5"/>
      <c r="D682" s="8"/>
      <c r="E682" s="9"/>
      <c r="F682" s="9"/>
      <c r="G682" s="10"/>
      <c r="H682" s="10"/>
      <c r="I682" s="11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7"/>
      <c r="B683" s="7"/>
      <c r="C683" s="5"/>
      <c r="D683" s="8"/>
      <c r="E683" s="9"/>
      <c r="F683" s="9"/>
      <c r="G683" s="10"/>
      <c r="H683" s="10"/>
      <c r="I683" s="11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7"/>
      <c r="B684" s="7"/>
      <c r="C684" s="5"/>
      <c r="D684" s="8"/>
      <c r="E684" s="9"/>
      <c r="F684" s="9"/>
      <c r="G684" s="10"/>
      <c r="H684" s="10"/>
      <c r="I684" s="11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7"/>
      <c r="B685" s="7"/>
      <c r="C685" s="5"/>
      <c r="D685" s="8"/>
      <c r="E685" s="9"/>
      <c r="F685" s="9"/>
      <c r="G685" s="10"/>
      <c r="H685" s="10"/>
      <c r="I685" s="11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7"/>
      <c r="B686" s="7"/>
      <c r="C686" s="5"/>
      <c r="D686" s="8"/>
      <c r="E686" s="9"/>
      <c r="F686" s="9"/>
      <c r="G686" s="10"/>
      <c r="H686" s="10"/>
      <c r="I686" s="11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7"/>
      <c r="B687" s="7"/>
      <c r="C687" s="5"/>
      <c r="D687" s="8"/>
      <c r="E687" s="9"/>
      <c r="F687" s="9"/>
      <c r="G687" s="10"/>
      <c r="H687" s="10"/>
      <c r="I687" s="11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7"/>
      <c r="B688" s="7"/>
      <c r="C688" s="5"/>
      <c r="D688" s="8"/>
      <c r="E688" s="9"/>
      <c r="F688" s="9"/>
      <c r="G688" s="10"/>
      <c r="H688" s="10"/>
      <c r="I688" s="11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7"/>
      <c r="B689" s="7"/>
      <c r="C689" s="5"/>
      <c r="D689" s="8"/>
      <c r="E689" s="9"/>
      <c r="F689" s="9"/>
      <c r="G689" s="10"/>
      <c r="H689" s="10"/>
      <c r="I689" s="11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7"/>
      <c r="B690" s="7"/>
      <c r="C690" s="5"/>
      <c r="D690" s="8"/>
      <c r="E690" s="9"/>
      <c r="F690" s="9"/>
      <c r="G690" s="10"/>
      <c r="H690" s="10"/>
      <c r="I690" s="11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7"/>
      <c r="B691" s="7"/>
      <c r="C691" s="5"/>
      <c r="D691" s="8"/>
      <c r="E691" s="9"/>
      <c r="F691" s="9"/>
      <c r="G691" s="10"/>
      <c r="H691" s="10"/>
      <c r="I691" s="11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7"/>
      <c r="B692" s="7"/>
      <c r="C692" s="5"/>
      <c r="D692" s="8"/>
      <c r="E692" s="9"/>
      <c r="F692" s="9"/>
      <c r="G692" s="10"/>
      <c r="H692" s="10"/>
      <c r="I692" s="11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7"/>
      <c r="B693" s="7"/>
      <c r="C693" s="5"/>
      <c r="D693" s="8"/>
      <c r="E693" s="9"/>
      <c r="F693" s="9"/>
      <c r="G693" s="10"/>
      <c r="H693" s="10"/>
      <c r="I693" s="11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7"/>
      <c r="B694" s="7"/>
      <c r="C694" s="5"/>
      <c r="D694" s="8"/>
      <c r="E694" s="9"/>
      <c r="F694" s="9"/>
      <c r="G694" s="10"/>
      <c r="H694" s="10"/>
      <c r="I694" s="11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7"/>
      <c r="B695" s="7"/>
      <c r="C695" s="5"/>
      <c r="D695" s="8"/>
      <c r="E695" s="9"/>
      <c r="F695" s="9"/>
      <c r="G695" s="10"/>
      <c r="H695" s="10"/>
      <c r="I695" s="11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7"/>
      <c r="B696" s="7"/>
      <c r="C696" s="5"/>
      <c r="D696" s="8"/>
      <c r="E696" s="9"/>
      <c r="F696" s="9"/>
      <c r="G696" s="10"/>
      <c r="H696" s="10"/>
      <c r="I696" s="11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7"/>
      <c r="B697" s="7"/>
      <c r="C697" s="5"/>
      <c r="D697" s="8"/>
      <c r="E697" s="9"/>
      <c r="F697" s="9"/>
      <c r="G697" s="10"/>
      <c r="H697" s="10"/>
      <c r="I697" s="11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7"/>
      <c r="B698" s="7"/>
      <c r="C698" s="5"/>
      <c r="D698" s="8"/>
      <c r="E698" s="9"/>
      <c r="F698" s="9"/>
      <c r="G698" s="10"/>
      <c r="H698" s="10"/>
      <c r="I698" s="11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7"/>
      <c r="B699" s="7"/>
      <c r="C699" s="5"/>
      <c r="D699" s="8"/>
      <c r="E699" s="9"/>
      <c r="F699" s="9"/>
      <c r="G699" s="10"/>
      <c r="H699" s="10"/>
      <c r="I699" s="11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7"/>
      <c r="B700" s="7"/>
      <c r="C700" s="5"/>
      <c r="D700" s="8"/>
      <c r="E700" s="9"/>
      <c r="F700" s="9"/>
      <c r="G700" s="10"/>
      <c r="H700" s="10"/>
      <c r="I700" s="11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7"/>
      <c r="B701" s="7"/>
      <c r="C701" s="5"/>
      <c r="D701" s="8"/>
      <c r="E701" s="9"/>
      <c r="F701" s="9"/>
      <c r="G701" s="10"/>
      <c r="H701" s="10"/>
      <c r="I701" s="11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7"/>
      <c r="B702" s="7"/>
      <c r="C702" s="5"/>
      <c r="D702" s="8"/>
      <c r="E702" s="9"/>
      <c r="F702" s="9"/>
      <c r="G702" s="10"/>
      <c r="H702" s="10"/>
      <c r="I702" s="11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7"/>
      <c r="B703" s="7"/>
      <c r="C703" s="5"/>
      <c r="D703" s="8"/>
      <c r="E703" s="9"/>
      <c r="F703" s="9"/>
      <c r="G703" s="10"/>
      <c r="H703" s="10"/>
      <c r="I703" s="11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7"/>
      <c r="B704" s="7"/>
      <c r="C704" s="5"/>
      <c r="D704" s="8"/>
      <c r="E704" s="9"/>
      <c r="F704" s="9"/>
      <c r="G704" s="10"/>
      <c r="H704" s="10"/>
      <c r="I704" s="11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7"/>
      <c r="B705" s="7"/>
      <c r="C705" s="5"/>
      <c r="D705" s="8"/>
      <c r="E705" s="9"/>
      <c r="F705" s="9"/>
      <c r="G705" s="10"/>
      <c r="H705" s="10"/>
      <c r="I705" s="11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7"/>
      <c r="B706" s="7"/>
      <c r="C706" s="5"/>
      <c r="D706" s="8"/>
      <c r="E706" s="9"/>
      <c r="F706" s="9"/>
      <c r="G706" s="10"/>
      <c r="H706" s="10"/>
      <c r="I706" s="11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7"/>
      <c r="B707" s="7"/>
      <c r="C707" s="5"/>
      <c r="D707" s="8"/>
      <c r="E707" s="9"/>
      <c r="F707" s="9"/>
      <c r="G707" s="10"/>
      <c r="H707" s="10"/>
      <c r="I707" s="11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7"/>
      <c r="B708" s="7"/>
      <c r="C708" s="5"/>
      <c r="D708" s="8"/>
      <c r="E708" s="9"/>
      <c r="F708" s="9"/>
      <c r="G708" s="10"/>
      <c r="H708" s="10"/>
      <c r="I708" s="11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7"/>
      <c r="B709" s="7"/>
      <c r="C709" s="5"/>
      <c r="D709" s="8"/>
      <c r="E709" s="9"/>
      <c r="F709" s="9"/>
      <c r="G709" s="10"/>
      <c r="H709" s="10"/>
      <c r="I709" s="11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7"/>
      <c r="B710" s="7"/>
      <c r="C710" s="5"/>
      <c r="D710" s="8"/>
      <c r="E710" s="9"/>
      <c r="F710" s="9"/>
      <c r="G710" s="10"/>
      <c r="H710" s="10"/>
      <c r="I710" s="11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7"/>
      <c r="B711" s="7"/>
      <c r="C711" s="5"/>
      <c r="D711" s="8"/>
      <c r="E711" s="9"/>
      <c r="F711" s="9"/>
      <c r="G711" s="10"/>
      <c r="H711" s="10"/>
      <c r="I711" s="11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7"/>
      <c r="B712" s="7"/>
      <c r="C712" s="5"/>
      <c r="D712" s="8"/>
      <c r="E712" s="9"/>
      <c r="F712" s="9"/>
      <c r="G712" s="10"/>
      <c r="H712" s="10"/>
      <c r="I712" s="11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7"/>
      <c r="B713" s="7"/>
      <c r="C713" s="5"/>
      <c r="D713" s="8"/>
      <c r="E713" s="9"/>
      <c r="F713" s="9"/>
      <c r="G713" s="10"/>
      <c r="H713" s="10"/>
      <c r="I713" s="11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7"/>
      <c r="B714" s="7"/>
      <c r="C714" s="5"/>
      <c r="D714" s="8"/>
      <c r="E714" s="9"/>
      <c r="F714" s="9"/>
      <c r="G714" s="10"/>
      <c r="H714" s="10"/>
      <c r="I714" s="11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7"/>
      <c r="B715" s="7"/>
      <c r="C715" s="5"/>
      <c r="D715" s="8"/>
      <c r="E715" s="9"/>
      <c r="F715" s="9"/>
      <c r="G715" s="10"/>
      <c r="H715" s="10"/>
      <c r="I715" s="11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7"/>
      <c r="B716" s="7"/>
      <c r="C716" s="5"/>
      <c r="D716" s="8"/>
      <c r="E716" s="9"/>
      <c r="F716" s="9"/>
      <c r="G716" s="10"/>
      <c r="H716" s="10"/>
      <c r="I716" s="11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7"/>
      <c r="B717" s="7"/>
      <c r="C717" s="5"/>
      <c r="D717" s="8"/>
      <c r="E717" s="9"/>
      <c r="F717" s="9"/>
      <c r="G717" s="10"/>
      <c r="H717" s="10"/>
      <c r="I717" s="11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7"/>
      <c r="B718" s="7"/>
      <c r="C718" s="5"/>
      <c r="D718" s="8"/>
      <c r="E718" s="9"/>
      <c r="F718" s="9"/>
      <c r="G718" s="10"/>
      <c r="H718" s="10"/>
      <c r="I718" s="11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7"/>
      <c r="B719" s="7"/>
      <c r="C719" s="5"/>
      <c r="D719" s="8"/>
      <c r="E719" s="9"/>
      <c r="F719" s="9"/>
      <c r="G719" s="10"/>
      <c r="H719" s="10"/>
      <c r="I719" s="11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7"/>
      <c r="B720" s="7"/>
      <c r="C720" s="5"/>
      <c r="D720" s="8"/>
      <c r="E720" s="9"/>
      <c r="F720" s="9"/>
      <c r="G720" s="10"/>
      <c r="H720" s="10"/>
      <c r="I720" s="11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7"/>
      <c r="B721" s="7"/>
      <c r="C721" s="5"/>
      <c r="D721" s="8"/>
      <c r="E721" s="9"/>
      <c r="F721" s="9"/>
      <c r="G721" s="10"/>
      <c r="H721" s="10"/>
      <c r="I721" s="11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7"/>
      <c r="B722" s="7"/>
      <c r="C722" s="5"/>
      <c r="D722" s="8"/>
      <c r="E722" s="9"/>
      <c r="F722" s="9"/>
      <c r="G722" s="10"/>
      <c r="H722" s="10"/>
      <c r="I722" s="11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7"/>
      <c r="B723" s="7"/>
      <c r="C723" s="5"/>
      <c r="D723" s="8"/>
      <c r="E723" s="9"/>
      <c r="F723" s="9"/>
      <c r="G723" s="10"/>
      <c r="H723" s="10"/>
      <c r="I723" s="11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7"/>
      <c r="B724" s="7"/>
      <c r="C724" s="5"/>
      <c r="D724" s="8"/>
      <c r="E724" s="9"/>
      <c r="F724" s="9"/>
      <c r="G724" s="10"/>
      <c r="H724" s="10"/>
      <c r="I724" s="11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7"/>
      <c r="B725" s="7"/>
      <c r="C725" s="5"/>
      <c r="D725" s="8"/>
      <c r="E725" s="9"/>
      <c r="F725" s="9"/>
      <c r="G725" s="10"/>
      <c r="H725" s="10"/>
      <c r="I725" s="11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7"/>
      <c r="B726" s="7"/>
      <c r="C726" s="5"/>
      <c r="D726" s="8"/>
      <c r="E726" s="9"/>
      <c r="F726" s="9"/>
      <c r="G726" s="10"/>
      <c r="H726" s="10"/>
      <c r="I726" s="11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7"/>
      <c r="B727" s="7"/>
      <c r="C727" s="5"/>
      <c r="D727" s="8"/>
      <c r="E727" s="9"/>
      <c r="F727" s="9"/>
      <c r="G727" s="10"/>
      <c r="H727" s="10"/>
      <c r="I727" s="11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7"/>
      <c r="B728" s="7"/>
      <c r="C728" s="5"/>
      <c r="D728" s="8"/>
      <c r="E728" s="9"/>
      <c r="F728" s="9"/>
      <c r="G728" s="10"/>
      <c r="H728" s="10"/>
      <c r="I728" s="11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7"/>
      <c r="B729" s="7"/>
      <c r="C729" s="5"/>
      <c r="D729" s="8"/>
      <c r="E729" s="9"/>
      <c r="F729" s="9"/>
      <c r="G729" s="10"/>
      <c r="H729" s="10"/>
      <c r="I729" s="11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7"/>
      <c r="B730" s="7"/>
      <c r="C730" s="5"/>
      <c r="D730" s="8"/>
      <c r="E730" s="9"/>
      <c r="F730" s="9"/>
      <c r="G730" s="10"/>
      <c r="H730" s="10"/>
      <c r="I730" s="11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7"/>
      <c r="B731" s="7"/>
      <c r="C731" s="5"/>
      <c r="D731" s="8"/>
      <c r="E731" s="9"/>
      <c r="F731" s="9"/>
      <c r="G731" s="10"/>
      <c r="H731" s="10"/>
      <c r="I731" s="11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7"/>
      <c r="B732" s="7"/>
      <c r="C732" s="5"/>
      <c r="D732" s="8"/>
      <c r="E732" s="9"/>
      <c r="F732" s="9"/>
      <c r="G732" s="10"/>
      <c r="H732" s="10"/>
      <c r="I732" s="11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7"/>
      <c r="B733" s="7"/>
      <c r="C733" s="5"/>
      <c r="D733" s="8"/>
      <c r="E733" s="9"/>
      <c r="F733" s="9"/>
      <c r="G733" s="10"/>
      <c r="H733" s="10"/>
      <c r="I733" s="11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7"/>
      <c r="B734" s="7"/>
      <c r="C734" s="5"/>
      <c r="D734" s="8"/>
      <c r="E734" s="9"/>
      <c r="F734" s="9"/>
      <c r="G734" s="10"/>
      <c r="H734" s="10"/>
      <c r="I734" s="11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7"/>
      <c r="B735" s="7"/>
      <c r="C735" s="5"/>
      <c r="D735" s="8"/>
      <c r="E735" s="9"/>
      <c r="F735" s="9"/>
      <c r="G735" s="10"/>
      <c r="H735" s="10"/>
      <c r="I735" s="11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7"/>
      <c r="B736" s="7"/>
      <c r="C736" s="5"/>
      <c r="D736" s="8"/>
      <c r="E736" s="9"/>
      <c r="F736" s="9"/>
      <c r="G736" s="10"/>
      <c r="H736" s="10"/>
      <c r="I736" s="11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7"/>
      <c r="B737" s="7"/>
      <c r="C737" s="5"/>
      <c r="D737" s="8"/>
      <c r="E737" s="9"/>
      <c r="F737" s="9"/>
      <c r="G737" s="10"/>
      <c r="H737" s="10"/>
      <c r="I737" s="11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7"/>
      <c r="B738" s="7"/>
      <c r="C738" s="5"/>
      <c r="D738" s="8"/>
      <c r="E738" s="9"/>
      <c r="F738" s="9"/>
      <c r="G738" s="10"/>
      <c r="H738" s="10"/>
      <c r="I738" s="11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7"/>
      <c r="B739" s="7"/>
      <c r="C739" s="5"/>
      <c r="D739" s="8"/>
      <c r="E739" s="9"/>
      <c r="F739" s="9"/>
      <c r="G739" s="10"/>
      <c r="H739" s="10"/>
      <c r="I739" s="11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7"/>
      <c r="B740" s="7"/>
      <c r="C740" s="5"/>
      <c r="D740" s="8"/>
      <c r="E740" s="9"/>
      <c r="F740" s="9"/>
      <c r="G740" s="10"/>
      <c r="H740" s="10"/>
      <c r="I740" s="11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7"/>
      <c r="B741" s="7"/>
      <c r="C741" s="5"/>
      <c r="D741" s="8"/>
      <c r="E741" s="9"/>
      <c r="F741" s="9"/>
      <c r="G741" s="10"/>
      <c r="H741" s="10"/>
      <c r="I741" s="11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7"/>
      <c r="B742" s="7"/>
      <c r="C742" s="5"/>
      <c r="D742" s="8"/>
      <c r="E742" s="9"/>
      <c r="F742" s="9"/>
      <c r="G742" s="10"/>
      <c r="H742" s="10"/>
      <c r="I742" s="11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7"/>
      <c r="B743" s="7"/>
      <c r="C743" s="5"/>
      <c r="D743" s="8"/>
      <c r="E743" s="9"/>
      <c r="F743" s="9"/>
      <c r="G743" s="10"/>
      <c r="H743" s="10"/>
      <c r="I743" s="11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7"/>
      <c r="B744" s="7"/>
      <c r="C744" s="5"/>
      <c r="D744" s="8"/>
      <c r="E744" s="9"/>
      <c r="F744" s="9"/>
      <c r="G744" s="10"/>
      <c r="H744" s="10"/>
      <c r="I744" s="11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7"/>
      <c r="B745" s="7"/>
      <c r="C745" s="5"/>
      <c r="D745" s="8"/>
      <c r="E745" s="9"/>
      <c r="F745" s="9"/>
      <c r="G745" s="10"/>
      <c r="H745" s="10"/>
      <c r="I745" s="11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7"/>
      <c r="B746" s="7"/>
      <c r="C746" s="5"/>
      <c r="D746" s="8"/>
      <c r="E746" s="9"/>
      <c r="F746" s="9"/>
      <c r="G746" s="10"/>
      <c r="H746" s="10"/>
      <c r="I746" s="11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7"/>
      <c r="B747" s="7"/>
      <c r="C747" s="5"/>
      <c r="D747" s="8"/>
      <c r="E747" s="9"/>
      <c r="F747" s="9"/>
      <c r="G747" s="10"/>
      <c r="H747" s="10"/>
      <c r="I747" s="11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7"/>
      <c r="B748" s="7"/>
      <c r="C748" s="5"/>
      <c r="D748" s="8"/>
      <c r="E748" s="9"/>
      <c r="F748" s="9"/>
      <c r="G748" s="10"/>
      <c r="H748" s="10"/>
      <c r="I748" s="11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7"/>
      <c r="B749" s="7"/>
      <c r="C749" s="5"/>
      <c r="D749" s="8"/>
      <c r="E749" s="9"/>
      <c r="F749" s="9"/>
      <c r="G749" s="10"/>
      <c r="H749" s="10"/>
      <c r="I749" s="11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7"/>
      <c r="B750" s="7"/>
      <c r="C750" s="5"/>
      <c r="D750" s="8"/>
      <c r="E750" s="9"/>
      <c r="F750" s="9"/>
      <c r="G750" s="10"/>
      <c r="H750" s="10"/>
      <c r="I750" s="11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7"/>
      <c r="B751" s="7"/>
      <c r="C751" s="5"/>
      <c r="D751" s="8"/>
      <c r="E751" s="9"/>
      <c r="F751" s="9"/>
      <c r="G751" s="10"/>
      <c r="H751" s="10"/>
      <c r="I751" s="11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7"/>
      <c r="B752" s="7"/>
      <c r="C752" s="5"/>
      <c r="D752" s="8"/>
      <c r="E752" s="9"/>
      <c r="F752" s="9"/>
      <c r="G752" s="10"/>
      <c r="H752" s="10"/>
      <c r="I752" s="11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7"/>
      <c r="B753" s="7"/>
      <c r="C753" s="5"/>
      <c r="D753" s="8"/>
      <c r="E753" s="9"/>
      <c r="F753" s="9"/>
      <c r="G753" s="10"/>
      <c r="H753" s="10"/>
      <c r="I753" s="11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7"/>
      <c r="B754" s="7"/>
      <c r="C754" s="5"/>
      <c r="D754" s="8"/>
      <c r="E754" s="9"/>
      <c r="F754" s="9"/>
      <c r="G754" s="10"/>
      <c r="H754" s="10"/>
      <c r="I754" s="11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7"/>
      <c r="B755" s="7"/>
      <c r="C755" s="5"/>
      <c r="D755" s="8"/>
      <c r="E755" s="9"/>
      <c r="F755" s="9"/>
      <c r="G755" s="10"/>
      <c r="H755" s="10"/>
      <c r="I755" s="11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7"/>
      <c r="B756" s="7"/>
      <c r="C756" s="5"/>
      <c r="D756" s="8"/>
      <c r="E756" s="9"/>
      <c r="F756" s="9"/>
      <c r="G756" s="10"/>
      <c r="H756" s="10"/>
      <c r="I756" s="11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7"/>
      <c r="B757" s="7"/>
      <c r="C757" s="5"/>
      <c r="D757" s="8"/>
      <c r="E757" s="9"/>
      <c r="F757" s="9"/>
      <c r="G757" s="10"/>
      <c r="H757" s="10"/>
      <c r="I757" s="11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7"/>
      <c r="B758" s="7"/>
      <c r="C758" s="5"/>
      <c r="D758" s="8"/>
      <c r="E758" s="9"/>
      <c r="F758" s="9"/>
      <c r="G758" s="10"/>
      <c r="H758" s="10"/>
      <c r="I758" s="11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7"/>
      <c r="B759" s="7"/>
      <c r="C759" s="5"/>
      <c r="D759" s="8"/>
      <c r="E759" s="9"/>
      <c r="F759" s="9"/>
      <c r="G759" s="10"/>
      <c r="H759" s="10"/>
      <c r="I759" s="11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7"/>
      <c r="B760" s="7"/>
      <c r="C760" s="5"/>
      <c r="D760" s="8"/>
      <c r="E760" s="9"/>
      <c r="F760" s="9"/>
      <c r="G760" s="10"/>
      <c r="H760" s="10"/>
      <c r="I760" s="11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7"/>
      <c r="B761" s="7"/>
      <c r="C761" s="5"/>
      <c r="D761" s="8"/>
      <c r="E761" s="9"/>
      <c r="F761" s="9"/>
      <c r="G761" s="10"/>
      <c r="H761" s="10"/>
      <c r="I761" s="11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7"/>
      <c r="B762" s="7"/>
      <c r="C762" s="5"/>
      <c r="D762" s="8"/>
      <c r="E762" s="9"/>
      <c r="F762" s="9"/>
      <c r="G762" s="10"/>
      <c r="H762" s="10"/>
      <c r="I762" s="11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7"/>
      <c r="B763" s="7"/>
      <c r="C763" s="5"/>
      <c r="D763" s="8"/>
      <c r="E763" s="9"/>
      <c r="F763" s="9"/>
      <c r="G763" s="10"/>
      <c r="H763" s="10"/>
      <c r="I763" s="11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7"/>
      <c r="B764" s="7"/>
      <c r="C764" s="5"/>
      <c r="D764" s="8"/>
      <c r="E764" s="9"/>
      <c r="F764" s="9"/>
      <c r="G764" s="10"/>
      <c r="H764" s="10"/>
      <c r="I764" s="11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7"/>
      <c r="B765" s="7"/>
      <c r="C765" s="5"/>
      <c r="D765" s="8"/>
      <c r="E765" s="9"/>
      <c r="F765" s="9"/>
      <c r="G765" s="10"/>
      <c r="H765" s="10"/>
      <c r="I765" s="11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7"/>
      <c r="B766" s="7"/>
      <c r="C766" s="5"/>
      <c r="D766" s="8"/>
      <c r="E766" s="9"/>
      <c r="F766" s="9"/>
      <c r="G766" s="10"/>
      <c r="H766" s="10"/>
      <c r="I766" s="11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7"/>
      <c r="B767" s="7"/>
      <c r="C767" s="5"/>
      <c r="D767" s="8"/>
      <c r="E767" s="9"/>
      <c r="F767" s="9"/>
      <c r="G767" s="10"/>
      <c r="H767" s="10"/>
      <c r="I767" s="11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7"/>
      <c r="B768" s="7"/>
      <c r="C768" s="5"/>
      <c r="D768" s="8"/>
      <c r="E768" s="9"/>
      <c r="F768" s="9"/>
      <c r="G768" s="10"/>
      <c r="H768" s="10"/>
      <c r="I768" s="11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7"/>
      <c r="B769" s="7"/>
      <c r="C769" s="5"/>
      <c r="D769" s="8"/>
      <c r="E769" s="9"/>
      <c r="F769" s="9"/>
      <c r="G769" s="10"/>
      <c r="H769" s="10"/>
      <c r="I769" s="11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7"/>
      <c r="B770" s="7"/>
      <c r="C770" s="5"/>
      <c r="D770" s="8"/>
      <c r="E770" s="9"/>
      <c r="F770" s="9"/>
      <c r="G770" s="10"/>
      <c r="H770" s="10"/>
      <c r="I770" s="11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7"/>
      <c r="B771" s="7"/>
      <c r="C771" s="5"/>
      <c r="D771" s="8"/>
      <c r="E771" s="9"/>
      <c r="F771" s="9"/>
      <c r="G771" s="10"/>
      <c r="H771" s="10"/>
      <c r="I771" s="11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7"/>
      <c r="B772" s="7"/>
      <c r="C772" s="5"/>
      <c r="D772" s="8"/>
      <c r="E772" s="9"/>
      <c r="F772" s="9"/>
      <c r="G772" s="10"/>
      <c r="H772" s="10"/>
      <c r="I772" s="11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7"/>
      <c r="B773" s="7"/>
      <c r="C773" s="5"/>
      <c r="D773" s="8"/>
      <c r="E773" s="9"/>
      <c r="F773" s="9"/>
      <c r="G773" s="10"/>
      <c r="H773" s="10"/>
      <c r="I773" s="11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7"/>
      <c r="B774" s="7"/>
      <c r="C774" s="5"/>
      <c r="D774" s="8"/>
      <c r="E774" s="9"/>
      <c r="F774" s="9"/>
      <c r="G774" s="10"/>
      <c r="H774" s="10"/>
      <c r="I774" s="11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7"/>
      <c r="B775" s="7"/>
      <c r="C775" s="5"/>
      <c r="D775" s="8"/>
      <c r="E775" s="9"/>
      <c r="F775" s="9"/>
      <c r="G775" s="10"/>
      <c r="H775" s="10"/>
      <c r="I775" s="11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7"/>
      <c r="B776" s="7"/>
      <c r="C776" s="5"/>
      <c r="D776" s="8"/>
      <c r="E776" s="9"/>
      <c r="F776" s="9"/>
      <c r="G776" s="10"/>
      <c r="H776" s="10"/>
      <c r="I776" s="11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7"/>
      <c r="B777" s="7"/>
      <c r="C777" s="5"/>
      <c r="D777" s="8"/>
      <c r="E777" s="9"/>
      <c r="F777" s="9"/>
      <c r="G777" s="10"/>
      <c r="H777" s="10"/>
      <c r="I777" s="11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7"/>
      <c r="B778" s="7"/>
      <c r="C778" s="5"/>
      <c r="D778" s="8"/>
      <c r="E778" s="9"/>
      <c r="F778" s="9"/>
      <c r="G778" s="10"/>
      <c r="H778" s="10"/>
      <c r="I778" s="11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7"/>
      <c r="B779" s="7"/>
      <c r="C779" s="5"/>
      <c r="D779" s="8"/>
      <c r="E779" s="9"/>
      <c r="F779" s="9"/>
      <c r="G779" s="10"/>
      <c r="H779" s="10"/>
      <c r="I779" s="11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7"/>
      <c r="B780" s="7"/>
      <c r="C780" s="5"/>
      <c r="D780" s="8"/>
      <c r="E780" s="9"/>
      <c r="F780" s="9"/>
      <c r="G780" s="10"/>
      <c r="H780" s="10"/>
      <c r="I780" s="11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7"/>
      <c r="B781" s="7"/>
      <c r="C781" s="5"/>
      <c r="D781" s="8"/>
      <c r="E781" s="9"/>
      <c r="F781" s="9"/>
      <c r="G781" s="10"/>
      <c r="H781" s="10"/>
      <c r="I781" s="11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7"/>
      <c r="B782" s="7"/>
      <c r="C782" s="5"/>
      <c r="D782" s="8"/>
      <c r="E782" s="9"/>
      <c r="F782" s="9"/>
      <c r="G782" s="10"/>
      <c r="H782" s="10"/>
      <c r="I782" s="11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7"/>
      <c r="B783" s="7"/>
      <c r="C783" s="5"/>
      <c r="D783" s="8"/>
      <c r="E783" s="9"/>
      <c r="F783" s="9"/>
      <c r="G783" s="10"/>
      <c r="H783" s="10"/>
      <c r="I783" s="11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7"/>
      <c r="B784" s="7"/>
      <c r="C784" s="5"/>
      <c r="D784" s="8"/>
      <c r="E784" s="9"/>
      <c r="F784" s="9"/>
      <c r="G784" s="10"/>
      <c r="H784" s="10"/>
      <c r="I784" s="11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7"/>
      <c r="B785" s="7"/>
      <c r="C785" s="5"/>
      <c r="D785" s="8"/>
      <c r="E785" s="9"/>
      <c r="F785" s="9"/>
      <c r="G785" s="10"/>
      <c r="H785" s="10"/>
      <c r="I785" s="11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7"/>
      <c r="B786" s="7"/>
      <c r="C786" s="5"/>
      <c r="D786" s="8"/>
      <c r="E786" s="9"/>
      <c r="F786" s="9"/>
      <c r="G786" s="10"/>
      <c r="H786" s="10"/>
      <c r="I786" s="11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7"/>
      <c r="B787" s="7"/>
      <c r="C787" s="5"/>
      <c r="D787" s="8"/>
      <c r="E787" s="9"/>
      <c r="F787" s="9"/>
      <c r="G787" s="10"/>
      <c r="H787" s="10"/>
      <c r="I787" s="11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7"/>
      <c r="B788" s="7"/>
      <c r="C788" s="5"/>
      <c r="D788" s="8"/>
      <c r="E788" s="9"/>
      <c r="F788" s="9"/>
      <c r="G788" s="10"/>
      <c r="H788" s="10"/>
      <c r="I788" s="11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7"/>
      <c r="B789" s="7"/>
      <c r="C789" s="5"/>
      <c r="D789" s="8"/>
      <c r="E789" s="9"/>
      <c r="F789" s="9"/>
      <c r="G789" s="10"/>
      <c r="H789" s="10"/>
      <c r="I789" s="11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7"/>
      <c r="B790" s="7"/>
      <c r="C790" s="5"/>
      <c r="D790" s="8"/>
      <c r="E790" s="9"/>
      <c r="F790" s="9"/>
      <c r="G790" s="10"/>
      <c r="H790" s="10"/>
      <c r="I790" s="11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7"/>
      <c r="B791" s="7"/>
      <c r="C791" s="5"/>
      <c r="D791" s="8"/>
      <c r="E791" s="9"/>
      <c r="F791" s="9"/>
      <c r="G791" s="10"/>
      <c r="H791" s="10"/>
      <c r="I791" s="11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7"/>
      <c r="B792" s="7"/>
      <c r="C792" s="5"/>
      <c r="D792" s="8"/>
      <c r="E792" s="9"/>
      <c r="F792" s="9"/>
      <c r="G792" s="10"/>
      <c r="H792" s="10"/>
      <c r="I792" s="11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7"/>
      <c r="B793" s="7"/>
      <c r="C793" s="5"/>
      <c r="D793" s="8"/>
      <c r="E793" s="9"/>
      <c r="F793" s="9"/>
      <c r="G793" s="10"/>
      <c r="H793" s="10"/>
      <c r="I793" s="11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7"/>
      <c r="B794" s="7"/>
      <c r="C794" s="5"/>
      <c r="D794" s="8"/>
      <c r="E794" s="9"/>
      <c r="F794" s="9"/>
      <c r="G794" s="10"/>
      <c r="H794" s="10"/>
      <c r="I794" s="11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7"/>
      <c r="B795" s="7"/>
      <c r="C795" s="5"/>
      <c r="D795" s="8"/>
      <c r="E795" s="9"/>
      <c r="F795" s="9"/>
      <c r="G795" s="10"/>
      <c r="H795" s="10"/>
      <c r="I795" s="11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7"/>
      <c r="B796" s="7"/>
      <c r="C796" s="5"/>
      <c r="D796" s="8"/>
      <c r="E796" s="9"/>
      <c r="F796" s="9"/>
      <c r="G796" s="10"/>
      <c r="H796" s="10"/>
      <c r="I796" s="11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7"/>
      <c r="B797" s="7"/>
      <c r="C797" s="5"/>
      <c r="D797" s="8"/>
      <c r="E797" s="9"/>
      <c r="F797" s="9"/>
      <c r="G797" s="10"/>
      <c r="H797" s="10"/>
      <c r="I797" s="11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7"/>
      <c r="B798" s="7"/>
      <c r="C798" s="5"/>
      <c r="D798" s="8"/>
      <c r="E798" s="9"/>
      <c r="F798" s="9"/>
      <c r="G798" s="10"/>
      <c r="H798" s="10"/>
      <c r="I798" s="11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7"/>
      <c r="B799" s="7"/>
      <c r="C799" s="5"/>
      <c r="D799" s="8"/>
      <c r="E799" s="9"/>
      <c r="F799" s="9"/>
      <c r="G799" s="10"/>
      <c r="H799" s="10"/>
      <c r="I799" s="11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7"/>
      <c r="B800" s="7"/>
      <c r="C800" s="5"/>
      <c r="D800" s="8"/>
      <c r="E800" s="9"/>
      <c r="F800" s="9"/>
      <c r="G800" s="10"/>
      <c r="H800" s="10"/>
      <c r="I800" s="11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7"/>
      <c r="B801" s="7"/>
      <c r="C801" s="5"/>
      <c r="D801" s="8"/>
      <c r="E801" s="9"/>
      <c r="F801" s="9"/>
      <c r="G801" s="10"/>
      <c r="H801" s="10"/>
      <c r="I801" s="11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7"/>
      <c r="B802" s="7"/>
      <c r="C802" s="5"/>
      <c r="D802" s="8"/>
      <c r="E802" s="9"/>
      <c r="F802" s="9"/>
      <c r="G802" s="10"/>
      <c r="H802" s="10"/>
      <c r="I802" s="11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7"/>
      <c r="B803" s="7"/>
      <c r="C803" s="5"/>
      <c r="D803" s="8"/>
      <c r="E803" s="9"/>
      <c r="F803" s="9"/>
      <c r="G803" s="10"/>
      <c r="H803" s="10"/>
      <c r="I803" s="11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7"/>
      <c r="B804" s="7"/>
      <c r="C804" s="5"/>
      <c r="D804" s="8"/>
      <c r="E804" s="9"/>
      <c r="F804" s="9"/>
      <c r="G804" s="10"/>
      <c r="H804" s="10"/>
      <c r="I804" s="11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7"/>
      <c r="B805" s="7"/>
      <c r="C805" s="5"/>
      <c r="D805" s="8"/>
      <c r="E805" s="9"/>
      <c r="F805" s="9"/>
      <c r="G805" s="10"/>
      <c r="H805" s="10"/>
      <c r="I805" s="11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7"/>
      <c r="B806" s="7"/>
      <c r="C806" s="5"/>
      <c r="D806" s="8"/>
      <c r="E806" s="9"/>
      <c r="F806" s="9"/>
      <c r="G806" s="10"/>
      <c r="H806" s="10"/>
      <c r="I806" s="11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7"/>
      <c r="B807" s="7"/>
      <c r="C807" s="5"/>
      <c r="D807" s="8"/>
      <c r="E807" s="9"/>
      <c r="F807" s="9"/>
      <c r="G807" s="10"/>
      <c r="H807" s="10"/>
      <c r="I807" s="11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7"/>
      <c r="B808" s="7"/>
      <c r="C808" s="5"/>
      <c r="D808" s="8"/>
      <c r="E808" s="9"/>
      <c r="F808" s="9"/>
      <c r="G808" s="10"/>
      <c r="H808" s="10"/>
      <c r="I808" s="11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7"/>
      <c r="B809" s="7"/>
      <c r="C809" s="5"/>
      <c r="D809" s="8"/>
      <c r="E809" s="9"/>
      <c r="F809" s="9"/>
      <c r="G809" s="10"/>
      <c r="H809" s="10"/>
      <c r="I809" s="11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7"/>
      <c r="B810" s="7"/>
      <c r="C810" s="5"/>
      <c r="D810" s="8"/>
      <c r="E810" s="9"/>
      <c r="F810" s="9"/>
      <c r="G810" s="10"/>
      <c r="H810" s="10"/>
      <c r="I810" s="11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7"/>
      <c r="B811" s="7"/>
      <c r="C811" s="5"/>
      <c r="D811" s="8"/>
      <c r="E811" s="9"/>
      <c r="F811" s="9"/>
      <c r="G811" s="10"/>
      <c r="H811" s="10"/>
      <c r="I811" s="11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7"/>
      <c r="B812" s="7"/>
      <c r="C812" s="5"/>
      <c r="D812" s="8"/>
      <c r="E812" s="9"/>
      <c r="F812" s="9"/>
      <c r="G812" s="10"/>
      <c r="H812" s="10"/>
      <c r="I812" s="11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7"/>
      <c r="B813" s="7"/>
      <c r="C813" s="5"/>
      <c r="D813" s="8"/>
      <c r="E813" s="9"/>
      <c r="F813" s="9"/>
      <c r="G813" s="10"/>
      <c r="H813" s="10"/>
      <c r="I813" s="11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7"/>
      <c r="B814" s="7"/>
      <c r="C814" s="5"/>
      <c r="D814" s="8"/>
      <c r="E814" s="9"/>
      <c r="F814" s="9"/>
      <c r="G814" s="10"/>
      <c r="H814" s="10"/>
      <c r="I814" s="11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7"/>
      <c r="B815" s="7"/>
      <c r="C815" s="5"/>
      <c r="D815" s="8"/>
      <c r="E815" s="9"/>
      <c r="F815" s="9"/>
      <c r="G815" s="10"/>
      <c r="H815" s="10"/>
      <c r="I815" s="11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7"/>
      <c r="B816" s="7"/>
      <c r="C816" s="5"/>
      <c r="D816" s="8"/>
      <c r="E816" s="9"/>
      <c r="F816" s="9"/>
      <c r="G816" s="10"/>
      <c r="H816" s="10"/>
      <c r="I816" s="11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7"/>
      <c r="B817" s="7"/>
      <c r="C817" s="5"/>
      <c r="D817" s="8"/>
      <c r="E817" s="9"/>
      <c r="F817" s="9"/>
      <c r="G817" s="10"/>
      <c r="H817" s="10"/>
      <c r="I817" s="11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7"/>
      <c r="B818" s="7"/>
      <c r="C818" s="5"/>
      <c r="D818" s="8"/>
      <c r="E818" s="9"/>
      <c r="F818" s="9"/>
      <c r="G818" s="10"/>
      <c r="H818" s="10"/>
      <c r="I818" s="11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7"/>
      <c r="B819" s="7"/>
      <c r="C819" s="5"/>
      <c r="D819" s="8"/>
      <c r="E819" s="9"/>
      <c r="F819" s="9"/>
      <c r="G819" s="10"/>
      <c r="H819" s="10"/>
      <c r="I819" s="11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7"/>
      <c r="B820" s="7"/>
      <c r="C820" s="5"/>
      <c r="D820" s="8"/>
      <c r="E820" s="9"/>
      <c r="F820" s="9"/>
      <c r="G820" s="10"/>
      <c r="H820" s="10"/>
      <c r="I820" s="11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7"/>
      <c r="B821" s="7"/>
      <c r="C821" s="5"/>
      <c r="D821" s="8"/>
      <c r="E821" s="9"/>
      <c r="F821" s="9"/>
      <c r="G821" s="10"/>
      <c r="H821" s="10"/>
      <c r="I821" s="11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7"/>
      <c r="B822" s="7"/>
      <c r="C822" s="5"/>
      <c r="D822" s="8"/>
      <c r="E822" s="9"/>
      <c r="F822" s="9"/>
      <c r="G822" s="10"/>
      <c r="H822" s="10"/>
      <c r="I822" s="11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7"/>
      <c r="B823" s="7"/>
      <c r="C823" s="5"/>
      <c r="D823" s="8"/>
      <c r="E823" s="9"/>
      <c r="F823" s="9"/>
      <c r="G823" s="10"/>
      <c r="H823" s="10"/>
      <c r="I823" s="11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7"/>
      <c r="B824" s="7"/>
      <c r="C824" s="5"/>
      <c r="D824" s="8"/>
      <c r="E824" s="9"/>
      <c r="F824" s="9"/>
      <c r="G824" s="10"/>
      <c r="H824" s="10"/>
      <c r="I824" s="11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7"/>
      <c r="B825" s="7"/>
      <c r="C825" s="5"/>
      <c r="D825" s="8"/>
      <c r="E825" s="9"/>
      <c r="F825" s="9"/>
      <c r="G825" s="10"/>
      <c r="H825" s="10"/>
      <c r="I825" s="11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7"/>
      <c r="B826" s="7"/>
      <c r="C826" s="5"/>
      <c r="D826" s="8"/>
      <c r="E826" s="9"/>
      <c r="F826" s="9"/>
      <c r="G826" s="10"/>
      <c r="H826" s="10"/>
      <c r="I826" s="11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7"/>
      <c r="B827" s="7"/>
      <c r="C827" s="5"/>
      <c r="D827" s="8"/>
      <c r="E827" s="9"/>
      <c r="F827" s="9"/>
      <c r="G827" s="10"/>
      <c r="H827" s="10"/>
      <c r="I827" s="11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7"/>
      <c r="B828" s="7"/>
      <c r="C828" s="5"/>
      <c r="D828" s="8"/>
      <c r="E828" s="9"/>
      <c r="F828" s="9"/>
      <c r="G828" s="10"/>
      <c r="H828" s="10"/>
      <c r="I828" s="11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7"/>
      <c r="B829" s="7"/>
      <c r="C829" s="5"/>
      <c r="D829" s="8"/>
      <c r="E829" s="9"/>
      <c r="F829" s="9"/>
      <c r="G829" s="10"/>
      <c r="H829" s="10"/>
      <c r="I829" s="11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7"/>
      <c r="B830" s="7"/>
      <c r="C830" s="5"/>
      <c r="D830" s="8"/>
      <c r="E830" s="9"/>
      <c r="F830" s="9"/>
      <c r="G830" s="10"/>
      <c r="H830" s="10"/>
      <c r="I830" s="11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7"/>
      <c r="B831" s="7"/>
      <c r="C831" s="5"/>
      <c r="D831" s="8"/>
      <c r="E831" s="9"/>
      <c r="F831" s="9"/>
      <c r="G831" s="10"/>
      <c r="H831" s="10"/>
      <c r="I831" s="11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7"/>
      <c r="B832" s="7"/>
      <c r="C832" s="5"/>
      <c r="D832" s="8"/>
      <c r="E832" s="9"/>
      <c r="F832" s="9"/>
      <c r="G832" s="10"/>
      <c r="H832" s="10"/>
      <c r="I832" s="11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7"/>
      <c r="B833" s="7"/>
      <c r="C833" s="5"/>
      <c r="D833" s="8"/>
      <c r="E833" s="9"/>
      <c r="F833" s="9"/>
      <c r="G833" s="10"/>
      <c r="H833" s="10"/>
      <c r="I833" s="11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7"/>
      <c r="B834" s="7"/>
      <c r="C834" s="5"/>
      <c r="D834" s="8"/>
      <c r="E834" s="9"/>
      <c r="F834" s="9"/>
      <c r="G834" s="10"/>
      <c r="H834" s="10"/>
      <c r="I834" s="11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7"/>
      <c r="B835" s="7"/>
      <c r="C835" s="5"/>
      <c r="D835" s="8"/>
      <c r="E835" s="9"/>
      <c r="F835" s="9"/>
      <c r="G835" s="10"/>
      <c r="H835" s="10"/>
      <c r="I835" s="11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7"/>
      <c r="B836" s="7"/>
      <c r="C836" s="5"/>
      <c r="D836" s="8"/>
      <c r="E836" s="9"/>
      <c r="F836" s="9"/>
      <c r="G836" s="10"/>
      <c r="H836" s="10"/>
      <c r="I836" s="11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7"/>
      <c r="B837" s="7"/>
      <c r="C837" s="5"/>
      <c r="D837" s="8"/>
      <c r="E837" s="9"/>
      <c r="F837" s="9"/>
      <c r="G837" s="10"/>
      <c r="H837" s="10"/>
      <c r="I837" s="11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7"/>
      <c r="B838" s="7"/>
      <c r="C838" s="5"/>
      <c r="D838" s="8"/>
      <c r="E838" s="9"/>
      <c r="F838" s="9"/>
      <c r="G838" s="10"/>
      <c r="H838" s="10"/>
      <c r="I838" s="11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7"/>
      <c r="B839" s="7"/>
      <c r="C839" s="5"/>
      <c r="D839" s="8"/>
      <c r="E839" s="9"/>
      <c r="F839" s="9"/>
      <c r="G839" s="10"/>
      <c r="H839" s="10"/>
      <c r="I839" s="11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7"/>
      <c r="B840" s="7"/>
      <c r="C840" s="5"/>
      <c r="D840" s="8"/>
      <c r="E840" s="9"/>
      <c r="F840" s="9"/>
      <c r="G840" s="10"/>
      <c r="H840" s="10"/>
      <c r="I840" s="11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7"/>
      <c r="B841" s="7"/>
      <c r="C841" s="5"/>
      <c r="D841" s="8"/>
      <c r="E841" s="9"/>
      <c r="F841" s="9"/>
      <c r="G841" s="10"/>
      <c r="H841" s="10"/>
      <c r="I841" s="11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7"/>
      <c r="B842" s="7"/>
      <c r="C842" s="5"/>
      <c r="D842" s="8"/>
      <c r="E842" s="9"/>
      <c r="F842" s="9"/>
      <c r="G842" s="10"/>
      <c r="H842" s="10"/>
      <c r="I842" s="11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7"/>
      <c r="B843" s="7"/>
      <c r="C843" s="5"/>
      <c r="D843" s="8"/>
      <c r="E843" s="9"/>
      <c r="F843" s="9"/>
      <c r="G843" s="10"/>
      <c r="H843" s="10"/>
      <c r="I843" s="11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7"/>
      <c r="B844" s="7"/>
      <c r="C844" s="5"/>
      <c r="D844" s="8"/>
      <c r="E844" s="9"/>
      <c r="F844" s="9"/>
      <c r="G844" s="10"/>
      <c r="H844" s="10"/>
      <c r="I844" s="11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7"/>
      <c r="B845" s="7"/>
      <c r="C845" s="5"/>
      <c r="D845" s="8"/>
      <c r="E845" s="9"/>
      <c r="F845" s="9"/>
      <c r="G845" s="10"/>
      <c r="H845" s="10"/>
      <c r="I845" s="11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7"/>
      <c r="B846" s="7"/>
      <c r="C846" s="5"/>
      <c r="D846" s="8"/>
      <c r="E846" s="9"/>
      <c r="F846" s="9"/>
      <c r="G846" s="10"/>
      <c r="H846" s="10"/>
      <c r="I846" s="11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7"/>
      <c r="B847" s="7"/>
      <c r="C847" s="5"/>
      <c r="D847" s="8"/>
      <c r="E847" s="9"/>
      <c r="F847" s="9"/>
      <c r="G847" s="10"/>
      <c r="H847" s="10"/>
      <c r="I847" s="11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7"/>
      <c r="B848" s="7"/>
      <c r="C848" s="5"/>
      <c r="D848" s="8"/>
      <c r="E848" s="9"/>
      <c r="F848" s="9"/>
      <c r="G848" s="10"/>
      <c r="H848" s="10"/>
      <c r="I848" s="11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7"/>
      <c r="B849" s="7"/>
      <c r="C849" s="5"/>
      <c r="D849" s="8"/>
      <c r="E849" s="9"/>
      <c r="F849" s="9"/>
      <c r="G849" s="10"/>
      <c r="H849" s="10"/>
      <c r="I849" s="11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7"/>
      <c r="B850" s="7"/>
      <c r="C850" s="5"/>
      <c r="D850" s="8"/>
      <c r="E850" s="9"/>
      <c r="F850" s="9"/>
      <c r="G850" s="10"/>
      <c r="H850" s="10"/>
      <c r="I850" s="11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7"/>
      <c r="B851" s="7"/>
      <c r="C851" s="5"/>
      <c r="D851" s="8"/>
      <c r="E851" s="9"/>
      <c r="F851" s="9"/>
      <c r="G851" s="10"/>
      <c r="H851" s="10"/>
      <c r="I851" s="11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7"/>
      <c r="B852" s="7"/>
      <c r="C852" s="5"/>
      <c r="D852" s="8"/>
      <c r="E852" s="9"/>
      <c r="F852" s="9"/>
      <c r="G852" s="10"/>
      <c r="H852" s="10"/>
      <c r="I852" s="11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7"/>
      <c r="B853" s="7"/>
      <c r="C853" s="5"/>
      <c r="D853" s="8"/>
      <c r="E853" s="9"/>
      <c r="F853" s="9"/>
      <c r="G853" s="10"/>
      <c r="H853" s="10"/>
      <c r="I853" s="11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7"/>
      <c r="B854" s="7"/>
      <c r="C854" s="5"/>
      <c r="D854" s="8"/>
      <c r="E854" s="9"/>
      <c r="F854" s="9"/>
      <c r="G854" s="10"/>
      <c r="H854" s="10"/>
      <c r="I854" s="11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7"/>
      <c r="B855" s="7"/>
      <c r="C855" s="5"/>
      <c r="D855" s="8"/>
      <c r="E855" s="9"/>
      <c r="F855" s="9"/>
      <c r="G855" s="10"/>
      <c r="H855" s="10"/>
      <c r="I855" s="11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7"/>
      <c r="B856" s="7"/>
      <c r="C856" s="5"/>
      <c r="D856" s="8"/>
      <c r="E856" s="9"/>
      <c r="F856" s="9"/>
      <c r="G856" s="10"/>
      <c r="H856" s="10"/>
      <c r="I856" s="11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7"/>
      <c r="B857" s="7"/>
      <c r="C857" s="5"/>
      <c r="D857" s="8"/>
      <c r="E857" s="9"/>
      <c r="F857" s="9"/>
      <c r="G857" s="10"/>
      <c r="H857" s="10"/>
      <c r="I857" s="11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7"/>
      <c r="B858" s="7"/>
      <c r="C858" s="5"/>
      <c r="D858" s="8"/>
      <c r="E858" s="9"/>
      <c r="F858" s="9"/>
      <c r="G858" s="10"/>
      <c r="H858" s="10"/>
      <c r="I858" s="11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7"/>
      <c r="B859" s="7"/>
      <c r="C859" s="5"/>
      <c r="D859" s="8"/>
      <c r="E859" s="9"/>
      <c r="F859" s="9"/>
      <c r="G859" s="10"/>
      <c r="H859" s="10"/>
      <c r="I859" s="11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7"/>
      <c r="B860" s="7"/>
      <c r="C860" s="5"/>
      <c r="D860" s="8"/>
      <c r="E860" s="9"/>
      <c r="F860" s="9"/>
      <c r="G860" s="10"/>
      <c r="H860" s="10"/>
      <c r="I860" s="11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7"/>
      <c r="B861" s="7"/>
      <c r="C861" s="5"/>
      <c r="D861" s="8"/>
      <c r="E861" s="9"/>
      <c r="F861" s="9"/>
      <c r="G861" s="10"/>
      <c r="H861" s="10"/>
      <c r="I861" s="11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7"/>
      <c r="B862" s="7"/>
      <c r="C862" s="5"/>
      <c r="D862" s="8"/>
      <c r="E862" s="9"/>
      <c r="F862" s="9"/>
      <c r="G862" s="10"/>
      <c r="H862" s="10"/>
      <c r="I862" s="11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7"/>
      <c r="B863" s="7"/>
      <c r="C863" s="5"/>
      <c r="D863" s="8"/>
      <c r="E863" s="9"/>
      <c r="F863" s="9"/>
      <c r="G863" s="10"/>
      <c r="H863" s="10"/>
      <c r="I863" s="11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7"/>
      <c r="B864" s="7"/>
      <c r="C864" s="5"/>
      <c r="D864" s="8"/>
      <c r="E864" s="9"/>
      <c r="F864" s="9"/>
      <c r="G864" s="10"/>
      <c r="H864" s="10"/>
      <c r="I864" s="11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7"/>
      <c r="B865" s="7"/>
      <c r="C865" s="5"/>
      <c r="D865" s="8"/>
      <c r="E865" s="9"/>
      <c r="F865" s="9"/>
      <c r="G865" s="10"/>
      <c r="H865" s="10"/>
      <c r="I865" s="11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7"/>
      <c r="B866" s="7"/>
      <c r="C866" s="5"/>
      <c r="D866" s="8"/>
      <c r="E866" s="9"/>
      <c r="F866" s="9"/>
      <c r="G866" s="10"/>
      <c r="H866" s="10"/>
      <c r="I866" s="11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7"/>
      <c r="B867" s="7"/>
      <c r="C867" s="5"/>
      <c r="D867" s="8"/>
      <c r="E867" s="9"/>
      <c r="F867" s="9"/>
      <c r="G867" s="10"/>
      <c r="H867" s="10"/>
      <c r="I867" s="11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7"/>
      <c r="B868" s="7"/>
      <c r="C868" s="5"/>
      <c r="D868" s="8"/>
      <c r="E868" s="9"/>
      <c r="F868" s="9"/>
      <c r="G868" s="10"/>
      <c r="H868" s="10"/>
      <c r="I868" s="11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7"/>
      <c r="B869" s="7"/>
      <c r="C869" s="5"/>
      <c r="D869" s="8"/>
      <c r="E869" s="9"/>
      <c r="F869" s="9"/>
      <c r="G869" s="10"/>
      <c r="H869" s="10"/>
      <c r="I869" s="11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7"/>
      <c r="B870" s="7"/>
      <c r="C870" s="5"/>
      <c r="D870" s="8"/>
      <c r="E870" s="9"/>
      <c r="F870" s="9"/>
      <c r="G870" s="10"/>
      <c r="H870" s="10"/>
      <c r="I870" s="11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7"/>
      <c r="B871" s="7"/>
      <c r="C871" s="5"/>
      <c r="D871" s="8"/>
      <c r="E871" s="9"/>
      <c r="F871" s="9"/>
      <c r="G871" s="10"/>
      <c r="H871" s="10"/>
      <c r="I871" s="11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7"/>
      <c r="B872" s="7"/>
      <c r="C872" s="5"/>
      <c r="D872" s="8"/>
      <c r="E872" s="9"/>
      <c r="F872" s="9"/>
      <c r="G872" s="10"/>
      <c r="H872" s="10"/>
      <c r="I872" s="11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7"/>
      <c r="B873" s="7"/>
      <c r="C873" s="5"/>
      <c r="D873" s="8"/>
      <c r="E873" s="9"/>
      <c r="F873" s="9"/>
      <c r="G873" s="10"/>
      <c r="H873" s="10"/>
      <c r="I873" s="11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7"/>
      <c r="B874" s="7"/>
      <c r="C874" s="5"/>
      <c r="D874" s="8"/>
      <c r="E874" s="9"/>
      <c r="F874" s="9"/>
      <c r="G874" s="10"/>
      <c r="H874" s="10"/>
      <c r="I874" s="11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7"/>
      <c r="B875" s="7"/>
      <c r="C875" s="5"/>
      <c r="D875" s="8"/>
      <c r="E875" s="9"/>
      <c r="F875" s="9"/>
      <c r="G875" s="10"/>
      <c r="H875" s="10"/>
      <c r="I875" s="11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7"/>
      <c r="B876" s="7"/>
      <c r="C876" s="5"/>
      <c r="D876" s="8"/>
      <c r="E876" s="9"/>
      <c r="F876" s="9"/>
      <c r="G876" s="10"/>
      <c r="H876" s="10"/>
      <c r="I876" s="11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7"/>
      <c r="B877" s="7"/>
      <c r="C877" s="5"/>
      <c r="D877" s="8"/>
      <c r="E877" s="9"/>
      <c r="F877" s="9"/>
      <c r="G877" s="10"/>
      <c r="H877" s="10"/>
      <c r="I877" s="11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7"/>
      <c r="B878" s="7"/>
      <c r="C878" s="5"/>
      <c r="D878" s="8"/>
      <c r="E878" s="9"/>
      <c r="F878" s="9"/>
      <c r="G878" s="10"/>
      <c r="H878" s="10"/>
      <c r="I878" s="11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7"/>
      <c r="B879" s="7"/>
      <c r="C879" s="5"/>
      <c r="D879" s="8"/>
      <c r="E879" s="9"/>
      <c r="F879" s="9"/>
      <c r="G879" s="10"/>
      <c r="H879" s="10"/>
      <c r="I879" s="11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7"/>
      <c r="B880" s="7"/>
      <c r="C880" s="5"/>
      <c r="D880" s="8"/>
      <c r="E880" s="9"/>
      <c r="F880" s="9"/>
      <c r="G880" s="10"/>
      <c r="H880" s="10"/>
      <c r="I880" s="11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7"/>
      <c r="B881" s="7"/>
      <c r="C881" s="5"/>
      <c r="D881" s="8"/>
      <c r="E881" s="9"/>
      <c r="F881" s="9"/>
      <c r="G881" s="10"/>
      <c r="H881" s="10"/>
      <c r="I881" s="11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7"/>
      <c r="B882" s="7"/>
      <c r="C882" s="5"/>
      <c r="D882" s="8"/>
      <c r="E882" s="9"/>
      <c r="F882" s="9"/>
      <c r="G882" s="10"/>
      <c r="H882" s="10"/>
      <c r="I882" s="11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7"/>
      <c r="B883" s="7"/>
      <c r="C883" s="5"/>
      <c r="D883" s="8"/>
      <c r="E883" s="9"/>
      <c r="F883" s="9"/>
      <c r="G883" s="10"/>
      <c r="H883" s="10"/>
      <c r="I883" s="11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7"/>
      <c r="B884" s="7"/>
      <c r="C884" s="5"/>
      <c r="D884" s="8"/>
      <c r="E884" s="9"/>
      <c r="F884" s="9"/>
      <c r="G884" s="10"/>
      <c r="H884" s="10"/>
      <c r="I884" s="11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7"/>
      <c r="B885" s="7"/>
      <c r="C885" s="5"/>
      <c r="D885" s="8"/>
      <c r="E885" s="9"/>
      <c r="F885" s="9"/>
      <c r="G885" s="10"/>
      <c r="H885" s="10"/>
      <c r="I885" s="11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7"/>
      <c r="B886" s="7"/>
      <c r="C886" s="5"/>
      <c r="D886" s="8"/>
      <c r="E886" s="9"/>
      <c r="F886" s="9"/>
      <c r="G886" s="10"/>
      <c r="H886" s="10"/>
      <c r="I886" s="11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7"/>
      <c r="B887" s="7"/>
      <c r="C887" s="5"/>
      <c r="D887" s="8"/>
      <c r="E887" s="9"/>
      <c r="F887" s="9"/>
      <c r="G887" s="10"/>
      <c r="H887" s="10"/>
      <c r="I887" s="11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7"/>
      <c r="B888" s="7"/>
      <c r="C888" s="5"/>
      <c r="D888" s="8"/>
      <c r="E888" s="9"/>
      <c r="F888" s="9"/>
      <c r="G888" s="10"/>
      <c r="H888" s="10"/>
      <c r="I888" s="11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7"/>
      <c r="B889" s="7"/>
      <c r="C889" s="5"/>
      <c r="D889" s="8"/>
      <c r="E889" s="9"/>
      <c r="F889" s="9"/>
      <c r="G889" s="10"/>
      <c r="H889" s="10"/>
      <c r="I889" s="11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7"/>
      <c r="B890" s="7"/>
      <c r="C890" s="5"/>
      <c r="D890" s="8"/>
      <c r="E890" s="9"/>
      <c r="F890" s="9"/>
      <c r="G890" s="10"/>
      <c r="H890" s="10"/>
      <c r="I890" s="11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7"/>
      <c r="B891" s="7"/>
      <c r="C891" s="5"/>
      <c r="D891" s="8"/>
      <c r="E891" s="9"/>
      <c r="F891" s="9"/>
      <c r="G891" s="10"/>
      <c r="H891" s="10"/>
      <c r="I891" s="11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7"/>
      <c r="B892" s="7"/>
      <c r="C892" s="5"/>
      <c r="D892" s="8"/>
      <c r="E892" s="9"/>
      <c r="F892" s="9"/>
      <c r="G892" s="10"/>
      <c r="H892" s="10"/>
      <c r="I892" s="11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7"/>
      <c r="B893" s="7"/>
      <c r="C893" s="5"/>
      <c r="D893" s="8"/>
      <c r="E893" s="9"/>
      <c r="F893" s="9"/>
      <c r="G893" s="10"/>
      <c r="H893" s="10"/>
      <c r="I893" s="11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7"/>
      <c r="B894" s="7"/>
      <c r="C894" s="5"/>
      <c r="D894" s="8"/>
      <c r="E894" s="9"/>
      <c r="F894" s="9"/>
      <c r="G894" s="10"/>
      <c r="H894" s="10"/>
      <c r="I894" s="11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7"/>
      <c r="B895" s="7"/>
      <c r="C895" s="5"/>
      <c r="D895" s="8"/>
      <c r="E895" s="9"/>
      <c r="F895" s="9"/>
      <c r="G895" s="10"/>
      <c r="H895" s="10"/>
      <c r="I895" s="11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7"/>
      <c r="B896" s="7"/>
      <c r="C896" s="5"/>
      <c r="D896" s="8"/>
      <c r="E896" s="9"/>
      <c r="F896" s="9"/>
      <c r="G896" s="10"/>
      <c r="H896" s="10"/>
      <c r="I896" s="11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7"/>
      <c r="B897" s="7"/>
      <c r="C897" s="5"/>
      <c r="D897" s="8"/>
      <c r="E897" s="9"/>
      <c r="F897" s="9"/>
      <c r="G897" s="10"/>
      <c r="H897" s="10"/>
      <c r="I897" s="11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7"/>
      <c r="B898" s="7"/>
      <c r="C898" s="5"/>
      <c r="D898" s="8"/>
      <c r="E898" s="9"/>
      <c r="F898" s="9"/>
      <c r="G898" s="10"/>
      <c r="H898" s="10"/>
      <c r="I898" s="11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7"/>
      <c r="B899" s="7"/>
      <c r="C899" s="5"/>
      <c r="D899" s="8"/>
      <c r="E899" s="9"/>
      <c r="F899" s="9"/>
      <c r="G899" s="10"/>
      <c r="H899" s="10"/>
      <c r="I899" s="11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7"/>
      <c r="B900" s="7"/>
      <c r="C900" s="5"/>
      <c r="D900" s="8"/>
      <c r="E900" s="9"/>
      <c r="F900" s="9"/>
      <c r="G900" s="10"/>
      <c r="H900" s="10"/>
      <c r="I900" s="11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7"/>
      <c r="B901" s="7"/>
      <c r="C901" s="5"/>
      <c r="D901" s="8"/>
      <c r="E901" s="9"/>
      <c r="F901" s="9"/>
      <c r="G901" s="10"/>
      <c r="H901" s="10"/>
      <c r="I901" s="11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7"/>
      <c r="B902" s="7"/>
      <c r="C902" s="5"/>
      <c r="D902" s="8"/>
      <c r="E902" s="9"/>
      <c r="F902" s="9"/>
      <c r="G902" s="10"/>
      <c r="H902" s="10"/>
      <c r="I902" s="11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7"/>
      <c r="B903" s="7"/>
      <c r="C903" s="5"/>
      <c r="D903" s="8"/>
      <c r="E903" s="9"/>
      <c r="F903" s="9"/>
      <c r="G903" s="10"/>
      <c r="H903" s="10"/>
      <c r="I903" s="11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7"/>
      <c r="B904" s="7"/>
      <c r="C904" s="5"/>
      <c r="D904" s="8"/>
      <c r="E904" s="9"/>
      <c r="F904" s="9"/>
      <c r="G904" s="10"/>
      <c r="H904" s="10"/>
      <c r="I904" s="11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7"/>
      <c r="B905" s="7"/>
      <c r="C905" s="5"/>
      <c r="D905" s="8"/>
      <c r="E905" s="9"/>
      <c r="F905" s="9"/>
      <c r="G905" s="10"/>
      <c r="H905" s="10"/>
      <c r="I905" s="11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7"/>
      <c r="B906" s="7"/>
      <c r="C906" s="5"/>
      <c r="D906" s="8"/>
      <c r="E906" s="9"/>
      <c r="F906" s="9"/>
      <c r="G906" s="10"/>
      <c r="H906" s="10"/>
      <c r="I906" s="11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7"/>
      <c r="B907" s="7"/>
      <c r="C907" s="5"/>
      <c r="D907" s="8"/>
      <c r="E907" s="9"/>
      <c r="F907" s="9"/>
      <c r="G907" s="10"/>
      <c r="H907" s="10"/>
      <c r="I907" s="11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7"/>
      <c r="B908" s="7"/>
      <c r="C908" s="5"/>
      <c r="D908" s="8"/>
      <c r="E908" s="9"/>
      <c r="F908" s="9"/>
      <c r="G908" s="10"/>
      <c r="H908" s="10"/>
      <c r="I908" s="11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7"/>
      <c r="B909" s="7"/>
      <c r="C909" s="5"/>
      <c r="D909" s="8"/>
      <c r="E909" s="9"/>
      <c r="F909" s="9"/>
      <c r="G909" s="10"/>
      <c r="H909" s="10"/>
      <c r="I909" s="11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7"/>
      <c r="B910" s="7"/>
      <c r="C910" s="5"/>
      <c r="D910" s="8"/>
      <c r="E910" s="9"/>
      <c r="F910" s="9"/>
      <c r="G910" s="10"/>
      <c r="H910" s="10"/>
      <c r="I910" s="11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7"/>
      <c r="B911" s="7"/>
      <c r="C911" s="5"/>
      <c r="D911" s="8"/>
      <c r="E911" s="9"/>
      <c r="F911" s="9"/>
      <c r="G911" s="10"/>
      <c r="H911" s="10"/>
      <c r="I911" s="11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7"/>
      <c r="B912" s="7"/>
      <c r="C912" s="5"/>
      <c r="D912" s="8"/>
      <c r="E912" s="9"/>
      <c r="F912" s="9"/>
      <c r="G912" s="10"/>
      <c r="H912" s="10"/>
      <c r="I912" s="11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7"/>
      <c r="B913" s="7"/>
      <c r="C913" s="5"/>
      <c r="D913" s="8"/>
      <c r="E913" s="9"/>
      <c r="F913" s="9"/>
      <c r="G913" s="10"/>
      <c r="H913" s="10"/>
      <c r="I913" s="11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7"/>
      <c r="B914" s="7"/>
      <c r="C914" s="5"/>
      <c r="D914" s="8"/>
      <c r="E914" s="9"/>
      <c r="F914" s="9"/>
      <c r="G914" s="10"/>
      <c r="H914" s="10"/>
      <c r="I914" s="11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7"/>
      <c r="B915" s="7"/>
      <c r="C915" s="5"/>
      <c r="D915" s="8"/>
      <c r="E915" s="9"/>
      <c r="F915" s="9"/>
      <c r="G915" s="10"/>
      <c r="H915" s="10"/>
      <c r="I915" s="11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7"/>
      <c r="B916" s="7"/>
      <c r="C916" s="5"/>
      <c r="D916" s="8"/>
      <c r="E916" s="9"/>
      <c r="F916" s="9"/>
      <c r="G916" s="10"/>
      <c r="H916" s="10"/>
      <c r="I916" s="11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7"/>
      <c r="B917" s="7"/>
      <c r="C917" s="5"/>
      <c r="D917" s="8"/>
      <c r="E917" s="9"/>
      <c r="F917" s="9"/>
      <c r="G917" s="10"/>
      <c r="H917" s="10"/>
      <c r="I917" s="11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7"/>
      <c r="B918" s="7"/>
      <c r="C918" s="5"/>
      <c r="D918" s="8"/>
      <c r="E918" s="9"/>
      <c r="F918" s="9"/>
      <c r="G918" s="10"/>
      <c r="H918" s="10"/>
      <c r="I918" s="11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7"/>
      <c r="B919" s="7"/>
      <c r="C919" s="5"/>
      <c r="D919" s="8"/>
      <c r="E919" s="9"/>
      <c r="F919" s="9"/>
      <c r="G919" s="10"/>
      <c r="H919" s="10"/>
      <c r="I919" s="11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7"/>
      <c r="B920" s="7"/>
      <c r="C920" s="5"/>
      <c r="D920" s="8"/>
      <c r="E920" s="9"/>
      <c r="F920" s="9"/>
      <c r="G920" s="10"/>
      <c r="H920" s="10"/>
      <c r="I920" s="11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7"/>
      <c r="B921" s="7"/>
      <c r="C921" s="5"/>
      <c r="D921" s="8"/>
      <c r="E921" s="9"/>
      <c r="F921" s="9"/>
      <c r="G921" s="10"/>
      <c r="H921" s="10"/>
      <c r="I921" s="11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7"/>
      <c r="B922" s="7"/>
      <c r="C922" s="5"/>
      <c r="D922" s="8"/>
      <c r="E922" s="9"/>
      <c r="F922" s="9"/>
      <c r="G922" s="10"/>
      <c r="H922" s="10"/>
      <c r="I922" s="11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7"/>
      <c r="B923" s="7"/>
      <c r="C923" s="5"/>
      <c r="D923" s="8"/>
      <c r="E923" s="9"/>
      <c r="F923" s="9"/>
      <c r="G923" s="10"/>
      <c r="H923" s="10"/>
      <c r="I923" s="11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7"/>
      <c r="B924" s="7"/>
      <c r="C924" s="5"/>
      <c r="D924" s="8"/>
      <c r="E924" s="9"/>
      <c r="F924" s="9"/>
      <c r="G924" s="10"/>
      <c r="H924" s="10"/>
      <c r="I924" s="11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7"/>
      <c r="B925" s="7"/>
      <c r="C925" s="5"/>
      <c r="D925" s="8"/>
      <c r="E925" s="9"/>
      <c r="F925" s="9"/>
      <c r="G925" s="10"/>
      <c r="H925" s="10"/>
      <c r="I925" s="11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7"/>
      <c r="B926" s="7"/>
      <c r="C926" s="5"/>
      <c r="D926" s="8"/>
      <c r="E926" s="9"/>
      <c r="F926" s="9"/>
      <c r="G926" s="10"/>
      <c r="H926" s="10"/>
      <c r="I926" s="11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7"/>
      <c r="B927" s="7"/>
      <c r="C927" s="5"/>
      <c r="D927" s="8"/>
      <c r="E927" s="9"/>
      <c r="F927" s="9"/>
      <c r="G927" s="10"/>
      <c r="H927" s="10"/>
      <c r="I927" s="11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7"/>
      <c r="B928" s="7"/>
      <c r="C928" s="5"/>
      <c r="D928" s="8"/>
      <c r="E928" s="9"/>
      <c r="F928" s="9"/>
      <c r="G928" s="10"/>
      <c r="H928" s="10"/>
      <c r="I928" s="11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7"/>
      <c r="B929" s="7"/>
      <c r="C929" s="5"/>
      <c r="D929" s="8"/>
      <c r="E929" s="9"/>
      <c r="F929" s="9"/>
      <c r="G929" s="10"/>
      <c r="H929" s="10"/>
      <c r="I929" s="11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7"/>
      <c r="B930" s="7"/>
      <c r="C930" s="5"/>
      <c r="D930" s="8"/>
      <c r="E930" s="9"/>
      <c r="F930" s="9"/>
      <c r="G930" s="10"/>
      <c r="H930" s="10"/>
      <c r="I930" s="11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7"/>
      <c r="B931" s="7"/>
      <c r="C931" s="5"/>
      <c r="D931" s="8"/>
      <c r="E931" s="9"/>
      <c r="F931" s="9"/>
      <c r="G931" s="10"/>
      <c r="H931" s="10"/>
      <c r="I931" s="11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7"/>
      <c r="B932" s="7"/>
      <c r="C932" s="5"/>
      <c r="D932" s="8"/>
      <c r="E932" s="9"/>
      <c r="F932" s="9"/>
      <c r="G932" s="10"/>
      <c r="H932" s="10"/>
      <c r="I932" s="11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7"/>
      <c r="B933" s="7"/>
      <c r="C933" s="5"/>
      <c r="D933" s="8"/>
      <c r="E933" s="9"/>
      <c r="F933" s="9"/>
      <c r="G933" s="10"/>
      <c r="H933" s="10"/>
      <c r="I933" s="11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7"/>
      <c r="B934" s="7"/>
      <c r="C934" s="5"/>
      <c r="D934" s="8"/>
      <c r="E934" s="9"/>
      <c r="F934" s="9"/>
      <c r="G934" s="10"/>
      <c r="H934" s="10"/>
      <c r="I934" s="11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7"/>
      <c r="B935" s="7"/>
      <c r="C935" s="5"/>
      <c r="D935" s="8"/>
      <c r="E935" s="9"/>
      <c r="F935" s="9"/>
      <c r="G935" s="10"/>
      <c r="H935" s="10"/>
      <c r="I935" s="11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7"/>
      <c r="B936" s="7"/>
      <c r="C936" s="5"/>
      <c r="D936" s="8"/>
      <c r="E936" s="9"/>
      <c r="F936" s="9"/>
      <c r="G936" s="10"/>
      <c r="H936" s="10"/>
      <c r="I936" s="11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7"/>
      <c r="B937" s="7"/>
      <c r="C937" s="5"/>
      <c r="D937" s="8"/>
      <c r="E937" s="9"/>
      <c r="F937" s="9"/>
      <c r="G937" s="10"/>
      <c r="H937" s="10"/>
      <c r="I937" s="11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7"/>
      <c r="B938" s="7"/>
      <c r="C938" s="5"/>
      <c r="D938" s="8"/>
      <c r="E938" s="9"/>
      <c r="F938" s="9"/>
      <c r="G938" s="10"/>
      <c r="H938" s="10"/>
      <c r="I938" s="11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7"/>
      <c r="B939" s="7"/>
      <c r="C939" s="5"/>
      <c r="D939" s="8"/>
      <c r="E939" s="9"/>
      <c r="F939" s="9"/>
      <c r="G939" s="10"/>
      <c r="H939" s="10"/>
      <c r="I939" s="11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7"/>
      <c r="B940" s="7"/>
      <c r="C940" s="5"/>
      <c r="D940" s="8"/>
      <c r="E940" s="9"/>
      <c r="F940" s="9"/>
      <c r="G940" s="10"/>
      <c r="H940" s="10"/>
      <c r="I940" s="11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7"/>
      <c r="B941" s="7"/>
      <c r="C941" s="5"/>
      <c r="D941" s="8"/>
      <c r="E941" s="9"/>
      <c r="F941" s="9"/>
      <c r="G941" s="10"/>
      <c r="H941" s="10"/>
      <c r="I941" s="11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7"/>
      <c r="B942" s="7"/>
      <c r="C942" s="5"/>
      <c r="D942" s="8"/>
      <c r="E942" s="9"/>
      <c r="F942" s="9"/>
      <c r="G942" s="10"/>
      <c r="H942" s="10"/>
      <c r="I942" s="11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7"/>
      <c r="B943" s="7"/>
      <c r="C943" s="5"/>
      <c r="D943" s="8"/>
      <c r="E943" s="9"/>
      <c r="F943" s="9"/>
      <c r="G943" s="10"/>
      <c r="H943" s="10"/>
      <c r="I943" s="11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7"/>
      <c r="B944" s="7"/>
      <c r="C944" s="5"/>
      <c r="D944" s="8"/>
      <c r="E944" s="9"/>
      <c r="F944" s="9"/>
      <c r="G944" s="10"/>
      <c r="H944" s="10"/>
      <c r="I944" s="11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7"/>
      <c r="B945" s="7"/>
      <c r="C945" s="5"/>
      <c r="D945" s="8"/>
      <c r="E945" s="9"/>
      <c r="F945" s="9"/>
      <c r="G945" s="10"/>
      <c r="H945" s="10"/>
      <c r="I945" s="11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7"/>
      <c r="B946" s="7"/>
      <c r="C946" s="5"/>
      <c r="D946" s="8"/>
      <c r="E946" s="9"/>
      <c r="F946" s="9"/>
      <c r="G946" s="10"/>
      <c r="H946" s="10"/>
      <c r="I946" s="11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7"/>
      <c r="B947" s="7"/>
      <c r="C947" s="5"/>
      <c r="D947" s="8"/>
      <c r="E947" s="9"/>
      <c r="F947" s="9"/>
      <c r="G947" s="10"/>
      <c r="H947" s="10"/>
      <c r="I947" s="11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7"/>
      <c r="B948" s="7"/>
      <c r="C948" s="5"/>
      <c r="D948" s="8"/>
      <c r="E948" s="9"/>
      <c r="F948" s="9"/>
      <c r="G948" s="10"/>
      <c r="H948" s="10"/>
      <c r="I948" s="11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7"/>
      <c r="B949" s="7"/>
      <c r="C949" s="5"/>
      <c r="D949" s="8"/>
      <c r="E949" s="9"/>
      <c r="F949" s="9"/>
      <c r="G949" s="10"/>
      <c r="H949" s="10"/>
      <c r="I949" s="11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7"/>
      <c r="B950" s="7"/>
      <c r="C950" s="5"/>
      <c r="D950" s="8"/>
      <c r="E950" s="9"/>
      <c r="F950" s="9"/>
      <c r="G950" s="10"/>
      <c r="H950" s="10"/>
      <c r="I950" s="11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7"/>
      <c r="B951" s="7"/>
      <c r="C951" s="5"/>
      <c r="D951" s="8"/>
      <c r="E951" s="9"/>
      <c r="F951" s="9"/>
      <c r="G951" s="10"/>
      <c r="H951" s="10"/>
      <c r="I951" s="11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7"/>
      <c r="B952" s="7"/>
      <c r="C952" s="5"/>
      <c r="D952" s="8"/>
      <c r="E952" s="9"/>
      <c r="F952" s="9"/>
      <c r="G952" s="10"/>
      <c r="H952" s="10"/>
      <c r="I952" s="11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7"/>
      <c r="B953" s="7"/>
      <c r="C953" s="5"/>
      <c r="D953" s="8"/>
      <c r="E953" s="9"/>
      <c r="F953" s="9"/>
      <c r="G953" s="10"/>
      <c r="H953" s="10"/>
      <c r="I953" s="11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7"/>
      <c r="B954" s="7"/>
      <c r="C954" s="5"/>
      <c r="D954" s="8"/>
      <c r="E954" s="9"/>
      <c r="F954" s="9"/>
      <c r="G954" s="10"/>
      <c r="H954" s="10"/>
      <c r="I954" s="11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7"/>
      <c r="B955" s="7"/>
      <c r="C955" s="5"/>
      <c r="D955" s="8"/>
      <c r="E955" s="9"/>
      <c r="F955" s="9"/>
      <c r="G955" s="10"/>
      <c r="H955" s="10"/>
      <c r="I955" s="11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7"/>
      <c r="B956" s="7"/>
      <c r="C956" s="5"/>
      <c r="D956" s="8"/>
      <c r="E956" s="9"/>
      <c r="F956" s="9"/>
      <c r="G956" s="10"/>
      <c r="H956" s="10"/>
      <c r="I956" s="11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7"/>
      <c r="B957" s="7"/>
      <c r="C957" s="5"/>
      <c r="D957" s="8"/>
      <c r="E957" s="9"/>
      <c r="F957" s="9"/>
      <c r="G957" s="10"/>
      <c r="H957" s="10"/>
      <c r="I957" s="11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7"/>
      <c r="B958" s="7"/>
      <c r="C958" s="5"/>
      <c r="D958" s="8"/>
      <c r="E958" s="9"/>
      <c r="F958" s="9"/>
      <c r="G958" s="10"/>
      <c r="H958" s="10"/>
      <c r="I958" s="11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7"/>
      <c r="B959" s="7"/>
      <c r="C959" s="5"/>
      <c r="D959" s="8"/>
      <c r="E959" s="9"/>
      <c r="F959" s="9"/>
      <c r="G959" s="10"/>
      <c r="H959" s="10"/>
      <c r="I959" s="11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7"/>
      <c r="B960" s="7"/>
      <c r="C960" s="5"/>
      <c r="D960" s="8"/>
      <c r="E960" s="9"/>
      <c r="F960" s="9"/>
      <c r="G960" s="10"/>
      <c r="H960" s="10"/>
      <c r="I960" s="11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7"/>
      <c r="B961" s="7"/>
      <c r="C961" s="5"/>
      <c r="D961" s="8"/>
      <c r="E961" s="9"/>
      <c r="F961" s="9"/>
      <c r="G961" s="10"/>
      <c r="H961" s="10"/>
      <c r="I961" s="11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7"/>
      <c r="B962" s="7"/>
      <c r="C962" s="5"/>
      <c r="D962" s="8"/>
      <c r="E962" s="9"/>
      <c r="F962" s="9"/>
      <c r="G962" s="10"/>
      <c r="H962" s="10"/>
      <c r="I962" s="11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7"/>
      <c r="B963" s="7"/>
      <c r="C963" s="5"/>
      <c r="D963" s="8"/>
      <c r="E963" s="9"/>
      <c r="F963" s="9"/>
      <c r="G963" s="10"/>
      <c r="H963" s="10"/>
      <c r="I963" s="11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7"/>
      <c r="B964" s="7"/>
      <c r="C964" s="5"/>
      <c r="D964" s="8"/>
      <c r="E964" s="9"/>
      <c r="F964" s="9"/>
      <c r="G964" s="10"/>
      <c r="H964" s="10"/>
      <c r="I964" s="11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7"/>
      <c r="B965" s="7"/>
      <c r="C965" s="5"/>
      <c r="D965" s="8"/>
      <c r="E965" s="9"/>
      <c r="F965" s="9"/>
      <c r="G965" s="10"/>
      <c r="H965" s="10"/>
      <c r="I965" s="11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7"/>
      <c r="B966" s="7"/>
      <c r="C966" s="5"/>
      <c r="D966" s="8"/>
      <c r="E966" s="9"/>
      <c r="F966" s="9"/>
      <c r="G966" s="10"/>
      <c r="H966" s="10"/>
      <c r="I966" s="11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7"/>
      <c r="B967" s="7"/>
      <c r="C967" s="5"/>
      <c r="D967" s="8"/>
      <c r="E967" s="9"/>
      <c r="F967" s="9"/>
      <c r="G967" s="10"/>
      <c r="H967" s="10"/>
      <c r="I967" s="11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7"/>
      <c r="B968" s="7"/>
      <c r="C968" s="5"/>
      <c r="D968" s="8"/>
      <c r="E968" s="9"/>
      <c r="F968" s="9"/>
      <c r="G968" s="10"/>
      <c r="H968" s="10"/>
      <c r="I968" s="11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7"/>
      <c r="B969" s="7"/>
      <c r="C969" s="5"/>
      <c r="D969" s="8"/>
      <c r="E969" s="9"/>
      <c r="F969" s="9"/>
      <c r="G969" s="10"/>
      <c r="H969" s="10"/>
      <c r="I969" s="11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7"/>
      <c r="B970" s="7"/>
      <c r="C970" s="5"/>
      <c r="D970" s="8"/>
      <c r="E970" s="9"/>
      <c r="F970" s="9"/>
      <c r="G970" s="10"/>
      <c r="H970" s="10"/>
      <c r="I970" s="11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7"/>
      <c r="B971" s="7"/>
      <c r="C971" s="5"/>
      <c r="D971" s="8"/>
      <c r="E971" s="9"/>
      <c r="F971" s="9"/>
      <c r="G971" s="10"/>
      <c r="H971" s="10"/>
      <c r="I971" s="11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7"/>
      <c r="B972" s="7"/>
      <c r="C972" s="5"/>
      <c r="D972" s="8"/>
      <c r="E972" s="9"/>
      <c r="F972" s="9"/>
      <c r="G972" s="10"/>
      <c r="H972" s="10"/>
      <c r="I972" s="11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7"/>
      <c r="B973" s="7"/>
      <c r="C973" s="5"/>
      <c r="D973" s="8"/>
      <c r="E973" s="9"/>
      <c r="F973" s="9"/>
      <c r="G973" s="10"/>
      <c r="H973" s="10"/>
      <c r="I973" s="11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7"/>
      <c r="B974" s="7"/>
      <c r="C974" s="5"/>
      <c r="D974" s="8"/>
      <c r="E974" s="9"/>
      <c r="F974" s="9"/>
      <c r="G974" s="10"/>
      <c r="H974" s="10"/>
      <c r="I974" s="11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7"/>
      <c r="B975" s="7"/>
      <c r="C975" s="5"/>
      <c r="D975" s="8"/>
      <c r="E975" s="9"/>
      <c r="F975" s="9"/>
      <c r="G975" s="10"/>
      <c r="H975" s="10"/>
      <c r="I975" s="11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7"/>
      <c r="B976" s="7"/>
      <c r="C976" s="5"/>
      <c r="D976" s="8"/>
      <c r="E976" s="9"/>
      <c r="F976" s="9"/>
      <c r="G976" s="10"/>
      <c r="H976" s="10"/>
      <c r="I976" s="11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7"/>
      <c r="B977" s="7"/>
      <c r="C977" s="5"/>
      <c r="D977" s="8"/>
      <c r="E977" s="9"/>
      <c r="F977" s="9"/>
      <c r="G977" s="10"/>
      <c r="H977" s="10"/>
      <c r="I977" s="11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7"/>
      <c r="B978" s="7"/>
      <c r="C978" s="5"/>
      <c r="D978" s="8"/>
      <c r="E978" s="9"/>
      <c r="F978" s="9"/>
      <c r="G978" s="10"/>
      <c r="H978" s="10"/>
      <c r="I978" s="11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7"/>
      <c r="B979" s="7"/>
      <c r="C979" s="5"/>
      <c r="D979" s="8"/>
      <c r="E979" s="9"/>
      <c r="F979" s="9"/>
      <c r="G979" s="10"/>
      <c r="H979" s="10"/>
      <c r="I979" s="11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7"/>
      <c r="B980" s="7"/>
      <c r="C980" s="5"/>
      <c r="D980" s="8"/>
      <c r="E980" s="9"/>
      <c r="F980" s="9"/>
      <c r="G980" s="10"/>
      <c r="H980" s="10"/>
      <c r="I980" s="11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7"/>
      <c r="B981" s="7"/>
      <c r="C981" s="5"/>
      <c r="D981" s="8"/>
      <c r="E981" s="9"/>
      <c r="F981" s="9"/>
      <c r="G981" s="10"/>
      <c r="H981" s="10"/>
      <c r="I981" s="11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7"/>
      <c r="B982" s="7"/>
      <c r="C982" s="5"/>
      <c r="D982" s="8"/>
      <c r="E982" s="9"/>
      <c r="F982" s="9"/>
      <c r="G982" s="10"/>
      <c r="H982" s="10"/>
      <c r="I982" s="11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7"/>
      <c r="B983" s="7"/>
      <c r="C983" s="5"/>
      <c r="D983" s="8"/>
      <c r="E983" s="9"/>
      <c r="F983" s="9"/>
      <c r="G983" s="10"/>
      <c r="H983" s="10"/>
      <c r="I983" s="11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7"/>
      <c r="B984" s="7"/>
      <c r="C984" s="5"/>
      <c r="D984" s="8"/>
      <c r="E984" s="9"/>
      <c r="F984" s="9"/>
      <c r="G984" s="10"/>
      <c r="H984" s="10"/>
      <c r="I984" s="11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7"/>
      <c r="B985" s="7"/>
      <c r="C985" s="5"/>
      <c r="D985" s="8"/>
      <c r="E985" s="9"/>
      <c r="F985" s="9"/>
      <c r="G985" s="10"/>
      <c r="H985" s="10"/>
      <c r="I985" s="11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7"/>
      <c r="B986" s="7"/>
      <c r="C986" s="5"/>
      <c r="D986" s="8"/>
      <c r="E986" s="9"/>
      <c r="F986" s="9"/>
      <c r="G986" s="10"/>
      <c r="H986" s="10"/>
      <c r="I986" s="11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7"/>
      <c r="B987" s="7"/>
      <c r="C987" s="5"/>
      <c r="D987" s="8"/>
      <c r="E987" s="9"/>
      <c r="F987" s="9"/>
      <c r="G987" s="10"/>
      <c r="H987" s="10"/>
      <c r="I987" s="11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7"/>
      <c r="B988" s="7"/>
      <c r="C988" s="5"/>
      <c r="D988" s="8"/>
      <c r="E988" s="9"/>
      <c r="F988" s="9"/>
      <c r="G988" s="10"/>
      <c r="H988" s="10"/>
      <c r="I988" s="11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7"/>
      <c r="B989" s="7"/>
      <c r="C989" s="5"/>
      <c r="D989" s="8"/>
      <c r="E989" s="9"/>
      <c r="F989" s="9"/>
      <c r="G989" s="10"/>
      <c r="H989" s="10"/>
      <c r="I989" s="11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7"/>
      <c r="B990" s="7"/>
      <c r="C990" s="5"/>
      <c r="D990" s="8"/>
      <c r="E990" s="9"/>
      <c r="F990" s="9"/>
      <c r="G990" s="10"/>
      <c r="H990" s="10"/>
      <c r="I990" s="11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7"/>
      <c r="B991" s="7"/>
      <c r="C991" s="5"/>
      <c r="D991" s="8"/>
      <c r="E991" s="9"/>
      <c r="F991" s="9"/>
      <c r="G991" s="10"/>
      <c r="H991" s="10"/>
      <c r="I991" s="11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7"/>
      <c r="B992" s="7"/>
      <c r="C992" s="5"/>
      <c r="D992" s="8"/>
      <c r="E992" s="9"/>
      <c r="F992" s="9"/>
      <c r="G992" s="10"/>
      <c r="H992" s="10"/>
      <c r="I992" s="11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7"/>
      <c r="B993" s="7"/>
      <c r="C993" s="5"/>
      <c r="D993" s="8"/>
      <c r="E993" s="9"/>
      <c r="F993" s="9"/>
      <c r="G993" s="10"/>
      <c r="H993" s="10"/>
      <c r="I993" s="11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7"/>
      <c r="B994" s="7"/>
      <c r="C994" s="5"/>
      <c r="D994" s="8"/>
      <c r="E994" s="9"/>
      <c r="F994" s="9"/>
      <c r="G994" s="10"/>
      <c r="H994" s="10"/>
      <c r="I994" s="11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7"/>
      <c r="B995" s="7"/>
      <c r="C995" s="5"/>
      <c r="D995" s="8"/>
      <c r="E995" s="9"/>
      <c r="F995" s="9"/>
      <c r="G995" s="10"/>
      <c r="H995" s="10"/>
      <c r="I995" s="11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7"/>
      <c r="B996" s="7"/>
      <c r="C996" s="5"/>
      <c r="D996" s="8"/>
      <c r="E996" s="9"/>
      <c r="F996" s="9"/>
      <c r="G996" s="10"/>
      <c r="H996" s="10"/>
      <c r="I996" s="11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7"/>
      <c r="B997" s="7"/>
      <c r="C997" s="5"/>
      <c r="D997" s="8"/>
      <c r="E997" s="9"/>
      <c r="F997" s="9"/>
      <c r="G997" s="10"/>
      <c r="H997" s="10"/>
      <c r="I997" s="11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7"/>
      <c r="B998" s="7"/>
      <c r="C998" s="5"/>
      <c r="D998" s="8"/>
      <c r="E998" s="9"/>
      <c r="F998" s="9"/>
      <c r="G998" s="10"/>
      <c r="H998" s="10"/>
      <c r="I998" s="11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7"/>
      <c r="B999" s="7"/>
      <c r="C999" s="5"/>
      <c r="D999" s="8"/>
      <c r="E999" s="9"/>
      <c r="F999" s="9"/>
      <c r="G999" s="10"/>
      <c r="H999" s="10"/>
      <c r="I999" s="11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7"/>
      <c r="B1000" s="7"/>
      <c r="C1000" s="5"/>
      <c r="D1000" s="8"/>
      <c r="E1000" s="9"/>
      <c r="F1000" s="9"/>
      <c r="G1000" s="10"/>
      <c r="H1000" s="10"/>
      <c r="I1000" s="11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ht="16.5" customHeight="1">
      <c r="A1001" s="7"/>
      <c r="B1001" s="7"/>
      <c r="C1001" s="5"/>
      <c r="D1001" s="8"/>
      <c r="E1001" s="9"/>
      <c r="F1001" s="9"/>
      <c r="G1001" s="10"/>
      <c r="H1001" s="10"/>
      <c r="I1001" s="11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ht="16.5" customHeight="1">
      <c r="A1002" s="7"/>
      <c r="B1002" s="7"/>
      <c r="C1002" s="5"/>
      <c r="D1002" s="8"/>
      <c r="E1002" s="9"/>
      <c r="F1002" s="9"/>
      <c r="G1002" s="10"/>
      <c r="H1002" s="10"/>
      <c r="I1002" s="11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ht="16.5" customHeight="1">
      <c r="A1003" s="7"/>
      <c r="B1003" s="7"/>
      <c r="C1003" s="5"/>
      <c r="D1003" s="8"/>
      <c r="E1003" s="9"/>
      <c r="F1003" s="9"/>
      <c r="G1003" s="10"/>
      <c r="H1003" s="10"/>
      <c r="I1003" s="11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ht="16.5" customHeight="1">
      <c r="A1004" s="7"/>
      <c r="B1004" s="7"/>
      <c r="C1004" s="5"/>
      <c r="D1004" s="8"/>
      <c r="E1004" s="9"/>
      <c r="F1004" s="9"/>
      <c r="G1004" s="10"/>
      <c r="H1004" s="10"/>
      <c r="I1004" s="11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ht="16.5" customHeight="1">
      <c r="A1005" s="7"/>
      <c r="B1005" s="7"/>
      <c r="C1005" s="5"/>
      <c r="D1005" s="8"/>
      <c r="E1005" s="9"/>
      <c r="F1005" s="9"/>
      <c r="G1005" s="10"/>
      <c r="H1005" s="10"/>
      <c r="I1005" s="11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</sheetData>
  <autoFilter ref="$A$6:$I$27">
    <sortState ref="A6:I27">
      <sortCondition descending="1" ref="F6:F27"/>
    </sortState>
  </autoFilter>
  <mergeCells count="8">
    <mergeCell ref="A1:I1"/>
    <mergeCell ref="A2:I2"/>
    <mergeCell ref="A5:I5"/>
    <mergeCell ref="A7:I7"/>
    <mergeCell ref="A42:D42"/>
    <mergeCell ref="A43:I43"/>
    <mergeCell ref="A57:D57"/>
    <mergeCell ref="A58:D58"/>
  </mergeCells>
  <printOptions/>
  <pageMargins bottom="0.75" footer="0.0" header="0.0" left="0.2" right="0.2" top="0.75"/>
  <pageSetup paperSize="9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4.71"/>
    <col customWidth="1" min="2" max="2" width="21.71"/>
    <col customWidth="1" min="3" max="3" width="10.57"/>
    <col customWidth="1" min="4" max="4" width="6.43"/>
    <col customWidth="1" min="5" max="8" width="11.29"/>
    <col customWidth="1" min="9" max="9" width="15.14"/>
    <col customWidth="1" min="10" max="12" width="9.14"/>
    <col customWidth="1" min="13" max="26" width="8.71"/>
  </cols>
  <sheetData>
    <row r="1" ht="16.5" customHeight="1">
      <c r="A1" s="2" t="s">
        <v>0</v>
      </c>
      <c r="B1" s="3"/>
      <c r="C1" s="3"/>
      <c r="D1" s="3"/>
      <c r="E1" s="3"/>
      <c r="F1" s="3"/>
      <c r="G1" s="3"/>
      <c r="H1" s="3"/>
      <c r="I1" s="4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6" t="s">
        <v>2</v>
      </c>
      <c r="B2" s="3"/>
      <c r="C2" s="3"/>
      <c r="D2" s="3"/>
      <c r="E2" s="3"/>
      <c r="F2" s="3"/>
      <c r="G2" s="3"/>
      <c r="H2" s="3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7"/>
      <c r="B3" s="7"/>
      <c r="C3" s="5"/>
      <c r="D3" s="8"/>
      <c r="E3" s="9"/>
      <c r="F3" s="9"/>
      <c r="G3" s="10"/>
      <c r="H3" s="10"/>
      <c r="I3" s="11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7"/>
      <c r="B4" s="7"/>
      <c r="C4" s="5"/>
      <c r="D4" s="8"/>
      <c r="E4" s="9"/>
      <c r="F4" s="9"/>
      <c r="G4" s="10"/>
      <c r="H4" s="10"/>
      <c r="I4" s="11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9.0" customHeight="1">
      <c r="A5" s="12"/>
      <c r="B5" s="3"/>
      <c r="C5" s="3"/>
      <c r="D5" s="3"/>
      <c r="E5" s="3"/>
      <c r="F5" s="3"/>
      <c r="G5" s="3"/>
      <c r="H5" s="3"/>
      <c r="I5" s="4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14" t="s">
        <v>3</v>
      </c>
      <c r="B6" s="15" t="s">
        <v>4</v>
      </c>
      <c r="C6" s="16" t="s">
        <v>5</v>
      </c>
      <c r="D6" s="15" t="s">
        <v>6</v>
      </c>
      <c r="E6" s="16" t="s">
        <v>7</v>
      </c>
      <c r="F6" s="16" t="s">
        <v>9</v>
      </c>
      <c r="G6" s="16" t="s">
        <v>10</v>
      </c>
      <c r="H6" s="16" t="s">
        <v>11</v>
      </c>
      <c r="I6" s="18" t="s">
        <v>12</v>
      </c>
      <c r="J6" s="19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9.5" customHeight="1">
      <c r="A7" s="20" t="s">
        <v>13</v>
      </c>
      <c r="B7" s="21"/>
      <c r="C7" s="21"/>
      <c r="D7" s="21"/>
      <c r="E7" s="21"/>
      <c r="F7" s="21"/>
      <c r="G7" s="21"/>
      <c r="H7" s="21"/>
      <c r="I7" s="22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6.5" customHeight="1">
      <c r="A8" s="23" t="s">
        <v>14</v>
      </c>
      <c r="B8" s="24" t="s">
        <v>15</v>
      </c>
      <c r="C8" s="25">
        <v>45791.0</v>
      </c>
      <c r="D8" s="26">
        <f>31</f>
        <v>31</v>
      </c>
      <c r="E8" s="27">
        <f>145000+55000</f>
        <v>200000</v>
      </c>
      <c r="F8" s="28">
        <f t="shared" ref="F8:F9" si="1">E8/31*D8</f>
        <v>200000</v>
      </c>
      <c r="G8" s="29">
        <f>40000+140000+20000</f>
        <v>200000</v>
      </c>
      <c r="H8" s="30">
        <f t="shared" ref="H8:H12" si="2">F8-G8</f>
        <v>0</v>
      </c>
      <c r="I8" s="32" t="s">
        <v>17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34" t="s">
        <v>18</v>
      </c>
      <c r="B9" s="35" t="s">
        <v>19</v>
      </c>
      <c r="C9" s="36">
        <v>43822.0</v>
      </c>
      <c r="D9" s="37">
        <f>31-2-2</f>
        <v>27</v>
      </c>
      <c r="E9" s="38">
        <v>120000.0</v>
      </c>
      <c r="F9" s="39">
        <f t="shared" si="1"/>
        <v>104516.129</v>
      </c>
      <c r="G9" s="40">
        <f>40000+10000+20000+5000+20000+9516</f>
        <v>104516</v>
      </c>
      <c r="H9" s="41">
        <f t="shared" si="2"/>
        <v>0.1290322581</v>
      </c>
      <c r="I9" s="43" t="s">
        <v>21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6.5" customHeight="1">
      <c r="A10" s="34" t="s">
        <v>22</v>
      </c>
      <c r="B10" s="35" t="s">
        <v>23</v>
      </c>
      <c r="C10" s="36">
        <v>45787.0</v>
      </c>
      <c r="D10" s="37">
        <f t="shared" ref="D10:D12" si="3">31</f>
        <v>31</v>
      </c>
      <c r="E10" s="38">
        <v>75000.0</v>
      </c>
      <c r="F10" s="39">
        <f>E10/31*D10-1000</f>
        <v>74000</v>
      </c>
      <c r="G10" s="40">
        <f>5000+10000</f>
        <v>15000</v>
      </c>
      <c r="H10" s="41">
        <f t="shared" si="2"/>
        <v>59000</v>
      </c>
      <c r="I10" s="43" t="s">
        <v>24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6.5" customHeight="1">
      <c r="A11" s="34" t="s">
        <v>25</v>
      </c>
      <c r="B11" s="35" t="s">
        <v>26</v>
      </c>
      <c r="C11" s="36">
        <v>44251.0</v>
      </c>
      <c r="D11" s="37">
        <f t="shared" si="3"/>
        <v>31</v>
      </c>
      <c r="E11" s="38">
        <v>75000.0</v>
      </c>
      <c r="F11" s="39">
        <f>E11/31*D11-417-850</f>
        <v>73733</v>
      </c>
      <c r="G11" s="40"/>
      <c r="H11" s="41">
        <f t="shared" si="2"/>
        <v>73733</v>
      </c>
      <c r="I11" s="43" t="s">
        <v>24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6.5" customHeight="1">
      <c r="A12" s="34" t="s">
        <v>27</v>
      </c>
      <c r="B12" s="35" t="s">
        <v>28</v>
      </c>
      <c r="C12" s="36">
        <v>45792.0</v>
      </c>
      <c r="D12" s="37">
        <f t="shared" si="3"/>
        <v>31</v>
      </c>
      <c r="E12" s="38">
        <v>50000.0</v>
      </c>
      <c r="F12" s="39">
        <f>E12/31*D12-1000</f>
        <v>49000</v>
      </c>
      <c r="G12" s="40">
        <f>5000+3000+15000+16000+10000</f>
        <v>49000</v>
      </c>
      <c r="H12" s="41">
        <f t="shared" si="2"/>
        <v>0</v>
      </c>
      <c r="I12" s="48" t="s">
        <v>32</v>
      </c>
      <c r="J12" s="5"/>
      <c r="K12" s="5"/>
      <c r="L12" s="51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6.5" customHeight="1">
      <c r="A13" s="34" t="s">
        <v>30</v>
      </c>
      <c r="B13" s="55" t="s">
        <v>39</v>
      </c>
      <c r="C13" s="36">
        <v>45200.0</v>
      </c>
      <c r="D13" s="37">
        <f>31-0-3</f>
        <v>28</v>
      </c>
      <c r="E13" s="38">
        <v>50000.0</v>
      </c>
      <c r="F13" s="52">
        <f>E13/31*D13-600</f>
        <v>44561.29032</v>
      </c>
      <c r="G13" s="40"/>
      <c r="H13" s="54"/>
      <c r="I13" s="48" t="s">
        <v>32</v>
      </c>
      <c r="J13" s="5"/>
      <c r="K13" s="5"/>
      <c r="L13" s="51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6.5" customHeight="1">
      <c r="A14" s="34" t="s">
        <v>34</v>
      </c>
      <c r="B14" s="49" t="s">
        <v>33</v>
      </c>
      <c r="C14" s="36">
        <v>45871.0</v>
      </c>
      <c r="D14" s="37">
        <f>31</f>
        <v>31</v>
      </c>
      <c r="E14" s="47">
        <v>50000.0</v>
      </c>
      <c r="F14" s="52">
        <f t="shared" ref="F14:F15" si="4">E14/31*D14-1000</f>
        <v>49000</v>
      </c>
      <c r="G14" s="40"/>
      <c r="H14" s="54"/>
      <c r="I14" s="48" t="s">
        <v>32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6.5" customHeight="1">
      <c r="A15" s="34" t="s">
        <v>37</v>
      </c>
      <c r="B15" s="46" t="s">
        <v>31</v>
      </c>
      <c r="C15" s="36">
        <v>45871.0</v>
      </c>
      <c r="D15" s="34">
        <f>31-1</f>
        <v>30</v>
      </c>
      <c r="E15" s="47">
        <v>60000.0</v>
      </c>
      <c r="F15" s="39">
        <f t="shared" si="4"/>
        <v>57064.51613</v>
      </c>
      <c r="G15" s="40">
        <f>15000+42065</f>
        <v>57065</v>
      </c>
      <c r="H15" s="41">
        <f>F15-G15</f>
        <v>-0.4838709677</v>
      </c>
      <c r="I15" s="44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6.5" customHeight="1">
      <c r="A16" s="34" t="s">
        <v>41</v>
      </c>
      <c r="B16" s="49" t="s">
        <v>45</v>
      </c>
      <c r="C16" s="36">
        <v>45879.0</v>
      </c>
      <c r="D16" s="37">
        <f>31-0-1</f>
        <v>30</v>
      </c>
      <c r="E16" s="47">
        <v>25000.0</v>
      </c>
      <c r="F16" s="52">
        <f>E16/31*D16-1050</f>
        <v>23143.54839</v>
      </c>
      <c r="G16" s="40">
        <f>500+4500</f>
        <v>5000</v>
      </c>
      <c r="H16" s="54"/>
      <c r="I16" s="44" t="s">
        <v>36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6.5" customHeight="1">
      <c r="A17" s="34" t="s">
        <v>44</v>
      </c>
      <c r="B17" s="46" t="s">
        <v>35</v>
      </c>
      <c r="C17" s="36">
        <v>45886.0</v>
      </c>
      <c r="D17" s="37">
        <f>31-4+3</f>
        <v>30</v>
      </c>
      <c r="E17" s="47">
        <v>25000.0</v>
      </c>
      <c r="F17" s="39">
        <f>E17/31*D17-800-1</f>
        <v>23392.54839</v>
      </c>
      <c r="G17" s="40">
        <f>18393+5000</f>
        <v>23393</v>
      </c>
      <c r="H17" s="41">
        <f t="shared" ref="H17:H24" si="5">F17-G17</f>
        <v>-0.4516129032</v>
      </c>
      <c r="I17" s="44" t="s">
        <v>36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6.5" customHeight="1">
      <c r="A18" s="34" t="s">
        <v>47</v>
      </c>
      <c r="B18" s="50" t="s">
        <v>38</v>
      </c>
      <c r="C18" s="53">
        <v>45787.0</v>
      </c>
      <c r="D18" s="37">
        <f>31</f>
        <v>31</v>
      </c>
      <c r="E18" s="38">
        <v>20000.0</v>
      </c>
      <c r="F18" s="39">
        <f>E18/31*D18-5000-2050</f>
        <v>12950</v>
      </c>
      <c r="G18" s="40">
        <f>500+10000+2450</f>
        <v>12950</v>
      </c>
      <c r="H18" s="41">
        <f t="shared" si="5"/>
        <v>0</v>
      </c>
      <c r="I18" s="48" t="s">
        <v>43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6.5" customHeight="1">
      <c r="A19" s="34" t="s">
        <v>49</v>
      </c>
      <c r="B19" s="50" t="s">
        <v>42</v>
      </c>
      <c r="C19" s="53">
        <v>45823.0</v>
      </c>
      <c r="D19" s="37">
        <f>31-1</f>
        <v>30</v>
      </c>
      <c r="E19" s="38">
        <v>20000.0</v>
      </c>
      <c r="F19" s="39">
        <f>E19/31*D19-1000-1</f>
        <v>18353.83871</v>
      </c>
      <c r="G19" s="40">
        <f>3500+1000+1000+12854</f>
        <v>18354</v>
      </c>
      <c r="H19" s="41">
        <f t="shared" si="5"/>
        <v>-0.1612903226</v>
      </c>
      <c r="I19" s="48" t="s">
        <v>43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6.5" customHeight="1">
      <c r="A20" s="34" t="s">
        <v>51</v>
      </c>
      <c r="B20" s="35" t="s">
        <v>46</v>
      </c>
      <c r="C20" s="56">
        <v>45846.0</v>
      </c>
      <c r="D20" s="37">
        <f>31-1+1-1</f>
        <v>30</v>
      </c>
      <c r="E20" s="47">
        <v>35000.0</v>
      </c>
      <c r="F20" s="39">
        <f>E20/31*D20-850-1</f>
        <v>33019.96774</v>
      </c>
      <c r="G20" s="40">
        <f>500+1000+15000+16520</f>
        <v>33020</v>
      </c>
      <c r="H20" s="41">
        <f t="shared" si="5"/>
        <v>-0.03225806452</v>
      </c>
      <c r="I20" s="44" t="s">
        <v>24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6.5" customHeight="1">
      <c r="A21" s="34" t="s">
        <v>53</v>
      </c>
      <c r="B21" s="35" t="s">
        <v>59</v>
      </c>
      <c r="C21" s="36">
        <v>45871.0</v>
      </c>
      <c r="D21" s="37">
        <f>31-3+3-2</f>
        <v>29</v>
      </c>
      <c r="E21" s="47">
        <v>20000.0</v>
      </c>
      <c r="F21" s="39">
        <f>E21/31*D21-950</f>
        <v>17759.67742</v>
      </c>
      <c r="G21" s="40">
        <f>10000+5000</f>
        <v>15000</v>
      </c>
      <c r="H21" s="41">
        <f t="shared" si="5"/>
        <v>2759.677419</v>
      </c>
      <c r="I21" s="44" t="s">
        <v>36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6.5" customHeight="1">
      <c r="A22" s="34" t="s">
        <v>55</v>
      </c>
      <c r="B22" s="35" t="s">
        <v>48</v>
      </c>
      <c r="C22" s="36">
        <v>45972.0</v>
      </c>
      <c r="D22" s="37">
        <f>31-0-1</f>
        <v>30</v>
      </c>
      <c r="E22" s="47">
        <v>35000.0</v>
      </c>
      <c r="F22" s="39">
        <f>E22/31*D22-1900-1</f>
        <v>31969.96774</v>
      </c>
      <c r="G22" s="40">
        <f>500+2000+25000+4470</f>
        <v>31970</v>
      </c>
      <c r="H22" s="41">
        <f t="shared" si="5"/>
        <v>-0.03225806452</v>
      </c>
      <c r="I22" s="48" t="s">
        <v>40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6.5" customHeight="1">
      <c r="A23" s="34" t="s">
        <v>60</v>
      </c>
      <c r="B23" s="35" t="s">
        <v>50</v>
      </c>
      <c r="C23" s="36">
        <v>45972.0</v>
      </c>
      <c r="D23" s="37">
        <f t="shared" ref="D23:D24" si="6">31</f>
        <v>31</v>
      </c>
      <c r="E23" s="47">
        <v>20000.0</v>
      </c>
      <c r="F23" s="39">
        <f>E23/31*D23-1000</f>
        <v>19000</v>
      </c>
      <c r="G23" s="58">
        <f>500+2000+10000+500+2000+4000</f>
        <v>19000</v>
      </c>
      <c r="H23" s="41">
        <f t="shared" si="5"/>
        <v>0</v>
      </c>
      <c r="I23" s="48" t="s">
        <v>43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6.5" customHeight="1">
      <c r="A24" s="34" t="s">
        <v>65</v>
      </c>
      <c r="B24" s="35" t="s">
        <v>52</v>
      </c>
      <c r="C24" s="36">
        <v>45997.0</v>
      </c>
      <c r="D24" s="37">
        <f t="shared" si="6"/>
        <v>31</v>
      </c>
      <c r="E24" s="47">
        <v>20000.0</v>
      </c>
      <c r="F24" s="39">
        <f>E24/31*D24-1100</f>
        <v>18900</v>
      </c>
      <c r="G24" s="40">
        <f>5000+8000+3000+2900</f>
        <v>18900</v>
      </c>
      <c r="H24" s="41">
        <f t="shared" si="5"/>
        <v>0</v>
      </c>
      <c r="I24" s="48" t="s">
        <v>43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6.5" customHeight="1">
      <c r="A25" s="34" t="s">
        <v>68</v>
      </c>
      <c r="B25" s="35" t="s">
        <v>77</v>
      </c>
      <c r="C25" s="36">
        <v>46023.0</v>
      </c>
      <c r="D25" s="37">
        <f>31-2</f>
        <v>29</v>
      </c>
      <c r="E25" s="47">
        <v>70000.0</v>
      </c>
      <c r="F25" s="39">
        <f>E25/31*D25-800</f>
        <v>64683.87097</v>
      </c>
      <c r="G25" s="40"/>
      <c r="H25" s="54"/>
      <c r="I25" s="48" t="s">
        <v>24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6.5" customHeight="1">
      <c r="A26" s="34" t="s">
        <v>57</v>
      </c>
      <c r="B26" s="35" t="s">
        <v>54</v>
      </c>
      <c r="C26" s="36">
        <v>46023.0</v>
      </c>
      <c r="D26" s="37">
        <f>31</f>
        <v>31</v>
      </c>
      <c r="E26" s="47">
        <v>50000.0</v>
      </c>
      <c r="F26" s="39">
        <f>E26/31*D26-1100</f>
        <v>48900</v>
      </c>
      <c r="G26" s="40">
        <f>5000+5000+2000+500+30000+6400</f>
        <v>48900</v>
      </c>
      <c r="H26" s="41">
        <f>F26-G26</f>
        <v>0</v>
      </c>
      <c r="I26" s="48" t="s">
        <v>32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6.5" customHeight="1">
      <c r="A27" s="34" t="s">
        <v>62</v>
      </c>
      <c r="B27" s="35" t="s">
        <v>79</v>
      </c>
      <c r="C27" s="36">
        <v>46025.0</v>
      </c>
      <c r="D27" s="37">
        <f>31-0-3</f>
        <v>28</v>
      </c>
      <c r="E27" s="47">
        <v>35000.0</v>
      </c>
      <c r="F27" s="39">
        <f>E27/31*D27-1050</f>
        <v>30562.90323</v>
      </c>
      <c r="G27" s="40"/>
      <c r="H27" s="54"/>
      <c r="I27" s="48" t="s">
        <v>40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6.5" customHeight="1">
      <c r="A28" s="34" t="s">
        <v>64</v>
      </c>
      <c r="B28" s="55" t="s">
        <v>82</v>
      </c>
      <c r="C28" s="36">
        <v>46026.0</v>
      </c>
      <c r="D28" s="37">
        <f>31-1</f>
        <v>30</v>
      </c>
      <c r="E28" s="47">
        <v>20000.0</v>
      </c>
      <c r="F28" s="52">
        <f>E28/31*D28-900</f>
        <v>18454.83871</v>
      </c>
      <c r="G28" s="40"/>
      <c r="H28" s="54"/>
      <c r="I28" s="48" t="s">
        <v>43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6.5" customHeight="1">
      <c r="A29" s="34" t="s">
        <v>70</v>
      </c>
      <c r="B29" s="50" t="s">
        <v>56</v>
      </c>
      <c r="C29" s="56">
        <v>46032.0</v>
      </c>
      <c r="D29" s="37">
        <f>31-0-1</f>
        <v>30</v>
      </c>
      <c r="E29" s="47">
        <v>25000.0</v>
      </c>
      <c r="F29" s="39">
        <f>E29/31*D29-1100-1</f>
        <v>23092.54839</v>
      </c>
      <c r="G29" s="40">
        <f>5000+500+1000+16593</f>
        <v>23093</v>
      </c>
      <c r="H29" s="41">
        <f t="shared" ref="H29:H30" si="7">F29-G29</f>
        <v>-0.4516129032</v>
      </c>
      <c r="I29" s="44" t="s">
        <v>36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6.5" customHeight="1">
      <c r="A30" s="34" t="s">
        <v>72</v>
      </c>
      <c r="B30" s="35" t="s">
        <v>61</v>
      </c>
      <c r="C30" s="56">
        <v>46054.0</v>
      </c>
      <c r="D30" s="37">
        <f t="shared" ref="D30:D31" si="8">31</f>
        <v>31</v>
      </c>
      <c r="E30" s="47">
        <v>25000.0</v>
      </c>
      <c r="F30" s="39">
        <f>E30/31*D30-1050</f>
        <v>23950</v>
      </c>
      <c r="G30" s="40">
        <f>500+500+17000</f>
        <v>18000</v>
      </c>
      <c r="H30" s="41">
        <f t="shared" si="7"/>
        <v>5950</v>
      </c>
      <c r="I30" s="44" t="s">
        <v>36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6.5" customHeight="1">
      <c r="A31" s="34" t="s">
        <v>75</v>
      </c>
      <c r="B31" s="55" t="s">
        <v>83</v>
      </c>
      <c r="C31" s="56">
        <v>46054.0</v>
      </c>
      <c r="D31" s="37">
        <f t="shared" si="8"/>
        <v>31</v>
      </c>
      <c r="E31" s="47">
        <v>110000.0</v>
      </c>
      <c r="F31" s="52">
        <f>E31/31*D31-800</f>
        <v>109200</v>
      </c>
      <c r="G31" s="40"/>
      <c r="H31" s="54"/>
      <c r="I31" s="79" t="s">
        <v>84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6.5" customHeight="1">
      <c r="A32" s="34" t="s">
        <v>89</v>
      </c>
      <c r="B32" s="55" t="s">
        <v>85</v>
      </c>
      <c r="C32" s="56">
        <v>46082.0</v>
      </c>
      <c r="D32" s="37">
        <f>31-2</f>
        <v>29</v>
      </c>
      <c r="E32" s="38">
        <v>50000.0</v>
      </c>
      <c r="F32" s="52">
        <f>E32/31*D32-1000</f>
        <v>45774.19355</v>
      </c>
      <c r="G32" s="40"/>
      <c r="H32" s="54"/>
      <c r="I32" s="48" t="s">
        <v>32</v>
      </c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6.5" customHeight="1">
      <c r="A33" s="34" t="s">
        <v>91</v>
      </c>
      <c r="B33" s="35" t="s">
        <v>67</v>
      </c>
      <c r="C33" s="56">
        <v>46144.0</v>
      </c>
      <c r="D33" s="37">
        <f>30</f>
        <v>30</v>
      </c>
      <c r="E33" s="38">
        <v>25000.0</v>
      </c>
      <c r="F33" s="39">
        <f>E33/31*D33-1050</f>
        <v>23143.54839</v>
      </c>
      <c r="G33" s="58">
        <f>10000+500+1000+2000+500+9144</f>
        <v>23144</v>
      </c>
      <c r="H33" s="41">
        <f>F33-G33</f>
        <v>-0.4516129032</v>
      </c>
      <c r="I33" s="43" t="s">
        <v>36</v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34" t="s">
        <v>93</v>
      </c>
      <c r="B34" s="92" t="s">
        <v>94</v>
      </c>
      <c r="C34" s="56">
        <v>46144.0</v>
      </c>
      <c r="D34" s="37">
        <f>31-2-1</f>
        <v>28</v>
      </c>
      <c r="E34" s="38">
        <v>20000.0</v>
      </c>
      <c r="F34" s="95">
        <f>E34/31*D34-900</f>
        <v>17164.51613</v>
      </c>
      <c r="G34" s="58">
        <f t="shared" ref="G34:G35" si="9">10000+1000</f>
        <v>11000</v>
      </c>
      <c r="H34" s="41"/>
      <c r="I34" s="43" t="s">
        <v>43</v>
      </c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34" t="s">
        <v>97</v>
      </c>
      <c r="B35" s="92" t="s">
        <v>98</v>
      </c>
      <c r="C35" s="56">
        <v>46144.0</v>
      </c>
      <c r="D35" s="37">
        <f>31-3-2</f>
        <v>26</v>
      </c>
      <c r="E35" s="38">
        <v>20000.0</v>
      </c>
      <c r="F35" s="95">
        <f>E35/31*D35-950</f>
        <v>15824.19355</v>
      </c>
      <c r="G35" s="58">
        <f t="shared" si="9"/>
        <v>11000</v>
      </c>
      <c r="H35" s="41"/>
      <c r="I35" s="43" t="s">
        <v>43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34" t="s">
        <v>99</v>
      </c>
      <c r="B36" s="35" t="s">
        <v>69</v>
      </c>
      <c r="C36" s="56">
        <v>46152.0</v>
      </c>
      <c r="D36" s="37">
        <f>31-2-9</f>
        <v>20</v>
      </c>
      <c r="E36" s="38">
        <v>25000.0</v>
      </c>
      <c r="F36" s="39">
        <f>E36/31*D36-100</f>
        <v>16029.03226</v>
      </c>
      <c r="G36" s="40">
        <f>16029</f>
        <v>16029</v>
      </c>
      <c r="H36" s="41">
        <f t="shared" ref="H36:H41" si="10">F36-G36</f>
        <v>0.03225806452</v>
      </c>
      <c r="I36" s="43" t="s">
        <v>36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34" t="s">
        <v>100</v>
      </c>
      <c r="B37" s="59" t="s">
        <v>58</v>
      </c>
      <c r="C37" s="60">
        <v>45854.0</v>
      </c>
      <c r="D37" s="34">
        <f>31-3+3-1-1</f>
        <v>29</v>
      </c>
      <c r="E37" s="38">
        <v>25000.0</v>
      </c>
      <c r="F37" s="39">
        <f>E37/31*D37-850</f>
        <v>22537.09677</v>
      </c>
      <c r="G37" s="40">
        <f>20000+2537</f>
        <v>22537</v>
      </c>
      <c r="H37" s="41">
        <f t="shared" si="10"/>
        <v>0.09677419355</v>
      </c>
      <c r="I37" s="43" t="s">
        <v>36</v>
      </c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34" t="s">
        <v>101</v>
      </c>
      <c r="B38" s="59" t="s">
        <v>63</v>
      </c>
      <c r="C38" s="60">
        <v>45910.0</v>
      </c>
      <c r="D38" s="97">
        <f>31-2-1</f>
        <v>28</v>
      </c>
      <c r="E38" s="38">
        <v>25000.0</v>
      </c>
      <c r="F38" s="39">
        <f>E38/31*D38-1</f>
        <v>22579.64516</v>
      </c>
      <c r="G38" s="40">
        <f>12580+3000+7000</f>
        <v>22580</v>
      </c>
      <c r="H38" s="41">
        <f t="shared" si="10"/>
        <v>-0.3548387097</v>
      </c>
      <c r="I38" s="43" t="s">
        <v>43</v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6.5" customHeight="1">
      <c r="A39" s="34" t="s">
        <v>104</v>
      </c>
      <c r="B39" s="59" t="s">
        <v>66</v>
      </c>
      <c r="C39" s="60">
        <v>45857.0</v>
      </c>
      <c r="D39" s="100">
        <v>31.0</v>
      </c>
      <c r="E39" s="61">
        <v>20000.0</v>
      </c>
      <c r="F39" s="39">
        <f>E39/31*D39</f>
        <v>20000</v>
      </c>
      <c r="G39" s="40">
        <f>500+2000+500+2000+10000+5000</f>
        <v>20000</v>
      </c>
      <c r="H39" s="41">
        <f t="shared" si="10"/>
        <v>0</v>
      </c>
      <c r="I39" s="43" t="s">
        <v>43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6.5" customHeight="1">
      <c r="A40" s="34" t="s">
        <v>107</v>
      </c>
      <c r="B40" s="59" t="s">
        <v>71</v>
      </c>
      <c r="C40" s="60">
        <v>45945.0</v>
      </c>
      <c r="D40" s="100">
        <v>31.0</v>
      </c>
      <c r="E40" s="61">
        <v>200000.0</v>
      </c>
      <c r="F40" s="39">
        <f>E40/31*D40-5000</f>
        <v>195000</v>
      </c>
      <c r="G40" s="40"/>
      <c r="H40" s="41">
        <f t="shared" si="10"/>
        <v>195000</v>
      </c>
      <c r="I40" s="45" t="s">
        <v>16</v>
      </c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6.5" customHeight="1">
      <c r="A41" s="34" t="s">
        <v>108</v>
      </c>
      <c r="B41" s="59" t="s">
        <v>73</v>
      </c>
      <c r="C41" s="60">
        <v>45931.0</v>
      </c>
      <c r="D41" s="37">
        <f>31</f>
        <v>31</v>
      </c>
      <c r="E41" s="61">
        <v>120000.0</v>
      </c>
      <c r="F41" s="39">
        <f>E41/31*D41-1100-1100</f>
        <v>117800</v>
      </c>
      <c r="G41" s="40">
        <f>50000+30000+1000</f>
        <v>81000</v>
      </c>
      <c r="H41" s="41">
        <f t="shared" si="10"/>
        <v>36800</v>
      </c>
      <c r="I41" s="42" t="s">
        <v>74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65"/>
      <c r="B42" s="35"/>
      <c r="C42" s="56"/>
      <c r="D42" s="34"/>
      <c r="E42" s="38"/>
      <c r="F42" s="39"/>
      <c r="G42" s="40"/>
      <c r="H42" s="41"/>
      <c r="I42" s="48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9.5" customHeight="1">
      <c r="A43" s="66" t="s">
        <v>78</v>
      </c>
      <c r="B43" s="21"/>
      <c r="C43" s="21"/>
      <c r="D43" s="67"/>
      <c r="E43" s="68">
        <f t="shared" ref="E43:H43" si="11">SUM(E8:E42)</f>
        <v>1765000</v>
      </c>
      <c r="F43" s="68">
        <f t="shared" si="11"/>
        <v>1665060.871</v>
      </c>
      <c r="G43" s="68">
        <f t="shared" si="11"/>
        <v>900451</v>
      </c>
      <c r="H43" s="68">
        <f t="shared" si="11"/>
        <v>373240.5161</v>
      </c>
      <c r="I43" s="69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9.5" customHeight="1">
      <c r="A44" s="70" t="s">
        <v>80</v>
      </c>
      <c r="B44" s="71"/>
      <c r="C44" s="71"/>
      <c r="D44" s="71"/>
      <c r="E44" s="71"/>
      <c r="F44" s="71"/>
      <c r="G44" s="71"/>
      <c r="H44" s="71"/>
      <c r="I44" s="72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73" t="s">
        <v>14</v>
      </c>
      <c r="B45" s="74" t="s">
        <v>81</v>
      </c>
      <c r="C45" s="75">
        <v>45783.0</v>
      </c>
      <c r="D45" s="37">
        <f>31</f>
        <v>31</v>
      </c>
      <c r="E45" s="77">
        <f>60000</f>
        <v>60000</v>
      </c>
      <c r="F45" s="77">
        <f>E45/31*D45</f>
        <v>60000</v>
      </c>
      <c r="G45" s="78">
        <f>35000+25000</f>
        <v>60000</v>
      </c>
      <c r="H45" s="78">
        <f t="shared" ref="H45:H54" si="12">F45-G45</f>
        <v>0</v>
      </c>
      <c r="I45" s="80" t="s">
        <v>32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65" t="s">
        <v>18</v>
      </c>
      <c r="B46" s="74" t="s">
        <v>86</v>
      </c>
      <c r="C46" s="75">
        <v>46023.0</v>
      </c>
      <c r="D46" s="76">
        <f>31-1</f>
        <v>30</v>
      </c>
      <c r="E46" s="77">
        <v>35000.0</v>
      </c>
      <c r="F46" s="77">
        <f>E46/31*D46-750-1</f>
        <v>33119.96774</v>
      </c>
      <c r="G46" s="78">
        <f>18121+14999</f>
        <v>33120</v>
      </c>
      <c r="H46" s="78">
        <f t="shared" si="12"/>
        <v>-0.03225806452</v>
      </c>
      <c r="I46" s="80" t="s">
        <v>40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65" t="s">
        <v>22</v>
      </c>
      <c r="B47" s="81" t="s">
        <v>87</v>
      </c>
      <c r="C47" s="75">
        <v>45934.0</v>
      </c>
      <c r="D47" s="37">
        <f>31-1+1</f>
        <v>31</v>
      </c>
      <c r="E47" s="77">
        <v>20000.0</v>
      </c>
      <c r="F47" s="77">
        <f>E47/31*D47-500</f>
        <v>19500</v>
      </c>
      <c r="G47" s="78">
        <f>5000+14500</f>
        <v>19500</v>
      </c>
      <c r="H47" s="78">
        <f t="shared" si="12"/>
        <v>0</v>
      </c>
      <c r="I47" s="80" t="s">
        <v>43</v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65" t="s">
        <v>25</v>
      </c>
      <c r="B48" s="82" t="s">
        <v>88</v>
      </c>
      <c r="C48" s="83">
        <v>46033.0</v>
      </c>
      <c r="D48" s="124">
        <f>31-1</f>
        <v>30</v>
      </c>
      <c r="E48" s="85">
        <v>30000.0</v>
      </c>
      <c r="F48" s="85">
        <f>E48/31*D48-650</f>
        <v>28382.25806</v>
      </c>
      <c r="G48" s="40">
        <f>6000+1000+5000+6382+10000</f>
        <v>28382</v>
      </c>
      <c r="H48" s="40">
        <f t="shared" si="12"/>
        <v>0.2580645161</v>
      </c>
      <c r="I48" s="86" t="s">
        <v>90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65" t="s">
        <v>27</v>
      </c>
      <c r="B49" s="87" t="s">
        <v>92</v>
      </c>
      <c r="C49" s="88">
        <v>45783.0</v>
      </c>
      <c r="D49" s="125">
        <f t="shared" ref="D49:D54" si="13">31</f>
        <v>31</v>
      </c>
      <c r="E49" s="90">
        <v>20000.0</v>
      </c>
      <c r="F49" s="90">
        <f t="shared" ref="F49:F54" si="14">E49/31*D49</f>
        <v>20000</v>
      </c>
      <c r="G49" s="91">
        <f>5000+15000</f>
        <v>20000</v>
      </c>
      <c r="H49" s="91">
        <f t="shared" si="12"/>
        <v>0</v>
      </c>
      <c r="I49" s="93" t="s">
        <v>95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65" t="s">
        <v>30</v>
      </c>
      <c r="B50" s="87" t="s">
        <v>111</v>
      </c>
      <c r="C50" s="88">
        <v>45763.0</v>
      </c>
      <c r="D50" s="125">
        <f t="shared" si="13"/>
        <v>31</v>
      </c>
      <c r="E50" s="90">
        <v>14000.0</v>
      </c>
      <c r="F50" s="90">
        <f t="shared" si="14"/>
        <v>14000</v>
      </c>
      <c r="G50" s="91">
        <f>3000+11000</f>
        <v>14000</v>
      </c>
      <c r="H50" s="91">
        <f t="shared" si="12"/>
        <v>0</v>
      </c>
      <c r="I50" s="93" t="s">
        <v>102</v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65" t="s">
        <v>34</v>
      </c>
      <c r="B51" s="87" t="s">
        <v>105</v>
      </c>
      <c r="C51" s="88">
        <v>45773.0</v>
      </c>
      <c r="D51" s="125">
        <f t="shared" si="13"/>
        <v>31</v>
      </c>
      <c r="E51" s="90">
        <v>12000.0</v>
      </c>
      <c r="F51" s="90">
        <f t="shared" si="14"/>
        <v>12000</v>
      </c>
      <c r="G51" s="98">
        <v>12000.0</v>
      </c>
      <c r="H51" s="91">
        <f t="shared" si="12"/>
        <v>0</v>
      </c>
      <c r="I51" s="99" t="s">
        <v>102</v>
      </c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65" t="s">
        <v>37</v>
      </c>
      <c r="B52" s="87" t="s">
        <v>112</v>
      </c>
      <c r="C52" s="88">
        <v>46113.0</v>
      </c>
      <c r="D52" s="125">
        <f t="shared" si="13"/>
        <v>31</v>
      </c>
      <c r="E52" s="90">
        <v>14000.0</v>
      </c>
      <c r="F52" s="90">
        <f t="shared" si="14"/>
        <v>14000</v>
      </c>
      <c r="G52" s="98">
        <v>14000.0</v>
      </c>
      <c r="H52" s="91">
        <f t="shared" si="12"/>
        <v>0</v>
      </c>
      <c r="I52" s="99" t="s">
        <v>102</v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65" t="s">
        <v>41</v>
      </c>
      <c r="B53" s="101" t="s">
        <v>106</v>
      </c>
      <c r="C53" s="102">
        <v>44992.0</v>
      </c>
      <c r="D53" s="126">
        <f t="shared" si="13"/>
        <v>31</v>
      </c>
      <c r="E53" s="104">
        <v>24000.0</v>
      </c>
      <c r="F53" s="104">
        <f t="shared" si="14"/>
        <v>24000</v>
      </c>
      <c r="G53" s="105">
        <f>10000+14000</f>
        <v>24000</v>
      </c>
      <c r="H53" s="105">
        <f t="shared" si="12"/>
        <v>0</v>
      </c>
      <c r="I53" s="106" t="s">
        <v>109</v>
      </c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65" t="s">
        <v>44</v>
      </c>
      <c r="B54" s="101" t="s">
        <v>113</v>
      </c>
      <c r="C54" s="102">
        <v>46126.0</v>
      </c>
      <c r="D54" s="126">
        <f t="shared" si="13"/>
        <v>31</v>
      </c>
      <c r="E54" s="104">
        <v>22000.0</v>
      </c>
      <c r="F54" s="104">
        <f t="shared" si="14"/>
        <v>22000</v>
      </c>
      <c r="G54" s="105">
        <f>2000+20000</f>
        <v>22000</v>
      </c>
      <c r="H54" s="105">
        <f t="shared" si="12"/>
        <v>0</v>
      </c>
      <c r="I54" s="106" t="s">
        <v>109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110"/>
      <c r="B55" s="111"/>
      <c r="C55" s="112"/>
      <c r="D55" s="113"/>
      <c r="E55" s="114"/>
      <c r="F55" s="114"/>
      <c r="G55" s="115"/>
      <c r="H55" s="115"/>
      <c r="I55" s="11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9.5" customHeight="1">
      <c r="A56" s="66" t="s">
        <v>78</v>
      </c>
      <c r="B56" s="21"/>
      <c r="C56" s="21"/>
      <c r="D56" s="67"/>
      <c r="E56" s="68">
        <f t="shared" ref="E56:H56" si="15">SUM(E45:E55)</f>
        <v>251000</v>
      </c>
      <c r="F56" s="68">
        <f t="shared" si="15"/>
        <v>247002.2258</v>
      </c>
      <c r="G56" s="68">
        <f t="shared" si="15"/>
        <v>247002</v>
      </c>
      <c r="H56" s="68">
        <f t="shared" si="15"/>
        <v>0.2258064516</v>
      </c>
      <c r="I56" s="69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24.75" customHeight="1">
      <c r="A57" s="117" t="s">
        <v>78</v>
      </c>
      <c r="B57" s="21"/>
      <c r="C57" s="21"/>
      <c r="D57" s="67"/>
      <c r="E57" s="118">
        <f t="shared" ref="E57:H57" si="16">E43+E56</f>
        <v>2016000</v>
      </c>
      <c r="F57" s="118">
        <f t="shared" si="16"/>
        <v>1912063.097</v>
      </c>
      <c r="G57" s="118">
        <f t="shared" si="16"/>
        <v>1147453</v>
      </c>
      <c r="H57" s="118">
        <f t="shared" si="16"/>
        <v>373240.7419</v>
      </c>
      <c r="I57" s="119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120"/>
      <c r="B58" s="120"/>
      <c r="C58" s="121"/>
      <c r="D58" s="11"/>
      <c r="E58" s="122"/>
      <c r="F58" s="122"/>
      <c r="G58" s="123"/>
      <c r="H58" s="123"/>
      <c r="I58" s="11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120"/>
      <c r="B59" s="120"/>
      <c r="C59" s="121"/>
      <c r="D59" s="11"/>
      <c r="E59" s="122"/>
      <c r="F59" s="122"/>
      <c r="G59" s="123"/>
      <c r="H59" s="123"/>
      <c r="I59" s="11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120"/>
      <c r="B60" s="120"/>
      <c r="C60" s="121"/>
      <c r="D60" s="11"/>
      <c r="E60" s="122"/>
      <c r="F60" s="122"/>
      <c r="G60" s="123"/>
      <c r="H60" s="123"/>
      <c r="I60" s="11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120"/>
      <c r="B61" s="120"/>
      <c r="C61" s="121"/>
      <c r="D61" s="11"/>
      <c r="E61" s="122"/>
      <c r="F61" s="122"/>
      <c r="G61" s="123"/>
      <c r="H61" s="123"/>
      <c r="I61" s="11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120"/>
      <c r="B62" s="120"/>
      <c r="C62" s="121"/>
      <c r="D62" s="11"/>
      <c r="E62" s="122"/>
      <c r="F62" s="122"/>
      <c r="G62" s="123"/>
      <c r="H62" s="123"/>
      <c r="I62" s="11"/>
      <c r="J62" s="5"/>
      <c r="K62" s="5"/>
      <c r="L62" s="5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6.5" customHeight="1">
      <c r="A63" s="120"/>
      <c r="B63" s="120"/>
      <c r="C63" s="121"/>
      <c r="D63" s="11"/>
      <c r="E63" s="122"/>
      <c r="F63" s="122"/>
      <c r="G63" s="123"/>
      <c r="H63" s="123"/>
      <c r="I63" s="11"/>
      <c r="J63" s="5"/>
      <c r="K63" s="5"/>
      <c r="L63" s="5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6.5" customHeight="1">
      <c r="A64" s="120"/>
      <c r="B64" s="120"/>
      <c r="C64" s="121"/>
      <c r="D64" s="11"/>
      <c r="E64" s="122"/>
      <c r="F64" s="122"/>
      <c r="G64" s="123"/>
      <c r="H64" s="123"/>
      <c r="I64" s="11"/>
      <c r="J64" s="5"/>
      <c r="K64" s="5"/>
      <c r="L64" s="5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6.5" customHeight="1">
      <c r="A65" s="120"/>
      <c r="B65" s="120"/>
      <c r="C65" s="121"/>
      <c r="D65" s="11"/>
      <c r="E65" s="122"/>
      <c r="F65" s="122"/>
      <c r="G65" s="123"/>
      <c r="H65" s="123"/>
      <c r="I65" s="11"/>
      <c r="J65" s="5"/>
      <c r="K65" s="5"/>
      <c r="L65" s="5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6.5" customHeight="1">
      <c r="A66" s="120"/>
      <c r="B66" s="120"/>
      <c r="C66" s="121"/>
      <c r="D66" s="11"/>
      <c r="E66" s="122"/>
      <c r="F66" s="122"/>
      <c r="G66" s="123"/>
      <c r="H66" s="123"/>
      <c r="I66" s="11"/>
      <c r="J66" s="5"/>
      <c r="K66" s="5"/>
      <c r="L66" s="5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6.5" customHeight="1">
      <c r="A67" s="7"/>
      <c r="B67" s="7"/>
      <c r="C67" s="5"/>
      <c r="D67" s="8"/>
      <c r="E67" s="9"/>
      <c r="F67" s="9"/>
      <c r="G67" s="10"/>
      <c r="H67" s="10"/>
      <c r="I67" s="11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7"/>
      <c r="B68" s="7"/>
      <c r="C68" s="5"/>
      <c r="D68" s="8"/>
      <c r="E68" s="9"/>
      <c r="F68" s="9"/>
      <c r="G68" s="10"/>
      <c r="H68" s="10"/>
      <c r="I68" s="11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7"/>
      <c r="B69" s="7"/>
      <c r="C69" s="5"/>
      <c r="D69" s="8"/>
      <c r="E69" s="9"/>
      <c r="F69" s="9"/>
      <c r="G69" s="10"/>
      <c r="H69" s="10"/>
      <c r="I69" s="11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7"/>
      <c r="B70" s="7"/>
      <c r="C70" s="5"/>
      <c r="D70" s="8"/>
      <c r="E70" s="9"/>
      <c r="F70" s="9"/>
      <c r="G70" s="10"/>
      <c r="H70" s="10"/>
      <c r="I70" s="11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7"/>
      <c r="B71" s="7"/>
      <c r="C71" s="5"/>
      <c r="D71" s="8"/>
      <c r="E71" s="9"/>
      <c r="F71" s="9"/>
      <c r="G71" s="10"/>
      <c r="H71" s="10"/>
      <c r="I71" s="11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7"/>
      <c r="B72" s="7"/>
      <c r="C72" s="5"/>
      <c r="D72" s="8"/>
      <c r="E72" s="9"/>
      <c r="F72" s="9"/>
      <c r="G72" s="10"/>
      <c r="H72" s="10"/>
      <c r="I72" s="11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7"/>
      <c r="B73" s="7"/>
      <c r="C73" s="5"/>
      <c r="D73" s="8"/>
      <c r="E73" s="9"/>
      <c r="F73" s="9"/>
      <c r="G73" s="10"/>
      <c r="H73" s="10"/>
      <c r="I73" s="11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7"/>
      <c r="B74" s="7"/>
      <c r="C74" s="5"/>
      <c r="D74" s="8"/>
      <c r="E74" s="9"/>
      <c r="F74" s="9"/>
      <c r="G74" s="10"/>
      <c r="H74" s="10"/>
      <c r="I74" s="11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7"/>
      <c r="B75" s="7"/>
      <c r="C75" s="5"/>
      <c r="D75" s="8"/>
      <c r="E75" s="9"/>
      <c r="F75" s="9"/>
      <c r="G75" s="10"/>
      <c r="H75" s="10"/>
      <c r="I75" s="11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7"/>
      <c r="B76" s="7"/>
      <c r="C76" s="5"/>
      <c r="D76" s="8"/>
      <c r="E76" s="9"/>
      <c r="F76" s="9"/>
      <c r="G76" s="10"/>
      <c r="H76" s="10"/>
      <c r="I76" s="11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7"/>
      <c r="B77" s="7"/>
      <c r="C77" s="5"/>
      <c r="D77" s="8"/>
      <c r="E77" s="9"/>
      <c r="F77" s="9"/>
      <c r="G77" s="10"/>
      <c r="H77" s="10"/>
      <c r="I77" s="11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7"/>
      <c r="B78" s="7"/>
      <c r="C78" s="5"/>
      <c r="D78" s="8"/>
      <c r="E78" s="9"/>
      <c r="F78" s="9"/>
      <c r="G78" s="10"/>
      <c r="H78" s="10"/>
      <c r="I78" s="11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7"/>
      <c r="B79" s="7"/>
      <c r="C79" s="5"/>
      <c r="D79" s="8"/>
      <c r="E79" s="9"/>
      <c r="F79" s="9"/>
      <c r="G79" s="10"/>
      <c r="H79" s="10"/>
      <c r="I79" s="11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7"/>
      <c r="B80" s="7"/>
      <c r="C80" s="5"/>
      <c r="D80" s="8"/>
      <c r="E80" s="9"/>
      <c r="F80" s="9"/>
      <c r="G80" s="10"/>
      <c r="H80" s="10"/>
      <c r="I80" s="11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7"/>
      <c r="B81" s="7"/>
      <c r="C81" s="5"/>
      <c r="D81" s="8"/>
      <c r="E81" s="9"/>
      <c r="F81" s="9"/>
      <c r="G81" s="10"/>
      <c r="H81" s="10"/>
      <c r="I81" s="11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7"/>
      <c r="B82" s="7"/>
      <c r="C82" s="5"/>
      <c r="D82" s="8"/>
      <c r="E82" s="9"/>
      <c r="F82" s="9"/>
      <c r="G82" s="10"/>
      <c r="H82" s="10"/>
      <c r="I82" s="11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7"/>
      <c r="B83" s="7"/>
      <c r="C83" s="5"/>
      <c r="D83" s="8"/>
      <c r="E83" s="9"/>
      <c r="F83" s="9"/>
      <c r="G83" s="10"/>
      <c r="H83" s="10"/>
      <c r="I83" s="11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7"/>
      <c r="B84" s="7"/>
      <c r="C84" s="5"/>
      <c r="D84" s="8"/>
      <c r="E84" s="9"/>
      <c r="F84" s="9"/>
      <c r="G84" s="10"/>
      <c r="H84" s="10"/>
      <c r="I84" s="11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7"/>
      <c r="B85" s="7"/>
      <c r="C85" s="5"/>
      <c r="D85" s="8"/>
      <c r="E85" s="9"/>
      <c r="F85" s="9"/>
      <c r="G85" s="10"/>
      <c r="H85" s="10"/>
      <c r="I85" s="11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7"/>
      <c r="B86" s="7"/>
      <c r="C86" s="5"/>
      <c r="D86" s="8"/>
      <c r="E86" s="9"/>
      <c r="F86" s="9"/>
      <c r="G86" s="10"/>
      <c r="H86" s="10"/>
      <c r="I86" s="11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7"/>
      <c r="B87" s="7"/>
      <c r="C87" s="5"/>
      <c r="D87" s="8"/>
      <c r="E87" s="9"/>
      <c r="F87" s="9"/>
      <c r="G87" s="10"/>
      <c r="H87" s="10"/>
      <c r="I87" s="11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7"/>
      <c r="B88" s="7"/>
      <c r="C88" s="5"/>
      <c r="D88" s="8"/>
      <c r="E88" s="9"/>
      <c r="F88" s="9"/>
      <c r="G88" s="10"/>
      <c r="H88" s="10"/>
      <c r="I88" s="11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7"/>
      <c r="B89" s="7"/>
      <c r="C89" s="5"/>
      <c r="D89" s="8"/>
      <c r="E89" s="9"/>
      <c r="F89" s="9"/>
      <c r="G89" s="10"/>
      <c r="H89" s="10"/>
      <c r="I89" s="11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7"/>
      <c r="B90" s="7"/>
      <c r="C90" s="5"/>
      <c r="D90" s="8"/>
      <c r="E90" s="9"/>
      <c r="F90" s="9"/>
      <c r="G90" s="10"/>
      <c r="H90" s="10"/>
      <c r="I90" s="11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7"/>
      <c r="B91" s="7"/>
      <c r="C91" s="5"/>
      <c r="D91" s="8"/>
      <c r="E91" s="9"/>
      <c r="F91" s="9"/>
      <c r="G91" s="10"/>
      <c r="H91" s="10"/>
      <c r="I91" s="11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7"/>
      <c r="B92" s="7"/>
      <c r="C92" s="5"/>
      <c r="D92" s="8"/>
      <c r="E92" s="9"/>
      <c r="F92" s="9"/>
      <c r="G92" s="10"/>
      <c r="H92" s="10"/>
      <c r="I92" s="11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7"/>
      <c r="B93" s="7"/>
      <c r="C93" s="5"/>
      <c r="D93" s="8"/>
      <c r="E93" s="9"/>
      <c r="F93" s="9"/>
      <c r="G93" s="10"/>
      <c r="H93" s="10"/>
      <c r="I93" s="11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7"/>
      <c r="B94" s="7"/>
      <c r="C94" s="5"/>
      <c r="D94" s="8"/>
      <c r="E94" s="9"/>
      <c r="F94" s="9"/>
      <c r="G94" s="10"/>
      <c r="H94" s="10"/>
      <c r="I94" s="11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7"/>
      <c r="B95" s="7"/>
      <c r="C95" s="5"/>
      <c r="D95" s="8"/>
      <c r="E95" s="9"/>
      <c r="F95" s="9"/>
      <c r="G95" s="10"/>
      <c r="H95" s="10"/>
      <c r="I95" s="11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7"/>
      <c r="B96" s="7"/>
      <c r="C96" s="5"/>
      <c r="D96" s="8"/>
      <c r="E96" s="9"/>
      <c r="F96" s="9"/>
      <c r="G96" s="10"/>
      <c r="H96" s="10"/>
      <c r="I96" s="11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7"/>
      <c r="B97" s="7"/>
      <c r="C97" s="5"/>
      <c r="D97" s="8"/>
      <c r="E97" s="9"/>
      <c r="F97" s="9"/>
      <c r="G97" s="10"/>
      <c r="H97" s="10"/>
      <c r="I97" s="11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7"/>
      <c r="B98" s="7"/>
      <c r="C98" s="5"/>
      <c r="D98" s="8"/>
      <c r="E98" s="9"/>
      <c r="F98" s="9"/>
      <c r="G98" s="10"/>
      <c r="H98" s="10"/>
      <c r="I98" s="11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7"/>
      <c r="B99" s="7"/>
      <c r="C99" s="5"/>
      <c r="D99" s="8"/>
      <c r="E99" s="9"/>
      <c r="F99" s="9"/>
      <c r="G99" s="10"/>
      <c r="H99" s="10"/>
      <c r="I99" s="11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7"/>
      <c r="B100" s="7"/>
      <c r="C100" s="5"/>
      <c r="D100" s="8"/>
      <c r="E100" s="9"/>
      <c r="F100" s="9"/>
      <c r="G100" s="10"/>
      <c r="H100" s="10"/>
      <c r="I100" s="11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7"/>
      <c r="B101" s="7"/>
      <c r="C101" s="5"/>
      <c r="D101" s="8"/>
      <c r="E101" s="9"/>
      <c r="F101" s="9"/>
      <c r="G101" s="10"/>
      <c r="H101" s="10"/>
      <c r="I101" s="11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7"/>
      <c r="B102" s="7"/>
      <c r="C102" s="5"/>
      <c r="D102" s="8"/>
      <c r="E102" s="9"/>
      <c r="F102" s="9"/>
      <c r="G102" s="10"/>
      <c r="H102" s="10"/>
      <c r="I102" s="11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7"/>
      <c r="B103" s="7"/>
      <c r="C103" s="5"/>
      <c r="D103" s="8"/>
      <c r="E103" s="9"/>
      <c r="F103" s="9"/>
      <c r="G103" s="10"/>
      <c r="H103" s="10"/>
      <c r="I103" s="11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7"/>
      <c r="B104" s="7"/>
      <c r="C104" s="5"/>
      <c r="D104" s="8"/>
      <c r="E104" s="9"/>
      <c r="F104" s="9"/>
      <c r="G104" s="10"/>
      <c r="H104" s="10"/>
      <c r="I104" s="11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7"/>
      <c r="B105" s="7"/>
      <c r="C105" s="5"/>
      <c r="D105" s="8"/>
      <c r="E105" s="9"/>
      <c r="F105" s="9"/>
      <c r="G105" s="10"/>
      <c r="H105" s="10"/>
      <c r="I105" s="11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7"/>
      <c r="B106" s="7"/>
      <c r="C106" s="5"/>
      <c r="D106" s="8"/>
      <c r="E106" s="9"/>
      <c r="F106" s="9"/>
      <c r="G106" s="10"/>
      <c r="H106" s="10"/>
      <c r="I106" s="11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7"/>
      <c r="B107" s="7"/>
      <c r="C107" s="5"/>
      <c r="D107" s="8"/>
      <c r="E107" s="9"/>
      <c r="F107" s="9"/>
      <c r="G107" s="10"/>
      <c r="H107" s="10"/>
      <c r="I107" s="11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7"/>
      <c r="B108" s="7"/>
      <c r="C108" s="5"/>
      <c r="D108" s="8"/>
      <c r="E108" s="9"/>
      <c r="F108" s="9"/>
      <c r="G108" s="10"/>
      <c r="H108" s="10"/>
      <c r="I108" s="11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7"/>
      <c r="B109" s="7"/>
      <c r="C109" s="5"/>
      <c r="D109" s="8"/>
      <c r="E109" s="9"/>
      <c r="F109" s="9"/>
      <c r="G109" s="10"/>
      <c r="H109" s="10"/>
      <c r="I109" s="11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7"/>
      <c r="B110" s="7"/>
      <c r="C110" s="5"/>
      <c r="D110" s="8"/>
      <c r="E110" s="9"/>
      <c r="F110" s="9"/>
      <c r="G110" s="10"/>
      <c r="H110" s="10"/>
      <c r="I110" s="11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7"/>
      <c r="B111" s="7"/>
      <c r="C111" s="5"/>
      <c r="D111" s="8"/>
      <c r="E111" s="9"/>
      <c r="F111" s="9"/>
      <c r="G111" s="10"/>
      <c r="H111" s="10"/>
      <c r="I111" s="11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7"/>
      <c r="B112" s="7"/>
      <c r="C112" s="5"/>
      <c r="D112" s="8"/>
      <c r="E112" s="9"/>
      <c r="F112" s="9"/>
      <c r="G112" s="10"/>
      <c r="H112" s="10"/>
      <c r="I112" s="11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7"/>
      <c r="B113" s="7"/>
      <c r="C113" s="5"/>
      <c r="D113" s="8"/>
      <c r="E113" s="9"/>
      <c r="F113" s="9"/>
      <c r="G113" s="10"/>
      <c r="H113" s="10"/>
      <c r="I113" s="11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7"/>
      <c r="B114" s="7"/>
      <c r="C114" s="5"/>
      <c r="D114" s="8"/>
      <c r="E114" s="9"/>
      <c r="F114" s="9"/>
      <c r="G114" s="10"/>
      <c r="H114" s="10"/>
      <c r="I114" s="11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7"/>
      <c r="B115" s="7"/>
      <c r="C115" s="5"/>
      <c r="D115" s="8"/>
      <c r="E115" s="9"/>
      <c r="F115" s="9"/>
      <c r="G115" s="10"/>
      <c r="H115" s="10"/>
      <c r="I115" s="11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7"/>
      <c r="B116" s="7"/>
      <c r="C116" s="5"/>
      <c r="D116" s="8"/>
      <c r="E116" s="9"/>
      <c r="F116" s="9"/>
      <c r="G116" s="10"/>
      <c r="H116" s="10"/>
      <c r="I116" s="11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7"/>
      <c r="B117" s="7"/>
      <c r="C117" s="5"/>
      <c r="D117" s="8"/>
      <c r="E117" s="9"/>
      <c r="F117" s="9"/>
      <c r="G117" s="10"/>
      <c r="H117" s="10"/>
      <c r="I117" s="11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7"/>
      <c r="B118" s="7"/>
      <c r="C118" s="5"/>
      <c r="D118" s="8"/>
      <c r="E118" s="9"/>
      <c r="F118" s="9"/>
      <c r="G118" s="10"/>
      <c r="H118" s="10"/>
      <c r="I118" s="11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7"/>
      <c r="B119" s="7"/>
      <c r="C119" s="5"/>
      <c r="D119" s="8"/>
      <c r="E119" s="9"/>
      <c r="F119" s="9"/>
      <c r="G119" s="10"/>
      <c r="H119" s="10"/>
      <c r="I119" s="11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7"/>
      <c r="B120" s="7"/>
      <c r="C120" s="5"/>
      <c r="D120" s="8"/>
      <c r="E120" s="9"/>
      <c r="F120" s="9"/>
      <c r="G120" s="10"/>
      <c r="H120" s="10"/>
      <c r="I120" s="11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7"/>
      <c r="B121" s="7"/>
      <c r="C121" s="5"/>
      <c r="D121" s="8"/>
      <c r="E121" s="9"/>
      <c r="F121" s="9"/>
      <c r="G121" s="10"/>
      <c r="H121" s="10"/>
      <c r="I121" s="11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7"/>
      <c r="B122" s="7"/>
      <c r="C122" s="5"/>
      <c r="D122" s="8"/>
      <c r="E122" s="9"/>
      <c r="F122" s="9"/>
      <c r="G122" s="10"/>
      <c r="H122" s="10"/>
      <c r="I122" s="11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7"/>
      <c r="B123" s="7"/>
      <c r="C123" s="5"/>
      <c r="D123" s="8"/>
      <c r="E123" s="9"/>
      <c r="F123" s="9"/>
      <c r="G123" s="10"/>
      <c r="H123" s="10"/>
      <c r="I123" s="11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7"/>
      <c r="B124" s="7"/>
      <c r="C124" s="5"/>
      <c r="D124" s="8"/>
      <c r="E124" s="9"/>
      <c r="F124" s="9"/>
      <c r="G124" s="10"/>
      <c r="H124" s="10"/>
      <c r="I124" s="11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7"/>
      <c r="B125" s="7"/>
      <c r="C125" s="5"/>
      <c r="D125" s="8"/>
      <c r="E125" s="9"/>
      <c r="F125" s="9"/>
      <c r="G125" s="10"/>
      <c r="H125" s="10"/>
      <c r="I125" s="11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7"/>
      <c r="B126" s="7"/>
      <c r="C126" s="5"/>
      <c r="D126" s="8"/>
      <c r="E126" s="9"/>
      <c r="F126" s="9"/>
      <c r="G126" s="10"/>
      <c r="H126" s="10"/>
      <c r="I126" s="11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7"/>
      <c r="B127" s="7"/>
      <c r="C127" s="5"/>
      <c r="D127" s="8"/>
      <c r="E127" s="9"/>
      <c r="F127" s="9"/>
      <c r="G127" s="10"/>
      <c r="H127" s="10"/>
      <c r="I127" s="11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7"/>
      <c r="B128" s="7"/>
      <c r="C128" s="5"/>
      <c r="D128" s="8"/>
      <c r="E128" s="9"/>
      <c r="F128" s="9"/>
      <c r="G128" s="10"/>
      <c r="H128" s="10"/>
      <c r="I128" s="11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7"/>
      <c r="B129" s="7"/>
      <c r="C129" s="5"/>
      <c r="D129" s="8"/>
      <c r="E129" s="9"/>
      <c r="F129" s="9"/>
      <c r="G129" s="10"/>
      <c r="H129" s="10"/>
      <c r="I129" s="11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7"/>
      <c r="B130" s="7"/>
      <c r="C130" s="5"/>
      <c r="D130" s="8"/>
      <c r="E130" s="9"/>
      <c r="F130" s="9"/>
      <c r="G130" s="10"/>
      <c r="H130" s="10"/>
      <c r="I130" s="11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7"/>
      <c r="B131" s="7"/>
      <c r="C131" s="5"/>
      <c r="D131" s="8"/>
      <c r="E131" s="9"/>
      <c r="F131" s="9"/>
      <c r="G131" s="10"/>
      <c r="H131" s="10"/>
      <c r="I131" s="11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7"/>
      <c r="B132" s="7"/>
      <c r="C132" s="5"/>
      <c r="D132" s="8"/>
      <c r="E132" s="9"/>
      <c r="F132" s="9"/>
      <c r="G132" s="10"/>
      <c r="H132" s="10"/>
      <c r="I132" s="11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7"/>
      <c r="B133" s="7"/>
      <c r="C133" s="5"/>
      <c r="D133" s="8"/>
      <c r="E133" s="9"/>
      <c r="F133" s="9"/>
      <c r="G133" s="10"/>
      <c r="H133" s="10"/>
      <c r="I133" s="11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7"/>
      <c r="B134" s="7"/>
      <c r="C134" s="5"/>
      <c r="D134" s="8"/>
      <c r="E134" s="9"/>
      <c r="F134" s="9"/>
      <c r="G134" s="10"/>
      <c r="H134" s="10"/>
      <c r="I134" s="11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7"/>
      <c r="B135" s="7"/>
      <c r="C135" s="5"/>
      <c r="D135" s="8"/>
      <c r="E135" s="9"/>
      <c r="F135" s="9"/>
      <c r="G135" s="10"/>
      <c r="H135" s="10"/>
      <c r="I135" s="11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7"/>
      <c r="B136" s="7"/>
      <c r="C136" s="5"/>
      <c r="D136" s="8"/>
      <c r="E136" s="9"/>
      <c r="F136" s="9"/>
      <c r="G136" s="10"/>
      <c r="H136" s="10"/>
      <c r="I136" s="11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7"/>
      <c r="B137" s="7"/>
      <c r="C137" s="5"/>
      <c r="D137" s="8"/>
      <c r="E137" s="9"/>
      <c r="F137" s="9"/>
      <c r="G137" s="10"/>
      <c r="H137" s="10"/>
      <c r="I137" s="11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7"/>
      <c r="B138" s="7"/>
      <c r="C138" s="5"/>
      <c r="D138" s="8"/>
      <c r="E138" s="9"/>
      <c r="F138" s="9"/>
      <c r="G138" s="10"/>
      <c r="H138" s="10"/>
      <c r="I138" s="11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7"/>
      <c r="B139" s="7"/>
      <c r="C139" s="5"/>
      <c r="D139" s="8"/>
      <c r="E139" s="9"/>
      <c r="F139" s="9"/>
      <c r="G139" s="10"/>
      <c r="H139" s="10"/>
      <c r="I139" s="11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7"/>
      <c r="B140" s="7"/>
      <c r="C140" s="5"/>
      <c r="D140" s="8"/>
      <c r="E140" s="9"/>
      <c r="F140" s="9"/>
      <c r="G140" s="10"/>
      <c r="H140" s="10"/>
      <c r="I140" s="11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7"/>
      <c r="B141" s="7"/>
      <c r="C141" s="5"/>
      <c r="D141" s="8"/>
      <c r="E141" s="9"/>
      <c r="F141" s="9"/>
      <c r="G141" s="10"/>
      <c r="H141" s="10"/>
      <c r="I141" s="11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7"/>
      <c r="B142" s="7"/>
      <c r="C142" s="5"/>
      <c r="D142" s="8"/>
      <c r="E142" s="9"/>
      <c r="F142" s="9"/>
      <c r="G142" s="10"/>
      <c r="H142" s="10"/>
      <c r="I142" s="11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7"/>
      <c r="B143" s="7"/>
      <c r="C143" s="5"/>
      <c r="D143" s="8"/>
      <c r="E143" s="9"/>
      <c r="F143" s="9"/>
      <c r="G143" s="10"/>
      <c r="H143" s="10"/>
      <c r="I143" s="11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7"/>
      <c r="B144" s="7"/>
      <c r="C144" s="5"/>
      <c r="D144" s="8"/>
      <c r="E144" s="9"/>
      <c r="F144" s="9"/>
      <c r="G144" s="10"/>
      <c r="H144" s="10"/>
      <c r="I144" s="11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7"/>
      <c r="B145" s="7"/>
      <c r="C145" s="5"/>
      <c r="D145" s="8"/>
      <c r="E145" s="9"/>
      <c r="F145" s="9"/>
      <c r="G145" s="10"/>
      <c r="H145" s="10"/>
      <c r="I145" s="11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7"/>
      <c r="B146" s="7"/>
      <c r="C146" s="5"/>
      <c r="D146" s="8"/>
      <c r="E146" s="9"/>
      <c r="F146" s="9"/>
      <c r="G146" s="10"/>
      <c r="H146" s="10"/>
      <c r="I146" s="11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7"/>
      <c r="B147" s="7"/>
      <c r="C147" s="5"/>
      <c r="D147" s="8"/>
      <c r="E147" s="9"/>
      <c r="F147" s="9"/>
      <c r="G147" s="10"/>
      <c r="H147" s="10"/>
      <c r="I147" s="11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7"/>
      <c r="B148" s="7"/>
      <c r="C148" s="5"/>
      <c r="D148" s="8"/>
      <c r="E148" s="9"/>
      <c r="F148" s="9"/>
      <c r="G148" s="10"/>
      <c r="H148" s="10"/>
      <c r="I148" s="11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7"/>
      <c r="B149" s="7"/>
      <c r="C149" s="5"/>
      <c r="D149" s="8"/>
      <c r="E149" s="9"/>
      <c r="F149" s="9"/>
      <c r="G149" s="10"/>
      <c r="H149" s="10"/>
      <c r="I149" s="11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7"/>
      <c r="B150" s="7"/>
      <c r="C150" s="5"/>
      <c r="D150" s="8"/>
      <c r="E150" s="9"/>
      <c r="F150" s="9"/>
      <c r="G150" s="10"/>
      <c r="H150" s="10"/>
      <c r="I150" s="11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7"/>
      <c r="B151" s="7"/>
      <c r="C151" s="5"/>
      <c r="D151" s="8"/>
      <c r="E151" s="9"/>
      <c r="F151" s="9"/>
      <c r="G151" s="10"/>
      <c r="H151" s="10"/>
      <c r="I151" s="11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7"/>
      <c r="B152" s="7"/>
      <c r="C152" s="5"/>
      <c r="D152" s="8"/>
      <c r="E152" s="9"/>
      <c r="F152" s="9"/>
      <c r="G152" s="10"/>
      <c r="H152" s="10"/>
      <c r="I152" s="11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7"/>
      <c r="B153" s="7"/>
      <c r="C153" s="5"/>
      <c r="D153" s="8"/>
      <c r="E153" s="9"/>
      <c r="F153" s="9"/>
      <c r="G153" s="10"/>
      <c r="H153" s="10"/>
      <c r="I153" s="11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7"/>
      <c r="B154" s="7"/>
      <c r="C154" s="5"/>
      <c r="D154" s="8"/>
      <c r="E154" s="9"/>
      <c r="F154" s="9"/>
      <c r="G154" s="10"/>
      <c r="H154" s="10"/>
      <c r="I154" s="11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7"/>
      <c r="B155" s="7"/>
      <c r="C155" s="5"/>
      <c r="D155" s="8"/>
      <c r="E155" s="9"/>
      <c r="F155" s="9"/>
      <c r="G155" s="10"/>
      <c r="H155" s="10"/>
      <c r="I155" s="11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7"/>
      <c r="B156" s="7"/>
      <c r="C156" s="5"/>
      <c r="D156" s="8"/>
      <c r="E156" s="9"/>
      <c r="F156" s="9"/>
      <c r="G156" s="10"/>
      <c r="H156" s="10"/>
      <c r="I156" s="11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7"/>
      <c r="B157" s="7"/>
      <c r="C157" s="5"/>
      <c r="D157" s="8"/>
      <c r="E157" s="9"/>
      <c r="F157" s="9"/>
      <c r="G157" s="10"/>
      <c r="H157" s="10"/>
      <c r="I157" s="11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7"/>
      <c r="B158" s="7"/>
      <c r="C158" s="5"/>
      <c r="D158" s="8"/>
      <c r="E158" s="9"/>
      <c r="F158" s="9"/>
      <c r="G158" s="10"/>
      <c r="H158" s="10"/>
      <c r="I158" s="11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7"/>
      <c r="B159" s="7"/>
      <c r="C159" s="5"/>
      <c r="D159" s="8"/>
      <c r="E159" s="9"/>
      <c r="F159" s="9"/>
      <c r="G159" s="10"/>
      <c r="H159" s="10"/>
      <c r="I159" s="11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7"/>
      <c r="B160" s="7"/>
      <c r="C160" s="5"/>
      <c r="D160" s="8"/>
      <c r="E160" s="9"/>
      <c r="F160" s="9"/>
      <c r="G160" s="10"/>
      <c r="H160" s="10"/>
      <c r="I160" s="11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7"/>
      <c r="B161" s="7"/>
      <c r="C161" s="5"/>
      <c r="D161" s="8"/>
      <c r="E161" s="9"/>
      <c r="F161" s="9"/>
      <c r="G161" s="10"/>
      <c r="H161" s="10"/>
      <c r="I161" s="11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7"/>
      <c r="B162" s="7"/>
      <c r="C162" s="5"/>
      <c r="D162" s="8"/>
      <c r="E162" s="9"/>
      <c r="F162" s="9"/>
      <c r="G162" s="10"/>
      <c r="H162" s="10"/>
      <c r="I162" s="11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7"/>
      <c r="B163" s="7"/>
      <c r="C163" s="5"/>
      <c r="D163" s="8"/>
      <c r="E163" s="9"/>
      <c r="F163" s="9"/>
      <c r="G163" s="10"/>
      <c r="H163" s="10"/>
      <c r="I163" s="11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7"/>
      <c r="B164" s="7"/>
      <c r="C164" s="5"/>
      <c r="D164" s="8"/>
      <c r="E164" s="9"/>
      <c r="F164" s="9"/>
      <c r="G164" s="10"/>
      <c r="H164" s="10"/>
      <c r="I164" s="11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7"/>
      <c r="B165" s="7"/>
      <c r="C165" s="5"/>
      <c r="D165" s="8"/>
      <c r="E165" s="9"/>
      <c r="F165" s="9"/>
      <c r="G165" s="10"/>
      <c r="H165" s="10"/>
      <c r="I165" s="11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7"/>
      <c r="B166" s="7"/>
      <c r="C166" s="5"/>
      <c r="D166" s="8"/>
      <c r="E166" s="9"/>
      <c r="F166" s="9"/>
      <c r="G166" s="10"/>
      <c r="H166" s="10"/>
      <c r="I166" s="11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7"/>
      <c r="B167" s="7"/>
      <c r="C167" s="5"/>
      <c r="D167" s="8"/>
      <c r="E167" s="9"/>
      <c r="F167" s="9"/>
      <c r="G167" s="10"/>
      <c r="H167" s="10"/>
      <c r="I167" s="11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7"/>
      <c r="B168" s="7"/>
      <c r="C168" s="5"/>
      <c r="D168" s="8"/>
      <c r="E168" s="9"/>
      <c r="F168" s="9"/>
      <c r="G168" s="10"/>
      <c r="H168" s="10"/>
      <c r="I168" s="11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7"/>
      <c r="B169" s="7"/>
      <c r="C169" s="5"/>
      <c r="D169" s="8"/>
      <c r="E169" s="9"/>
      <c r="F169" s="9"/>
      <c r="G169" s="10"/>
      <c r="H169" s="10"/>
      <c r="I169" s="11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7"/>
      <c r="B170" s="7"/>
      <c r="C170" s="5"/>
      <c r="D170" s="8"/>
      <c r="E170" s="9"/>
      <c r="F170" s="9"/>
      <c r="G170" s="10"/>
      <c r="H170" s="10"/>
      <c r="I170" s="11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7"/>
      <c r="B171" s="7"/>
      <c r="C171" s="5"/>
      <c r="D171" s="8"/>
      <c r="E171" s="9"/>
      <c r="F171" s="9"/>
      <c r="G171" s="10"/>
      <c r="H171" s="10"/>
      <c r="I171" s="11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7"/>
      <c r="B172" s="7"/>
      <c r="C172" s="5"/>
      <c r="D172" s="8"/>
      <c r="E172" s="9"/>
      <c r="F172" s="9"/>
      <c r="G172" s="10"/>
      <c r="H172" s="10"/>
      <c r="I172" s="11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7"/>
      <c r="B173" s="7"/>
      <c r="C173" s="5"/>
      <c r="D173" s="8"/>
      <c r="E173" s="9"/>
      <c r="F173" s="9"/>
      <c r="G173" s="10"/>
      <c r="H173" s="10"/>
      <c r="I173" s="11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7"/>
      <c r="B174" s="7"/>
      <c r="C174" s="5"/>
      <c r="D174" s="8"/>
      <c r="E174" s="9"/>
      <c r="F174" s="9"/>
      <c r="G174" s="10"/>
      <c r="H174" s="10"/>
      <c r="I174" s="11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7"/>
      <c r="B175" s="7"/>
      <c r="C175" s="5"/>
      <c r="D175" s="8"/>
      <c r="E175" s="9"/>
      <c r="F175" s="9"/>
      <c r="G175" s="10"/>
      <c r="H175" s="10"/>
      <c r="I175" s="11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7"/>
      <c r="B176" s="7"/>
      <c r="C176" s="5"/>
      <c r="D176" s="8"/>
      <c r="E176" s="9"/>
      <c r="F176" s="9"/>
      <c r="G176" s="10"/>
      <c r="H176" s="10"/>
      <c r="I176" s="11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7"/>
      <c r="B177" s="7"/>
      <c r="C177" s="5"/>
      <c r="D177" s="8"/>
      <c r="E177" s="9"/>
      <c r="F177" s="9"/>
      <c r="G177" s="10"/>
      <c r="H177" s="10"/>
      <c r="I177" s="11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7"/>
      <c r="B178" s="7"/>
      <c r="C178" s="5"/>
      <c r="D178" s="8"/>
      <c r="E178" s="9"/>
      <c r="F178" s="9"/>
      <c r="G178" s="10"/>
      <c r="H178" s="10"/>
      <c r="I178" s="11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7"/>
      <c r="B179" s="7"/>
      <c r="C179" s="5"/>
      <c r="D179" s="8"/>
      <c r="E179" s="9"/>
      <c r="F179" s="9"/>
      <c r="G179" s="10"/>
      <c r="H179" s="10"/>
      <c r="I179" s="11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7"/>
      <c r="B180" s="7"/>
      <c r="C180" s="5"/>
      <c r="D180" s="8"/>
      <c r="E180" s="9"/>
      <c r="F180" s="9"/>
      <c r="G180" s="10"/>
      <c r="H180" s="10"/>
      <c r="I180" s="11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7"/>
      <c r="B181" s="7"/>
      <c r="C181" s="5"/>
      <c r="D181" s="8"/>
      <c r="E181" s="9"/>
      <c r="F181" s="9"/>
      <c r="G181" s="10"/>
      <c r="H181" s="10"/>
      <c r="I181" s="11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7"/>
      <c r="B182" s="7"/>
      <c r="C182" s="5"/>
      <c r="D182" s="8"/>
      <c r="E182" s="9"/>
      <c r="F182" s="9"/>
      <c r="G182" s="10"/>
      <c r="H182" s="10"/>
      <c r="I182" s="11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7"/>
      <c r="B183" s="7"/>
      <c r="C183" s="5"/>
      <c r="D183" s="8"/>
      <c r="E183" s="9"/>
      <c r="F183" s="9"/>
      <c r="G183" s="10"/>
      <c r="H183" s="10"/>
      <c r="I183" s="11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7"/>
      <c r="B184" s="7"/>
      <c r="C184" s="5"/>
      <c r="D184" s="8"/>
      <c r="E184" s="9"/>
      <c r="F184" s="9"/>
      <c r="G184" s="10"/>
      <c r="H184" s="10"/>
      <c r="I184" s="11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7"/>
      <c r="B185" s="7"/>
      <c r="C185" s="5"/>
      <c r="D185" s="8"/>
      <c r="E185" s="9"/>
      <c r="F185" s="9"/>
      <c r="G185" s="10"/>
      <c r="H185" s="10"/>
      <c r="I185" s="11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7"/>
      <c r="B186" s="7"/>
      <c r="C186" s="5"/>
      <c r="D186" s="8"/>
      <c r="E186" s="9"/>
      <c r="F186" s="9"/>
      <c r="G186" s="10"/>
      <c r="H186" s="10"/>
      <c r="I186" s="11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7"/>
      <c r="B187" s="7"/>
      <c r="C187" s="5"/>
      <c r="D187" s="8"/>
      <c r="E187" s="9"/>
      <c r="F187" s="9"/>
      <c r="G187" s="10"/>
      <c r="H187" s="10"/>
      <c r="I187" s="11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7"/>
      <c r="B188" s="7"/>
      <c r="C188" s="5"/>
      <c r="D188" s="8"/>
      <c r="E188" s="9"/>
      <c r="F188" s="9"/>
      <c r="G188" s="10"/>
      <c r="H188" s="10"/>
      <c r="I188" s="11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7"/>
      <c r="B189" s="7"/>
      <c r="C189" s="5"/>
      <c r="D189" s="8"/>
      <c r="E189" s="9"/>
      <c r="F189" s="9"/>
      <c r="G189" s="10"/>
      <c r="H189" s="10"/>
      <c r="I189" s="11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7"/>
      <c r="B190" s="7"/>
      <c r="C190" s="5"/>
      <c r="D190" s="8"/>
      <c r="E190" s="9"/>
      <c r="F190" s="9"/>
      <c r="G190" s="10"/>
      <c r="H190" s="10"/>
      <c r="I190" s="11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7"/>
      <c r="B191" s="7"/>
      <c r="C191" s="5"/>
      <c r="D191" s="8"/>
      <c r="E191" s="9"/>
      <c r="F191" s="9"/>
      <c r="G191" s="10"/>
      <c r="H191" s="10"/>
      <c r="I191" s="11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7"/>
      <c r="B192" s="7"/>
      <c r="C192" s="5"/>
      <c r="D192" s="8"/>
      <c r="E192" s="9"/>
      <c r="F192" s="9"/>
      <c r="G192" s="10"/>
      <c r="H192" s="10"/>
      <c r="I192" s="11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7"/>
      <c r="B193" s="7"/>
      <c r="C193" s="5"/>
      <c r="D193" s="8"/>
      <c r="E193" s="9"/>
      <c r="F193" s="9"/>
      <c r="G193" s="10"/>
      <c r="H193" s="10"/>
      <c r="I193" s="11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7"/>
      <c r="B194" s="7"/>
      <c r="C194" s="5"/>
      <c r="D194" s="8"/>
      <c r="E194" s="9"/>
      <c r="F194" s="9"/>
      <c r="G194" s="10"/>
      <c r="H194" s="10"/>
      <c r="I194" s="11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7"/>
      <c r="B195" s="7"/>
      <c r="C195" s="5"/>
      <c r="D195" s="8"/>
      <c r="E195" s="9"/>
      <c r="F195" s="9"/>
      <c r="G195" s="10"/>
      <c r="H195" s="10"/>
      <c r="I195" s="11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7"/>
      <c r="B196" s="7"/>
      <c r="C196" s="5"/>
      <c r="D196" s="8"/>
      <c r="E196" s="9"/>
      <c r="F196" s="9"/>
      <c r="G196" s="10"/>
      <c r="H196" s="10"/>
      <c r="I196" s="11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7"/>
      <c r="B197" s="7"/>
      <c r="C197" s="5"/>
      <c r="D197" s="8"/>
      <c r="E197" s="9"/>
      <c r="F197" s="9"/>
      <c r="G197" s="10"/>
      <c r="H197" s="10"/>
      <c r="I197" s="11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7"/>
      <c r="B198" s="7"/>
      <c r="C198" s="5"/>
      <c r="D198" s="8"/>
      <c r="E198" s="9"/>
      <c r="F198" s="9"/>
      <c r="G198" s="10"/>
      <c r="H198" s="10"/>
      <c r="I198" s="11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7"/>
      <c r="B199" s="7"/>
      <c r="C199" s="5"/>
      <c r="D199" s="8"/>
      <c r="E199" s="9"/>
      <c r="F199" s="9"/>
      <c r="G199" s="10"/>
      <c r="H199" s="10"/>
      <c r="I199" s="11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7"/>
      <c r="B200" s="7"/>
      <c r="C200" s="5"/>
      <c r="D200" s="8"/>
      <c r="E200" s="9"/>
      <c r="F200" s="9"/>
      <c r="G200" s="10"/>
      <c r="H200" s="10"/>
      <c r="I200" s="11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7"/>
      <c r="B201" s="7"/>
      <c r="C201" s="5"/>
      <c r="D201" s="8"/>
      <c r="E201" s="9"/>
      <c r="F201" s="9"/>
      <c r="G201" s="10"/>
      <c r="H201" s="10"/>
      <c r="I201" s="11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7"/>
      <c r="B202" s="7"/>
      <c r="C202" s="5"/>
      <c r="D202" s="8"/>
      <c r="E202" s="9"/>
      <c r="F202" s="9"/>
      <c r="G202" s="10"/>
      <c r="H202" s="10"/>
      <c r="I202" s="11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7"/>
      <c r="B203" s="7"/>
      <c r="C203" s="5"/>
      <c r="D203" s="8"/>
      <c r="E203" s="9"/>
      <c r="F203" s="9"/>
      <c r="G203" s="10"/>
      <c r="H203" s="10"/>
      <c r="I203" s="11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7"/>
      <c r="B204" s="7"/>
      <c r="C204" s="5"/>
      <c r="D204" s="8"/>
      <c r="E204" s="9"/>
      <c r="F204" s="9"/>
      <c r="G204" s="10"/>
      <c r="H204" s="10"/>
      <c r="I204" s="11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7"/>
      <c r="B205" s="7"/>
      <c r="C205" s="5"/>
      <c r="D205" s="8"/>
      <c r="E205" s="9"/>
      <c r="F205" s="9"/>
      <c r="G205" s="10"/>
      <c r="H205" s="10"/>
      <c r="I205" s="11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7"/>
      <c r="B206" s="7"/>
      <c r="C206" s="5"/>
      <c r="D206" s="8"/>
      <c r="E206" s="9"/>
      <c r="F206" s="9"/>
      <c r="G206" s="10"/>
      <c r="H206" s="10"/>
      <c r="I206" s="11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7"/>
      <c r="B207" s="7"/>
      <c r="C207" s="5"/>
      <c r="D207" s="8"/>
      <c r="E207" s="9"/>
      <c r="F207" s="9"/>
      <c r="G207" s="10"/>
      <c r="H207" s="10"/>
      <c r="I207" s="11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7"/>
      <c r="B208" s="7"/>
      <c r="C208" s="5"/>
      <c r="D208" s="8"/>
      <c r="E208" s="9"/>
      <c r="F208" s="9"/>
      <c r="G208" s="10"/>
      <c r="H208" s="10"/>
      <c r="I208" s="11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7"/>
      <c r="B209" s="7"/>
      <c r="C209" s="5"/>
      <c r="D209" s="8"/>
      <c r="E209" s="9"/>
      <c r="F209" s="9"/>
      <c r="G209" s="10"/>
      <c r="H209" s="10"/>
      <c r="I209" s="11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7"/>
      <c r="B210" s="7"/>
      <c r="C210" s="5"/>
      <c r="D210" s="8"/>
      <c r="E210" s="9"/>
      <c r="F210" s="9"/>
      <c r="G210" s="10"/>
      <c r="H210" s="10"/>
      <c r="I210" s="11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7"/>
      <c r="B211" s="7"/>
      <c r="C211" s="5"/>
      <c r="D211" s="8"/>
      <c r="E211" s="9"/>
      <c r="F211" s="9"/>
      <c r="G211" s="10"/>
      <c r="H211" s="10"/>
      <c r="I211" s="11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7"/>
      <c r="B212" s="7"/>
      <c r="C212" s="5"/>
      <c r="D212" s="8"/>
      <c r="E212" s="9"/>
      <c r="F212" s="9"/>
      <c r="G212" s="10"/>
      <c r="H212" s="10"/>
      <c r="I212" s="11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7"/>
      <c r="B213" s="7"/>
      <c r="C213" s="5"/>
      <c r="D213" s="8"/>
      <c r="E213" s="9"/>
      <c r="F213" s="9"/>
      <c r="G213" s="10"/>
      <c r="H213" s="10"/>
      <c r="I213" s="11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7"/>
      <c r="B214" s="7"/>
      <c r="C214" s="5"/>
      <c r="D214" s="8"/>
      <c r="E214" s="9"/>
      <c r="F214" s="9"/>
      <c r="G214" s="10"/>
      <c r="H214" s="10"/>
      <c r="I214" s="11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7"/>
      <c r="B215" s="7"/>
      <c r="C215" s="5"/>
      <c r="D215" s="8"/>
      <c r="E215" s="9"/>
      <c r="F215" s="9"/>
      <c r="G215" s="10"/>
      <c r="H215" s="10"/>
      <c r="I215" s="11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7"/>
      <c r="B216" s="7"/>
      <c r="C216" s="5"/>
      <c r="D216" s="8"/>
      <c r="E216" s="9"/>
      <c r="F216" s="9"/>
      <c r="G216" s="10"/>
      <c r="H216" s="10"/>
      <c r="I216" s="11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7"/>
      <c r="B217" s="7"/>
      <c r="C217" s="5"/>
      <c r="D217" s="8"/>
      <c r="E217" s="9"/>
      <c r="F217" s="9"/>
      <c r="G217" s="10"/>
      <c r="H217" s="10"/>
      <c r="I217" s="11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7"/>
      <c r="B218" s="7"/>
      <c r="C218" s="5"/>
      <c r="D218" s="8"/>
      <c r="E218" s="9"/>
      <c r="F218" s="9"/>
      <c r="G218" s="10"/>
      <c r="H218" s="10"/>
      <c r="I218" s="11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7"/>
      <c r="B219" s="7"/>
      <c r="C219" s="5"/>
      <c r="D219" s="8"/>
      <c r="E219" s="9"/>
      <c r="F219" s="9"/>
      <c r="G219" s="10"/>
      <c r="H219" s="10"/>
      <c r="I219" s="11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7"/>
      <c r="B220" s="7"/>
      <c r="C220" s="5"/>
      <c r="D220" s="8"/>
      <c r="E220" s="9"/>
      <c r="F220" s="9"/>
      <c r="G220" s="10"/>
      <c r="H220" s="10"/>
      <c r="I220" s="11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7"/>
      <c r="B221" s="7"/>
      <c r="C221" s="5"/>
      <c r="D221" s="8"/>
      <c r="E221" s="9"/>
      <c r="F221" s="9"/>
      <c r="G221" s="10"/>
      <c r="H221" s="10"/>
      <c r="I221" s="11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7"/>
      <c r="B222" s="7"/>
      <c r="C222" s="5"/>
      <c r="D222" s="8"/>
      <c r="E222" s="9"/>
      <c r="F222" s="9"/>
      <c r="G222" s="10"/>
      <c r="H222" s="10"/>
      <c r="I222" s="11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7"/>
      <c r="B223" s="7"/>
      <c r="C223" s="5"/>
      <c r="D223" s="8"/>
      <c r="E223" s="9"/>
      <c r="F223" s="9"/>
      <c r="G223" s="10"/>
      <c r="H223" s="10"/>
      <c r="I223" s="11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7"/>
      <c r="B224" s="7"/>
      <c r="C224" s="5"/>
      <c r="D224" s="8"/>
      <c r="E224" s="9"/>
      <c r="F224" s="9"/>
      <c r="G224" s="10"/>
      <c r="H224" s="10"/>
      <c r="I224" s="11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7"/>
      <c r="B225" s="7"/>
      <c r="C225" s="5"/>
      <c r="D225" s="8"/>
      <c r="E225" s="9"/>
      <c r="F225" s="9"/>
      <c r="G225" s="10"/>
      <c r="H225" s="10"/>
      <c r="I225" s="11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7"/>
      <c r="B226" s="7"/>
      <c r="C226" s="5"/>
      <c r="D226" s="8"/>
      <c r="E226" s="9"/>
      <c r="F226" s="9"/>
      <c r="G226" s="10"/>
      <c r="H226" s="10"/>
      <c r="I226" s="11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7"/>
      <c r="B227" s="7"/>
      <c r="C227" s="5"/>
      <c r="D227" s="8"/>
      <c r="E227" s="9"/>
      <c r="F227" s="9"/>
      <c r="G227" s="10"/>
      <c r="H227" s="10"/>
      <c r="I227" s="11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7"/>
      <c r="B228" s="7"/>
      <c r="C228" s="5"/>
      <c r="D228" s="8"/>
      <c r="E228" s="9"/>
      <c r="F228" s="9"/>
      <c r="G228" s="10"/>
      <c r="H228" s="10"/>
      <c r="I228" s="11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7"/>
      <c r="B229" s="7"/>
      <c r="C229" s="5"/>
      <c r="D229" s="8"/>
      <c r="E229" s="9"/>
      <c r="F229" s="9"/>
      <c r="G229" s="10"/>
      <c r="H229" s="10"/>
      <c r="I229" s="11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7"/>
      <c r="B230" s="7"/>
      <c r="C230" s="5"/>
      <c r="D230" s="8"/>
      <c r="E230" s="9"/>
      <c r="F230" s="9"/>
      <c r="G230" s="10"/>
      <c r="H230" s="10"/>
      <c r="I230" s="11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7"/>
      <c r="B231" s="7"/>
      <c r="C231" s="5"/>
      <c r="D231" s="8"/>
      <c r="E231" s="9"/>
      <c r="F231" s="9"/>
      <c r="G231" s="10"/>
      <c r="H231" s="10"/>
      <c r="I231" s="11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7"/>
      <c r="B232" s="7"/>
      <c r="C232" s="5"/>
      <c r="D232" s="8"/>
      <c r="E232" s="9"/>
      <c r="F232" s="9"/>
      <c r="G232" s="10"/>
      <c r="H232" s="10"/>
      <c r="I232" s="11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7"/>
      <c r="B233" s="7"/>
      <c r="C233" s="5"/>
      <c r="D233" s="8"/>
      <c r="E233" s="9"/>
      <c r="F233" s="9"/>
      <c r="G233" s="10"/>
      <c r="H233" s="10"/>
      <c r="I233" s="11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7"/>
      <c r="B234" s="7"/>
      <c r="C234" s="5"/>
      <c r="D234" s="8"/>
      <c r="E234" s="9"/>
      <c r="F234" s="9"/>
      <c r="G234" s="10"/>
      <c r="H234" s="10"/>
      <c r="I234" s="11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7"/>
      <c r="B235" s="7"/>
      <c r="C235" s="5"/>
      <c r="D235" s="8"/>
      <c r="E235" s="9"/>
      <c r="F235" s="9"/>
      <c r="G235" s="10"/>
      <c r="H235" s="10"/>
      <c r="I235" s="11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7"/>
      <c r="B236" s="7"/>
      <c r="C236" s="5"/>
      <c r="D236" s="8"/>
      <c r="E236" s="9"/>
      <c r="F236" s="9"/>
      <c r="G236" s="10"/>
      <c r="H236" s="10"/>
      <c r="I236" s="11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7"/>
      <c r="B237" s="7"/>
      <c r="C237" s="5"/>
      <c r="D237" s="8"/>
      <c r="E237" s="9"/>
      <c r="F237" s="9"/>
      <c r="G237" s="10"/>
      <c r="H237" s="10"/>
      <c r="I237" s="11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7"/>
      <c r="B238" s="7"/>
      <c r="C238" s="5"/>
      <c r="D238" s="8"/>
      <c r="E238" s="9"/>
      <c r="F238" s="9"/>
      <c r="G238" s="10"/>
      <c r="H238" s="10"/>
      <c r="I238" s="11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7"/>
      <c r="B239" s="7"/>
      <c r="C239" s="5"/>
      <c r="D239" s="8"/>
      <c r="E239" s="9"/>
      <c r="F239" s="9"/>
      <c r="G239" s="10"/>
      <c r="H239" s="10"/>
      <c r="I239" s="11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7"/>
      <c r="B240" s="7"/>
      <c r="C240" s="5"/>
      <c r="D240" s="8"/>
      <c r="E240" s="9"/>
      <c r="F240" s="9"/>
      <c r="G240" s="10"/>
      <c r="H240" s="10"/>
      <c r="I240" s="11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7"/>
      <c r="B241" s="7"/>
      <c r="C241" s="5"/>
      <c r="D241" s="8"/>
      <c r="E241" s="9"/>
      <c r="F241" s="9"/>
      <c r="G241" s="10"/>
      <c r="H241" s="10"/>
      <c r="I241" s="11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7"/>
      <c r="B242" s="7"/>
      <c r="C242" s="5"/>
      <c r="D242" s="8"/>
      <c r="E242" s="9"/>
      <c r="F242" s="9"/>
      <c r="G242" s="10"/>
      <c r="H242" s="10"/>
      <c r="I242" s="11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7"/>
      <c r="B243" s="7"/>
      <c r="C243" s="5"/>
      <c r="D243" s="8"/>
      <c r="E243" s="9"/>
      <c r="F243" s="9"/>
      <c r="G243" s="10"/>
      <c r="H243" s="10"/>
      <c r="I243" s="11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7"/>
      <c r="B244" s="7"/>
      <c r="C244" s="5"/>
      <c r="D244" s="8"/>
      <c r="E244" s="9"/>
      <c r="F244" s="9"/>
      <c r="G244" s="10"/>
      <c r="H244" s="10"/>
      <c r="I244" s="11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7"/>
      <c r="B245" s="7"/>
      <c r="C245" s="5"/>
      <c r="D245" s="8"/>
      <c r="E245" s="9"/>
      <c r="F245" s="9"/>
      <c r="G245" s="10"/>
      <c r="H245" s="10"/>
      <c r="I245" s="11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7"/>
      <c r="B246" s="7"/>
      <c r="C246" s="5"/>
      <c r="D246" s="8"/>
      <c r="E246" s="9"/>
      <c r="F246" s="9"/>
      <c r="G246" s="10"/>
      <c r="H246" s="10"/>
      <c r="I246" s="11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7"/>
      <c r="B247" s="7"/>
      <c r="C247" s="5"/>
      <c r="D247" s="8"/>
      <c r="E247" s="9"/>
      <c r="F247" s="9"/>
      <c r="G247" s="10"/>
      <c r="H247" s="10"/>
      <c r="I247" s="11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7"/>
      <c r="B248" s="7"/>
      <c r="C248" s="5"/>
      <c r="D248" s="8"/>
      <c r="E248" s="9"/>
      <c r="F248" s="9"/>
      <c r="G248" s="10"/>
      <c r="H248" s="10"/>
      <c r="I248" s="11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7"/>
      <c r="B249" s="7"/>
      <c r="C249" s="5"/>
      <c r="D249" s="8"/>
      <c r="E249" s="9"/>
      <c r="F249" s="9"/>
      <c r="G249" s="10"/>
      <c r="H249" s="10"/>
      <c r="I249" s="11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7"/>
      <c r="B250" s="7"/>
      <c r="C250" s="5"/>
      <c r="D250" s="8"/>
      <c r="E250" s="9"/>
      <c r="F250" s="9"/>
      <c r="G250" s="10"/>
      <c r="H250" s="10"/>
      <c r="I250" s="11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7"/>
      <c r="B251" s="7"/>
      <c r="C251" s="5"/>
      <c r="D251" s="8"/>
      <c r="E251" s="9"/>
      <c r="F251" s="9"/>
      <c r="G251" s="10"/>
      <c r="H251" s="10"/>
      <c r="I251" s="11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7"/>
      <c r="B252" s="7"/>
      <c r="C252" s="5"/>
      <c r="D252" s="8"/>
      <c r="E252" s="9"/>
      <c r="F252" s="9"/>
      <c r="G252" s="10"/>
      <c r="H252" s="10"/>
      <c r="I252" s="11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7"/>
      <c r="B253" s="7"/>
      <c r="C253" s="5"/>
      <c r="D253" s="8"/>
      <c r="E253" s="9"/>
      <c r="F253" s="9"/>
      <c r="G253" s="10"/>
      <c r="H253" s="10"/>
      <c r="I253" s="11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7"/>
      <c r="B254" s="7"/>
      <c r="C254" s="5"/>
      <c r="D254" s="8"/>
      <c r="E254" s="9"/>
      <c r="F254" s="9"/>
      <c r="G254" s="10"/>
      <c r="H254" s="10"/>
      <c r="I254" s="11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7"/>
      <c r="B255" s="7"/>
      <c r="C255" s="5"/>
      <c r="D255" s="8"/>
      <c r="E255" s="9"/>
      <c r="F255" s="9"/>
      <c r="G255" s="10"/>
      <c r="H255" s="10"/>
      <c r="I255" s="11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7"/>
      <c r="B256" s="7"/>
      <c r="C256" s="5"/>
      <c r="D256" s="8"/>
      <c r="E256" s="9"/>
      <c r="F256" s="9"/>
      <c r="G256" s="10"/>
      <c r="H256" s="10"/>
      <c r="I256" s="11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7"/>
      <c r="B257" s="7"/>
      <c r="C257" s="5"/>
      <c r="D257" s="8"/>
      <c r="E257" s="9"/>
      <c r="F257" s="9"/>
      <c r="G257" s="10"/>
      <c r="H257" s="10"/>
      <c r="I257" s="11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7"/>
      <c r="B258" s="7"/>
      <c r="C258" s="5"/>
      <c r="D258" s="8"/>
      <c r="E258" s="9"/>
      <c r="F258" s="9"/>
      <c r="G258" s="10"/>
      <c r="H258" s="10"/>
      <c r="I258" s="11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7"/>
      <c r="B259" s="7"/>
      <c r="C259" s="5"/>
      <c r="D259" s="8"/>
      <c r="E259" s="9"/>
      <c r="F259" s="9"/>
      <c r="G259" s="10"/>
      <c r="H259" s="10"/>
      <c r="I259" s="11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7"/>
      <c r="B260" s="7"/>
      <c r="C260" s="5"/>
      <c r="D260" s="8"/>
      <c r="E260" s="9"/>
      <c r="F260" s="9"/>
      <c r="G260" s="10"/>
      <c r="H260" s="10"/>
      <c r="I260" s="11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7"/>
      <c r="B261" s="7"/>
      <c r="C261" s="5"/>
      <c r="D261" s="8"/>
      <c r="E261" s="9"/>
      <c r="F261" s="9"/>
      <c r="G261" s="10"/>
      <c r="H261" s="10"/>
      <c r="I261" s="11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7"/>
      <c r="B262" s="7"/>
      <c r="C262" s="5"/>
      <c r="D262" s="8"/>
      <c r="E262" s="9"/>
      <c r="F262" s="9"/>
      <c r="G262" s="10"/>
      <c r="H262" s="10"/>
      <c r="I262" s="11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7"/>
      <c r="B263" s="7"/>
      <c r="C263" s="5"/>
      <c r="D263" s="8"/>
      <c r="E263" s="9"/>
      <c r="F263" s="9"/>
      <c r="G263" s="10"/>
      <c r="H263" s="10"/>
      <c r="I263" s="11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7"/>
      <c r="B264" s="7"/>
      <c r="C264" s="5"/>
      <c r="D264" s="8"/>
      <c r="E264" s="9"/>
      <c r="F264" s="9"/>
      <c r="G264" s="10"/>
      <c r="H264" s="10"/>
      <c r="I264" s="11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7"/>
      <c r="B265" s="7"/>
      <c r="C265" s="5"/>
      <c r="D265" s="8"/>
      <c r="E265" s="9"/>
      <c r="F265" s="9"/>
      <c r="G265" s="10"/>
      <c r="H265" s="10"/>
      <c r="I265" s="11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7"/>
      <c r="B266" s="7"/>
      <c r="C266" s="5"/>
      <c r="D266" s="8"/>
      <c r="E266" s="9"/>
      <c r="F266" s="9"/>
      <c r="G266" s="10"/>
      <c r="H266" s="10"/>
      <c r="I266" s="11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7"/>
      <c r="B267" s="7"/>
      <c r="C267" s="5"/>
      <c r="D267" s="8"/>
      <c r="E267" s="9"/>
      <c r="F267" s="9"/>
      <c r="G267" s="10"/>
      <c r="H267" s="10"/>
      <c r="I267" s="11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7"/>
      <c r="B268" s="7"/>
      <c r="C268" s="5"/>
      <c r="D268" s="8"/>
      <c r="E268" s="9"/>
      <c r="F268" s="9"/>
      <c r="G268" s="10"/>
      <c r="H268" s="10"/>
      <c r="I268" s="11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7"/>
      <c r="B269" s="7"/>
      <c r="C269" s="5"/>
      <c r="D269" s="8"/>
      <c r="E269" s="9"/>
      <c r="F269" s="9"/>
      <c r="G269" s="10"/>
      <c r="H269" s="10"/>
      <c r="I269" s="11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7"/>
      <c r="B270" s="7"/>
      <c r="C270" s="5"/>
      <c r="D270" s="8"/>
      <c r="E270" s="9"/>
      <c r="F270" s="9"/>
      <c r="G270" s="10"/>
      <c r="H270" s="10"/>
      <c r="I270" s="11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7"/>
      <c r="B271" s="7"/>
      <c r="C271" s="5"/>
      <c r="D271" s="8"/>
      <c r="E271" s="9"/>
      <c r="F271" s="9"/>
      <c r="G271" s="10"/>
      <c r="H271" s="10"/>
      <c r="I271" s="11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7"/>
      <c r="B272" s="7"/>
      <c r="C272" s="5"/>
      <c r="D272" s="8"/>
      <c r="E272" s="9"/>
      <c r="F272" s="9"/>
      <c r="G272" s="10"/>
      <c r="H272" s="10"/>
      <c r="I272" s="11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7"/>
      <c r="B273" s="7"/>
      <c r="C273" s="5"/>
      <c r="D273" s="8"/>
      <c r="E273" s="9"/>
      <c r="F273" s="9"/>
      <c r="G273" s="10"/>
      <c r="H273" s="10"/>
      <c r="I273" s="11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7"/>
      <c r="B274" s="7"/>
      <c r="C274" s="5"/>
      <c r="D274" s="8"/>
      <c r="E274" s="9"/>
      <c r="F274" s="9"/>
      <c r="G274" s="10"/>
      <c r="H274" s="10"/>
      <c r="I274" s="11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7"/>
      <c r="B275" s="7"/>
      <c r="C275" s="5"/>
      <c r="D275" s="8"/>
      <c r="E275" s="9"/>
      <c r="F275" s="9"/>
      <c r="G275" s="10"/>
      <c r="H275" s="10"/>
      <c r="I275" s="11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7"/>
      <c r="B276" s="7"/>
      <c r="C276" s="5"/>
      <c r="D276" s="8"/>
      <c r="E276" s="9"/>
      <c r="F276" s="9"/>
      <c r="G276" s="10"/>
      <c r="H276" s="10"/>
      <c r="I276" s="11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7"/>
      <c r="B277" s="7"/>
      <c r="C277" s="5"/>
      <c r="D277" s="8"/>
      <c r="E277" s="9"/>
      <c r="F277" s="9"/>
      <c r="G277" s="10"/>
      <c r="H277" s="10"/>
      <c r="I277" s="11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7"/>
      <c r="B278" s="7"/>
      <c r="C278" s="5"/>
      <c r="D278" s="8"/>
      <c r="E278" s="9"/>
      <c r="F278" s="9"/>
      <c r="G278" s="10"/>
      <c r="H278" s="10"/>
      <c r="I278" s="11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7"/>
      <c r="B279" s="7"/>
      <c r="C279" s="5"/>
      <c r="D279" s="8"/>
      <c r="E279" s="9"/>
      <c r="F279" s="9"/>
      <c r="G279" s="10"/>
      <c r="H279" s="10"/>
      <c r="I279" s="11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7"/>
      <c r="B280" s="7"/>
      <c r="C280" s="5"/>
      <c r="D280" s="8"/>
      <c r="E280" s="9"/>
      <c r="F280" s="9"/>
      <c r="G280" s="10"/>
      <c r="H280" s="10"/>
      <c r="I280" s="11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7"/>
      <c r="B281" s="7"/>
      <c r="C281" s="5"/>
      <c r="D281" s="8"/>
      <c r="E281" s="9"/>
      <c r="F281" s="9"/>
      <c r="G281" s="10"/>
      <c r="H281" s="10"/>
      <c r="I281" s="11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7"/>
      <c r="B282" s="7"/>
      <c r="C282" s="5"/>
      <c r="D282" s="8"/>
      <c r="E282" s="9"/>
      <c r="F282" s="9"/>
      <c r="G282" s="10"/>
      <c r="H282" s="10"/>
      <c r="I282" s="11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7"/>
      <c r="B283" s="7"/>
      <c r="C283" s="5"/>
      <c r="D283" s="8"/>
      <c r="E283" s="9"/>
      <c r="F283" s="9"/>
      <c r="G283" s="10"/>
      <c r="H283" s="10"/>
      <c r="I283" s="11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7"/>
      <c r="B284" s="7"/>
      <c r="C284" s="5"/>
      <c r="D284" s="8"/>
      <c r="E284" s="9"/>
      <c r="F284" s="9"/>
      <c r="G284" s="10"/>
      <c r="H284" s="10"/>
      <c r="I284" s="11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7"/>
      <c r="B285" s="7"/>
      <c r="C285" s="5"/>
      <c r="D285" s="8"/>
      <c r="E285" s="9"/>
      <c r="F285" s="9"/>
      <c r="G285" s="10"/>
      <c r="H285" s="10"/>
      <c r="I285" s="11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7"/>
      <c r="B286" s="7"/>
      <c r="C286" s="5"/>
      <c r="D286" s="8"/>
      <c r="E286" s="9"/>
      <c r="F286" s="9"/>
      <c r="G286" s="10"/>
      <c r="H286" s="10"/>
      <c r="I286" s="11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7"/>
      <c r="B287" s="7"/>
      <c r="C287" s="5"/>
      <c r="D287" s="8"/>
      <c r="E287" s="9"/>
      <c r="F287" s="9"/>
      <c r="G287" s="10"/>
      <c r="H287" s="10"/>
      <c r="I287" s="11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7"/>
      <c r="B288" s="7"/>
      <c r="C288" s="5"/>
      <c r="D288" s="8"/>
      <c r="E288" s="9"/>
      <c r="F288" s="9"/>
      <c r="G288" s="10"/>
      <c r="H288" s="10"/>
      <c r="I288" s="11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7"/>
      <c r="B289" s="7"/>
      <c r="C289" s="5"/>
      <c r="D289" s="8"/>
      <c r="E289" s="9"/>
      <c r="F289" s="9"/>
      <c r="G289" s="10"/>
      <c r="H289" s="10"/>
      <c r="I289" s="11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7"/>
      <c r="B290" s="7"/>
      <c r="C290" s="5"/>
      <c r="D290" s="8"/>
      <c r="E290" s="9"/>
      <c r="F290" s="9"/>
      <c r="G290" s="10"/>
      <c r="H290" s="10"/>
      <c r="I290" s="11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7"/>
      <c r="B291" s="7"/>
      <c r="C291" s="5"/>
      <c r="D291" s="8"/>
      <c r="E291" s="9"/>
      <c r="F291" s="9"/>
      <c r="G291" s="10"/>
      <c r="H291" s="10"/>
      <c r="I291" s="11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7"/>
      <c r="B292" s="7"/>
      <c r="C292" s="5"/>
      <c r="D292" s="8"/>
      <c r="E292" s="9"/>
      <c r="F292" s="9"/>
      <c r="G292" s="10"/>
      <c r="H292" s="10"/>
      <c r="I292" s="11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7"/>
      <c r="B293" s="7"/>
      <c r="C293" s="5"/>
      <c r="D293" s="8"/>
      <c r="E293" s="9"/>
      <c r="F293" s="9"/>
      <c r="G293" s="10"/>
      <c r="H293" s="10"/>
      <c r="I293" s="11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7"/>
      <c r="B294" s="7"/>
      <c r="C294" s="5"/>
      <c r="D294" s="8"/>
      <c r="E294" s="9"/>
      <c r="F294" s="9"/>
      <c r="G294" s="10"/>
      <c r="H294" s="10"/>
      <c r="I294" s="11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7"/>
      <c r="B295" s="7"/>
      <c r="C295" s="5"/>
      <c r="D295" s="8"/>
      <c r="E295" s="9"/>
      <c r="F295" s="9"/>
      <c r="G295" s="10"/>
      <c r="H295" s="10"/>
      <c r="I295" s="11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7"/>
      <c r="B296" s="7"/>
      <c r="C296" s="5"/>
      <c r="D296" s="8"/>
      <c r="E296" s="9"/>
      <c r="F296" s="9"/>
      <c r="G296" s="10"/>
      <c r="H296" s="10"/>
      <c r="I296" s="11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7"/>
      <c r="B297" s="7"/>
      <c r="C297" s="5"/>
      <c r="D297" s="8"/>
      <c r="E297" s="9"/>
      <c r="F297" s="9"/>
      <c r="G297" s="10"/>
      <c r="H297" s="10"/>
      <c r="I297" s="11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7"/>
      <c r="B298" s="7"/>
      <c r="C298" s="5"/>
      <c r="D298" s="8"/>
      <c r="E298" s="9"/>
      <c r="F298" s="9"/>
      <c r="G298" s="10"/>
      <c r="H298" s="10"/>
      <c r="I298" s="11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7"/>
      <c r="B299" s="7"/>
      <c r="C299" s="5"/>
      <c r="D299" s="8"/>
      <c r="E299" s="9"/>
      <c r="F299" s="9"/>
      <c r="G299" s="10"/>
      <c r="H299" s="10"/>
      <c r="I299" s="11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7"/>
      <c r="B300" s="7"/>
      <c r="C300" s="5"/>
      <c r="D300" s="8"/>
      <c r="E300" s="9"/>
      <c r="F300" s="9"/>
      <c r="G300" s="10"/>
      <c r="H300" s="10"/>
      <c r="I300" s="11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7"/>
      <c r="B301" s="7"/>
      <c r="C301" s="5"/>
      <c r="D301" s="8"/>
      <c r="E301" s="9"/>
      <c r="F301" s="9"/>
      <c r="G301" s="10"/>
      <c r="H301" s="10"/>
      <c r="I301" s="11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7"/>
      <c r="B302" s="7"/>
      <c r="C302" s="5"/>
      <c r="D302" s="8"/>
      <c r="E302" s="9"/>
      <c r="F302" s="9"/>
      <c r="G302" s="10"/>
      <c r="H302" s="10"/>
      <c r="I302" s="11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7"/>
      <c r="B303" s="7"/>
      <c r="C303" s="5"/>
      <c r="D303" s="8"/>
      <c r="E303" s="9"/>
      <c r="F303" s="9"/>
      <c r="G303" s="10"/>
      <c r="H303" s="10"/>
      <c r="I303" s="11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7"/>
      <c r="B304" s="7"/>
      <c r="C304" s="5"/>
      <c r="D304" s="8"/>
      <c r="E304" s="9"/>
      <c r="F304" s="9"/>
      <c r="G304" s="10"/>
      <c r="H304" s="10"/>
      <c r="I304" s="11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7"/>
      <c r="B305" s="7"/>
      <c r="C305" s="5"/>
      <c r="D305" s="8"/>
      <c r="E305" s="9"/>
      <c r="F305" s="9"/>
      <c r="G305" s="10"/>
      <c r="H305" s="10"/>
      <c r="I305" s="11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7"/>
      <c r="B306" s="7"/>
      <c r="C306" s="5"/>
      <c r="D306" s="8"/>
      <c r="E306" s="9"/>
      <c r="F306" s="9"/>
      <c r="G306" s="10"/>
      <c r="H306" s="10"/>
      <c r="I306" s="11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7"/>
      <c r="B307" s="7"/>
      <c r="C307" s="5"/>
      <c r="D307" s="8"/>
      <c r="E307" s="9"/>
      <c r="F307" s="9"/>
      <c r="G307" s="10"/>
      <c r="H307" s="10"/>
      <c r="I307" s="11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7"/>
      <c r="B308" s="7"/>
      <c r="C308" s="5"/>
      <c r="D308" s="8"/>
      <c r="E308" s="9"/>
      <c r="F308" s="9"/>
      <c r="G308" s="10"/>
      <c r="H308" s="10"/>
      <c r="I308" s="11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7"/>
      <c r="B309" s="7"/>
      <c r="C309" s="5"/>
      <c r="D309" s="8"/>
      <c r="E309" s="9"/>
      <c r="F309" s="9"/>
      <c r="G309" s="10"/>
      <c r="H309" s="10"/>
      <c r="I309" s="11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7"/>
      <c r="B310" s="7"/>
      <c r="C310" s="5"/>
      <c r="D310" s="8"/>
      <c r="E310" s="9"/>
      <c r="F310" s="9"/>
      <c r="G310" s="10"/>
      <c r="H310" s="10"/>
      <c r="I310" s="11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7"/>
      <c r="B311" s="7"/>
      <c r="C311" s="5"/>
      <c r="D311" s="8"/>
      <c r="E311" s="9"/>
      <c r="F311" s="9"/>
      <c r="G311" s="10"/>
      <c r="H311" s="10"/>
      <c r="I311" s="11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7"/>
      <c r="B312" s="7"/>
      <c r="C312" s="5"/>
      <c r="D312" s="8"/>
      <c r="E312" s="9"/>
      <c r="F312" s="9"/>
      <c r="G312" s="10"/>
      <c r="H312" s="10"/>
      <c r="I312" s="11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7"/>
      <c r="B313" s="7"/>
      <c r="C313" s="5"/>
      <c r="D313" s="8"/>
      <c r="E313" s="9"/>
      <c r="F313" s="9"/>
      <c r="G313" s="10"/>
      <c r="H313" s="10"/>
      <c r="I313" s="11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7"/>
      <c r="B314" s="7"/>
      <c r="C314" s="5"/>
      <c r="D314" s="8"/>
      <c r="E314" s="9"/>
      <c r="F314" s="9"/>
      <c r="G314" s="10"/>
      <c r="H314" s="10"/>
      <c r="I314" s="11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7"/>
      <c r="B315" s="7"/>
      <c r="C315" s="5"/>
      <c r="D315" s="8"/>
      <c r="E315" s="9"/>
      <c r="F315" s="9"/>
      <c r="G315" s="10"/>
      <c r="H315" s="10"/>
      <c r="I315" s="11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7"/>
      <c r="B316" s="7"/>
      <c r="C316" s="5"/>
      <c r="D316" s="8"/>
      <c r="E316" s="9"/>
      <c r="F316" s="9"/>
      <c r="G316" s="10"/>
      <c r="H316" s="10"/>
      <c r="I316" s="11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7"/>
      <c r="B317" s="7"/>
      <c r="C317" s="5"/>
      <c r="D317" s="8"/>
      <c r="E317" s="9"/>
      <c r="F317" s="9"/>
      <c r="G317" s="10"/>
      <c r="H317" s="10"/>
      <c r="I317" s="11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7"/>
      <c r="B318" s="7"/>
      <c r="C318" s="5"/>
      <c r="D318" s="8"/>
      <c r="E318" s="9"/>
      <c r="F318" s="9"/>
      <c r="G318" s="10"/>
      <c r="H318" s="10"/>
      <c r="I318" s="11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7"/>
      <c r="B319" s="7"/>
      <c r="C319" s="5"/>
      <c r="D319" s="8"/>
      <c r="E319" s="9"/>
      <c r="F319" s="9"/>
      <c r="G319" s="10"/>
      <c r="H319" s="10"/>
      <c r="I319" s="11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7"/>
      <c r="B320" s="7"/>
      <c r="C320" s="5"/>
      <c r="D320" s="8"/>
      <c r="E320" s="9"/>
      <c r="F320" s="9"/>
      <c r="G320" s="10"/>
      <c r="H320" s="10"/>
      <c r="I320" s="11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7"/>
      <c r="B321" s="7"/>
      <c r="C321" s="5"/>
      <c r="D321" s="8"/>
      <c r="E321" s="9"/>
      <c r="F321" s="9"/>
      <c r="G321" s="10"/>
      <c r="H321" s="10"/>
      <c r="I321" s="11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7"/>
      <c r="B322" s="7"/>
      <c r="C322" s="5"/>
      <c r="D322" s="8"/>
      <c r="E322" s="9"/>
      <c r="F322" s="9"/>
      <c r="G322" s="10"/>
      <c r="H322" s="10"/>
      <c r="I322" s="11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7"/>
      <c r="B323" s="7"/>
      <c r="C323" s="5"/>
      <c r="D323" s="8"/>
      <c r="E323" s="9"/>
      <c r="F323" s="9"/>
      <c r="G323" s="10"/>
      <c r="H323" s="10"/>
      <c r="I323" s="11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7"/>
      <c r="B324" s="7"/>
      <c r="C324" s="5"/>
      <c r="D324" s="8"/>
      <c r="E324" s="9"/>
      <c r="F324" s="9"/>
      <c r="G324" s="10"/>
      <c r="H324" s="10"/>
      <c r="I324" s="11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7"/>
      <c r="B325" s="7"/>
      <c r="C325" s="5"/>
      <c r="D325" s="8"/>
      <c r="E325" s="9"/>
      <c r="F325" s="9"/>
      <c r="G325" s="10"/>
      <c r="H325" s="10"/>
      <c r="I325" s="11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7"/>
      <c r="B326" s="7"/>
      <c r="C326" s="5"/>
      <c r="D326" s="8"/>
      <c r="E326" s="9"/>
      <c r="F326" s="9"/>
      <c r="G326" s="10"/>
      <c r="H326" s="10"/>
      <c r="I326" s="11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7"/>
      <c r="B327" s="7"/>
      <c r="C327" s="5"/>
      <c r="D327" s="8"/>
      <c r="E327" s="9"/>
      <c r="F327" s="9"/>
      <c r="G327" s="10"/>
      <c r="H327" s="10"/>
      <c r="I327" s="11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7"/>
      <c r="B328" s="7"/>
      <c r="C328" s="5"/>
      <c r="D328" s="8"/>
      <c r="E328" s="9"/>
      <c r="F328" s="9"/>
      <c r="G328" s="10"/>
      <c r="H328" s="10"/>
      <c r="I328" s="11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7"/>
      <c r="B329" s="7"/>
      <c r="C329" s="5"/>
      <c r="D329" s="8"/>
      <c r="E329" s="9"/>
      <c r="F329" s="9"/>
      <c r="G329" s="10"/>
      <c r="H329" s="10"/>
      <c r="I329" s="11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7"/>
      <c r="B330" s="7"/>
      <c r="C330" s="5"/>
      <c r="D330" s="8"/>
      <c r="E330" s="9"/>
      <c r="F330" s="9"/>
      <c r="G330" s="10"/>
      <c r="H330" s="10"/>
      <c r="I330" s="11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7"/>
      <c r="B331" s="7"/>
      <c r="C331" s="5"/>
      <c r="D331" s="8"/>
      <c r="E331" s="9"/>
      <c r="F331" s="9"/>
      <c r="G331" s="10"/>
      <c r="H331" s="10"/>
      <c r="I331" s="11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7"/>
      <c r="B332" s="7"/>
      <c r="C332" s="5"/>
      <c r="D332" s="8"/>
      <c r="E332" s="9"/>
      <c r="F332" s="9"/>
      <c r="G332" s="10"/>
      <c r="H332" s="10"/>
      <c r="I332" s="11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7"/>
      <c r="B333" s="7"/>
      <c r="C333" s="5"/>
      <c r="D333" s="8"/>
      <c r="E333" s="9"/>
      <c r="F333" s="9"/>
      <c r="G333" s="10"/>
      <c r="H333" s="10"/>
      <c r="I333" s="11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7"/>
      <c r="B334" s="7"/>
      <c r="C334" s="5"/>
      <c r="D334" s="8"/>
      <c r="E334" s="9"/>
      <c r="F334" s="9"/>
      <c r="G334" s="10"/>
      <c r="H334" s="10"/>
      <c r="I334" s="11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7"/>
      <c r="B335" s="7"/>
      <c r="C335" s="5"/>
      <c r="D335" s="8"/>
      <c r="E335" s="9"/>
      <c r="F335" s="9"/>
      <c r="G335" s="10"/>
      <c r="H335" s="10"/>
      <c r="I335" s="11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7"/>
      <c r="B336" s="7"/>
      <c r="C336" s="5"/>
      <c r="D336" s="8"/>
      <c r="E336" s="9"/>
      <c r="F336" s="9"/>
      <c r="G336" s="10"/>
      <c r="H336" s="10"/>
      <c r="I336" s="11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7"/>
      <c r="B337" s="7"/>
      <c r="C337" s="5"/>
      <c r="D337" s="8"/>
      <c r="E337" s="9"/>
      <c r="F337" s="9"/>
      <c r="G337" s="10"/>
      <c r="H337" s="10"/>
      <c r="I337" s="11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7"/>
      <c r="B338" s="7"/>
      <c r="C338" s="5"/>
      <c r="D338" s="8"/>
      <c r="E338" s="9"/>
      <c r="F338" s="9"/>
      <c r="G338" s="10"/>
      <c r="H338" s="10"/>
      <c r="I338" s="11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7"/>
      <c r="B339" s="7"/>
      <c r="C339" s="5"/>
      <c r="D339" s="8"/>
      <c r="E339" s="9"/>
      <c r="F339" s="9"/>
      <c r="G339" s="10"/>
      <c r="H339" s="10"/>
      <c r="I339" s="11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7"/>
      <c r="B340" s="7"/>
      <c r="C340" s="5"/>
      <c r="D340" s="8"/>
      <c r="E340" s="9"/>
      <c r="F340" s="9"/>
      <c r="G340" s="10"/>
      <c r="H340" s="10"/>
      <c r="I340" s="11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7"/>
      <c r="B341" s="7"/>
      <c r="C341" s="5"/>
      <c r="D341" s="8"/>
      <c r="E341" s="9"/>
      <c r="F341" s="9"/>
      <c r="G341" s="10"/>
      <c r="H341" s="10"/>
      <c r="I341" s="11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7"/>
      <c r="B342" s="7"/>
      <c r="C342" s="5"/>
      <c r="D342" s="8"/>
      <c r="E342" s="9"/>
      <c r="F342" s="9"/>
      <c r="G342" s="10"/>
      <c r="H342" s="10"/>
      <c r="I342" s="11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7"/>
      <c r="B343" s="7"/>
      <c r="C343" s="5"/>
      <c r="D343" s="8"/>
      <c r="E343" s="9"/>
      <c r="F343" s="9"/>
      <c r="G343" s="10"/>
      <c r="H343" s="10"/>
      <c r="I343" s="11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7"/>
      <c r="B344" s="7"/>
      <c r="C344" s="5"/>
      <c r="D344" s="8"/>
      <c r="E344" s="9"/>
      <c r="F344" s="9"/>
      <c r="G344" s="10"/>
      <c r="H344" s="10"/>
      <c r="I344" s="11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7"/>
      <c r="B345" s="7"/>
      <c r="C345" s="5"/>
      <c r="D345" s="8"/>
      <c r="E345" s="9"/>
      <c r="F345" s="9"/>
      <c r="G345" s="10"/>
      <c r="H345" s="10"/>
      <c r="I345" s="11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7"/>
      <c r="B346" s="7"/>
      <c r="C346" s="5"/>
      <c r="D346" s="8"/>
      <c r="E346" s="9"/>
      <c r="F346" s="9"/>
      <c r="G346" s="10"/>
      <c r="H346" s="10"/>
      <c r="I346" s="11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7"/>
      <c r="B347" s="7"/>
      <c r="C347" s="5"/>
      <c r="D347" s="8"/>
      <c r="E347" s="9"/>
      <c r="F347" s="9"/>
      <c r="G347" s="10"/>
      <c r="H347" s="10"/>
      <c r="I347" s="11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7"/>
      <c r="B348" s="7"/>
      <c r="C348" s="5"/>
      <c r="D348" s="8"/>
      <c r="E348" s="9"/>
      <c r="F348" s="9"/>
      <c r="G348" s="10"/>
      <c r="H348" s="10"/>
      <c r="I348" s="11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7"/>
      <c r="B349" s="7"/>
      <c r="C349" s="5"/>
      <c r="D349" s="8"/>
      <c r="E349" s="9"/>
      <c r="F349" s="9"/>
      <c r="G349" s="10"/>
      <c r="H349" s="10"/>
      <c r="I349" s="11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7"/>
      <c r="B350" s="7"/>
      <c r="C350" s="5"/>
      <c r="D350" s="8"/>
      <c r="E350" s="9"/>
      <c r="F350" s="9"/>
      <c r="G350" s="10"/>
      <c r="H350" s="10"/>
      <c r="I350" s="11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7"/>
      <c r="B351" s="7"/>
      <c r="C351" s="5"/>
      <c r="D351" s="8"/>
      <c r="E351" s="9"/>
      <c r="F351" s="9"/>
      <c r="G351" s="10"/>
      <c r="H351" s="10"/>
      <c r="I351" s="11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7"/>
      <c r="B352" s="7"/>
      <c r="C352" s="5"/>
      <c r="D352" s="8"/>
      <c r="E352" s="9"/>
      <c r="F352" s="9"/>
      <c r="G352" s="10"/>
      <c r="H352" s="10"/>
      <c r="I352" s="11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7"/>
      <c r="B353" s="7"/>
      <c r="C353" s="5"/>
      <c r="D353" s="8"/>
      <c r="E353" s="9"/>
      <c r="F353" s="9"/>
      <c r="G353" s="10"/>
      <c r="H353" s="10"/>
      <c r="I353" s="11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7"/>
      <c r="B354" s="7"/>
      <c r="C354" s="5"/>
      <c r="D354" s="8"/>
      <c r="E354" s="9"/>
      <c r="F354" s="9"/>
      <c r="G354" s="10"/>
      <c r="H354" s="10"/>
      <c r="I354" s="11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7"/>
      <c r="B355" s="7"/>
      <c r="C355" s="5"/>
      <c r="D355" s="8"/>
      <c r="E355" s="9"/>
      <c r="F355" s="9"/>
      <c r="G355" s="10"/>
      <c r="H355" s="10"/>
      <c r="I355" s="11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7"/>
      <c r="B356" s="7"/>
      <c r="C356" s="5"/>
      <c r="D356" s="8"/>
      <c r="E356" s="9"/>
      <c r="F356" s="9"/>
      <c r="G356" s="10"/>
      <c r="H356" s="10"/>
      <c r="I356" s="11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7"/>
      <c r="B357" s="7"/>
      <c r="C357" s="5"/>
      <c r="D357" s="8"/>
      <c r="E357" s="9"/>
      <c r="F357" s="9"/>
      <c r="G357" s="10"/>
      <c r="H357" s="10"/>
      <c r="I357" s="11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7"/>
      <c r="B358" s="7"/>
      <c r="C358" s="5"/>
      <c r="D358" s="8"/>
      <c r="E358" s="9"/>
      <c r="F358" s="9"/>
      <c r="G358" s="10"/>
      <c r="H358" s="10"/>
      <c r="I358" s="11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7"/>
      <c r="B359" s="7"/>
      <c r="C359" s="5"/>
      <c r="D359" s="8"/>
      <c r="E359" s="9"/>
      <c r="F359" s="9"/>
      <c r="G359" s="10"/>
      <c r="H359" s="10"/>
      <c r="I359" s="11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7"/>
      <c r="B360" s="7"/>
      <c r="C360" s="5"/>
      <c r="D360" s="8"/>
      <c r="E360" s="9"/>
      <c r="F360" s="9"/>
      <c r="G360" s="10"/>
      <c r="H360" s="10"/>
      <c r="I360" s="11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7"/>
      <c r="B361" s="7"/>
      <c r="C361" s="5"/>
      <c r="D361" s="8"/>
      <c r="E361" s="9"/>
      <c r="F361" s="9"/>
      <c r="G361" s="10"/>
      <c r="H361" s="10"/>
      <c r="I361" s="11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7"/>
      <c r="B362" s="7"/>
      <c r="C362" s="5"/>
      <c r="D362" s="8"/>
      <c r="E362" s="9"/>
      <c r="F362" s="9"/>
      <c r="G362" s="10"/>
      <c r="H362" s="10"/>
      <c r="I362" s="11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7"/>
      <c r="B363" s="7"/>
      <c r="C363" s="5"/>
      <c r="D363" s="8"/>
      <c r="E363" s="9"/>
      <c r="F363" s="9"/>
      <c r="G363" s="10"/>
      <c r="H363" s="10"/>
      <c r="I363" s="11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7"/>
      <c r="B364" s="7"/>
      <c r="C364" s="5"/>
      <c r="D364" s="8"/>
      <c r="E364" s="9"/>
      <c r="F364" s="9"/>
      <c r="G364" s="10"/>
      <c r="H364" s="10"/>
      <c r="I364" s="11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7"/>
      <c r="B365" s="7"/>
      <c r="C365" s="5"/>
      <c r="D365" s="8"/>
      <c r="E365" s="9"/>
      <c r="F365" s="9"/>
      <c r="G365" s="10"/>
      <c r="H365" s="10"/>
      <c r="I365" s="11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7"/>
      <c r="B366" s="7"/>
      <c r="C366" s="5"/>
      <c r="D366" s="8"/>
      <c r="E366" s="9"/>
      <c r="F366" s="9"/>
      <c r="G366" s="10"/>
      <c r="H366" s="10"/>
      <c r="I366" s="11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7"/>
      <c r="B367" s="7"/>
      <c r="C367" s="5"/>
      <c r="D367" s="8"/>
      <c r="E367" s="9"/>
      <c r="F367" s="9"/>
      <c r="G367" s="10"/>
      <c r="H367" s="10"/>
      <c r="I367" s="11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7"/>
      <c r="B368" s="7"/>
      <c r="C368" s="5"/>
      <c r="D368" s="8"/>
      <c r="E368" s="9"/>
      <c r="F368" s="9"/>
      <c r="G368" s="10"/>
      <c r="H368" s="10"/>
      <c r="I368" s="11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7"/>
      <c r="B369" s="7"/>
      <c r="C369" s="5"/>
      <c r="D369" s="8"/>
      <c r="E369" s="9"/>
      <c r="F369" s="9"/>
      <c r="G369" s="10"/>
      <c r="H369" s="10"/>
      <c r="I369" s="11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7"/>
      <c r="B370" s="7"/>
      <c r="C370" s="5"/>
      <c r="D370" s="8"/>
      <c r="E370" s="9"/>
      <c r="F370" s="9"/>
      <c r="G370" s="10"/>
      <c r="H370" s="10"/>
      <c r="I370" s="11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7"/>
      <c r="B371" s="7"/>
      <c r="C371" s="5"/>
      <c r="D371" s="8"/>
      <c r="E371" s="9"/>
      <c r="F371" s="9"/>
      <c r="G371" s="10"/>
      <c r="H371" s="10"/>
      <c r="I371" s="11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7"/>
      <c r="B372" s="7"/>
      <c r="C372" s="5"/>
      <c r="D372" s="8"/>
      <c r="E372" s="9"/>
      <c r="F372" s="9"/>
      <c r="G372" s="10"/>
      <c r="H372" s="10"/>
      <c r="I372" s="11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7"/>
      <c r="B373" s="7"/>
      <c r="C373" s="5"/>
      <c r="D373" s="8"/>
      <c r="E373" s="9"/>
      <c r="F373" s="9"/>
      <c r="G373" s="10"/>
      <c r="H373" s="10"/>
      <c r="I373" s="11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7"/>
      <c r="B374" s="7"/>
      <c r="C374" s="5"/>
      <c r="D374" s="8"/>
      <c r="E374" s="9"/>
      <c r="F374" s="9"/>
      <c r="G374" s="10"/>
      <c r="H374" s="10"/>
      <c r="I374" s="11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7"/>
      <c r="B375" s="7"/>
      <c r="C375" s="5"/>
      <c r="D375" s="8"/>
      <c r="E375" s="9"/>
      <c r="F375" s="9"/>
      <c r="G375" s="10"/>
      <c r="H375" s="10"/>
      <c r="I375" s="11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7"/>
      <c r="B376" s="7"/>
      <c r="C376" s="5"/>
      <c r="D376" s="8"/>
      <c r="E376" s="9"/>
      <c r="F376" s="9"/>
      <c r="G376" s="10"/>
      <c r="H376" s="10"/>
      <c r="I376" s="11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7"/>
      <c r="B377" s="7"/>
      <c r="C377" s="5"/>
      <c r="D377" s="8"/>
      <c r="E377" s="9"/>
      <c r="F377" s="9"/>
      <c r="G377" s="10"/>
      <c r="H377" s="10"/>
      <c r="I377" s="11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7"/>
      <c r="B378" s="7"/>
      <c r="C378" s="5"/>
      <c r="D378" s="8"/>
      <c r="E378" s="9"/>
      <c r="F378" s="9"/>
      <c r="G378" s="10"/>
      <c r="H378" s="10"/>
      <c r="I378" s="11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7"/>
      <c r="B379" s="7"/>
      <c r="C379" s="5"/>
      <c r="D379" s="8"/>
      <c r="E379" s="9"/>
      <c r="F379" s="9"/>
      <c r="G379" s="10"/>
      <c r="H379" s="10"/>
      <c r="I379" s="11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7"/>
      <c r="B380" s="7"/>
      <c r="C380" s="5"/>
      <c r="D380" s="8"/>
      <c r="E380" s="9"/>
      <c r="F380" s="9"/>
      <c r="G380" s="10"/>
      <c r="H380" s="10"/>
      <c r="I380" s="11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7"/>
      <c r="B381" s="7"/>
      <c r="C381" s="5"/>
      <c r="D381" s="8"/>
      <c r="E381" s="9"/>
      <c r="F381" s="9"/>
      <c r="G381" s="10"/>
      <c r="H381" s="10"/>
      <c r="I381" s="11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7"/>
      <c r="B382" s="7"/>
      <c r="C382" s="5"/>
      <c r="D382" s="8"/>
      <c r="E382" s="9"/>
      <c r="F382" s="9"/>
      <c r="G382" s="10"/>
      <c r="H382" s="10"/>
      <c r="I382" s="11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7"/>
      <c r="B383" s="7"/>
      <c r="C383" s="5"/>
      <c r="D383" s="8"/>
      <c r="E383" s="9"/>
      <c r="F383" s="9"/>
      <c r="G383" s="10"/>
      <c r="H383" s="10"/>
      <c r="I383" s="11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7"/>
      <c r="B384" s="7"/>
      <c r="C384" s="5"/>
      <c r="D384" s="8"/>
      <c r="E384" s="9"/>
      <c r="F384" s="9"/>
      <c r="G384" s="10"/>
      <c r="H384" s="10"/>
      <c r="I384" s="11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7"/>
      <c r="B385" s="7"/>
      <c r="C385" s="5"/>
      <c r="D385" s="8"/>
      <c r="E385" s="9"/>
      <c r="F385" s="9"/>
      <c r="G385" s="10"/>
      <c r="H385" s="10"/>
      <c r="I385" s="11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7"/>
      <c r="B386" s="7"/>
      <c r="C386" s="5"/>
      <c r="D386" s="8"/>
      <c r="E386" s="9"/>
      <c r="F386" s="9"/>
      <c r="G386" s="10"/>
      <c r="H386" s="10"/>
      <c r="I386" s="11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7"/>
      <c r="B387" s="7"/>
      <c r="C387" s="5"/>
      <c r="D387" s="8"/>
      <c r="E387" s="9"/>
      <c r="F387" s="9"/>
      <c r="G387" s="10"/>
      <c r="H387" s="10"/>
      <c r="I387" s="11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7"/>
      <c r="B388" s="7"/>
      <c r="C388" s="5"/>
      <c r="D388" s="8"/>
      <c r="E388" s="9"/>
      <c r="F388" s="9"/>
      <c r="G388" s="10"/>
      <c r="H388" s="10"/>
      <c r="I388" s="11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7"/>
      <c r="B389" s="7"/>
      <c r="C389" s="5"/>
      <c r="D389" s="8"/>
      <c r="E389" s="9"/>
      <c r="F389" s="9"/>
      <c r="G389" s="10"/>
      <c r="H389" s="10"/>
      <c r="I389" s="11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7"/>
      <c r="B390" s="7"/>
      <c r="C390" s="5"/>
      <c r="D390" s="8"/>
      <c r="E390" s="9"/>
      <c r="F390" s="9"/>
      <c r="G390" s="10"/>
      <c r="H390" s="10"/>
      <c r="I390" s="11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7"/>
      <c r="B391" s="7"/>
      <c r="C391" s="5"/>
      <c r="D391" s="8"/>
      <c r="E391" s="9"/>
      <c r="F391" s="9"/>
      <c r="G391" s="10"/>
      <c r="H391" s="10"/>
      <c r="I391" s="11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7"/>
      <c r="B392" s="7"/>
      <c r="C392" s="5"/>
      <c r="D392" s="8"/>
      <c r="E392" s="9"/>
      <c r="F392" s="9"/>
      <c r="G392" s="10"/>
      <c r="H392" s="10"/>
      <c r="I392" s="11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7"/>
      <c r="B393" s="7"/>
      <c r="C393" s="5"/>
      <c r="D393" s="8"/>
      <c r="E393" s="9"/>
      <c r="F393" s="9"/>
      <c r="G393" s="10"/>
      <c r="H393" s="10"/>
      <c r="I393" s="11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7"/>
      <c r="B394" s="7"/>
      <c r="C394" s="5"/>
      <c r="D394" s="8"/>
      <c r="E394" s="9"/>
      <c r="F394" s="9"/>
      <c r="G394" s="10"/>
      <c r="H394" s="10"/>
      <c r="I394" s="11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7"/>
      <c r="B395" s="7"/>
      <c r="C395" s="5"/>
      <c r="D395" s="8"/>
      <c r="E395" s="9"/>
      <c r="F395" s="9"/>
      <c r="G395" s="10"/>
      <c r="H395" s="10"/>
      <c r="I395" s="11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7"/>
      <c r="B396" s="7"/>
      <c r="C396" s="5"/>
      <c r="D396" s="8"/>
      <c r="E396" s="9"/>
      <c r="F396" s="9"/>
      <c r="G396" s="10"/>
      <c r="H396" s="10"/>
      <c r="I396" s="11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7"/>
      <c r="B397" s="7"/>
      <c r="C397" s="5"/>
      <c r="D397" s="8"/>
      <c r="E397" s="9"/>
      <c r="F397" s="9"/>
      <c r="G397" s="10"/>
      <c r="H397" s="10"/>
      <c r="I397" s="11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7"/>
      <c r="B398" s="7"/>
      <c r="C398" s="5"/>
      <c r="D398" s="8"/>
      <c r="E398" s="9"/>
      <c r="F398" s="9"/>
      <c r="G398" s="10"/>
      <c r="H398" s="10"/>
      <c r="I398" s="11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7"/>
      <c r="B399" s="7"/>
      <c r="C399" s="5"/>
      <c r="D399" s="8"/>
      <c r="E399" s="9"/>
      <c r="F399" s="9"/>
      <c r="G399" s="10"/>
      <c r="H399" s="10"/>
      <c r="I399" s="11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7"/>
      <c r="B400" s="7"/>
      <c r="C400" s="5"/>
      <c r="D400" s="8"/>
      <c r="E400" s="9"/>
      <c r="F400" s="9"/>
      <c r="G400" s="10"/>
      <c r="H400" s="10"/>
      <c r="I400" s="11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7"/>
      <c r="B401" s="7"/>
      <c r="C401" s="5"/>
      <c r="D401" s="8"/>
      <c r="E401" s="9"/>
      <c r="F401" s="9"/>
      <c r="G401" s="10"/>
      <c r="H401" s="10"/>
      <c r="I401" s="11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7"/>
      <c r="B402" s="7"/>
      <c r="C402" s="5"/>
      <c r="D402" s="8"/>
      <c r="E402" s="9"/>
      <c r="F402" s="9"/>
      <c r="G402" s="10"/>
      <c r="H402" s="10"/>
      <c r="I402" s="11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7"/>
      <c r="B403" s="7"/>
      <c r="C403" s="5"/>
      <c r="D403" s="8"/>
      <c r="E403" s="9"/>
      <c r="F403" s="9"/>
      <c r="G403" s="10"/>
      <c r="H403" s="10"/>
      <c r="I403" s="11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7"/>
      <c r="B404" s="7"/>
      <c r="C404" s="5"/>
      <c r="D404" s="8"/>
      <c r="E404" s="9"/>
      <c r="F404" s="9"/>
      <c r="G404" s="10"/>
      <c r="H404" s="10"/>
      <c r="I404" s="11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7"/>
      <c r="B405" s="7"/>
      <c r="C405" s="5"/>
      <c r="D405" s="8"/>
      <c r="E405" s="9"/>
      <c r="F405" s="9"/>
      <c r="G405" s="10"/>
      <c r="H405" s="10"/>
      <c r="I405" s="11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7"/>
      <c r="B406" s="7"/>
      <c r="C406" s="5"/>
      <c r="D406" s="8"/>
      <c r="E406" s="9"/>
      <c r="F406" s="9"/>
      <c r="G406" s="10"/>
      <c r="H406" s="10"/>
      <c r="I406" s="11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7"/>
      <c r="B407" s="7"/>
      <c r="C407" s="5"/>
      <c r="D407" s="8"/>
      <c r="E407" s="9"/>
      <c r="F407" s="9"/>
      <c r="G407" s="10"/>
      <c r="H407" s="10"/>
      <c r="I407" s="11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7"/>
      <c r="B408" s="7"/>
      <c r="C408" s="5"/>
      <c r="D408" s="8"/>
      <c r="E408" s="9"/>
      <c r="F408" s="9"/>
      <c r="G408" s="10"/>
      <c r="H408" s="10"/>
      <c r="I408" s="11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7"/>
      <c r="B409" s="7"/>
      <c r="C409" s="5"/>
      <c r="D409" s="8"/>
      <c r="E409" s="9"/>
      <c r="F409" s="9"/>
      <c r="G409" s="10"/>
      <c r="H409" s="10"/>
      <c r="I409" s="11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7"/>
      <c r="B410" s="7"/>
      <c r="C410" s="5"/>
      <c r="D410" s="8"/>
      <c r="E410" s="9"/>
      <c r="F410" s="9"/>
      <c r="G410" s="10"/>
      <c r="H410" s="10"/>
      <c r="I410" s="11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7"/>
      <c r="B411" s="7"/>
      <c r="C411" s="5"/>
      <c r="D411" s="8"/>
      <c r="E411" s="9"/>
      <c r="F411" s="9"/>
      <c r="G411" s="10"/>
      <c r="H411" s="10"/>
      <c r="I411" s="11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7"/>
      <c r="B412" s="7"/>
      <c r="C412" s="5"/>
      <c r="D412" s="8"/>
      <c r="E412" s="9"/>
      <c r="F412" s="9"/>
      <c r="G412" s="10"/>
      <c r="H412" s="10"/>
      <c r="I412" s="11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7"/>
      <c r="B413" s="7"/>
      <c r="C413" s="5"/>
      <c r="D413" s="8"/>
      <c r="E413" s="9"/>
      <c r="F413" s="9"/>
      <c r="G413" s="10"/>
      <c r="H413" s="10"/>
      <c r="I413" s="11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7"/>
      <c r="B414" s="7"/>
      <c r="C414" s="5"/>
      <c r="D414" s="8"/>
      <c r="E414" s="9"/>
      <c r="F414" s="9"/>
      <c r="G414" s="10"/>
      <c r="H414" s="10"/>
      <c r="I414" s="11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7"/>
      <c r="B415" s="7"/>
      <c r="C415" s="5"/>
      <c r="D415" s="8"/>
      <c r="E415" s="9"/>
      <c r="F415" s="9"/>
      <c r="G415" s="10"/>
      <c r="H415" s="10"/>
      <c r="I415" s="11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7"/>
      <c r="B416" s="7"/>
      <c r="C416" s="5"/>
      <c r="D416" s="8"/>
      <c r="E416" s="9"/>
      <c r="F416" s="9"/>
      <c r="G416" s="10"/>
      <c r="H416" s="10"/>
      <c r="I416" s="11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7"/>
      <c r="B417" s="7"/>
      <c r="C417" s="5"/>
      <c r="D417" s="8"/>
      <c r="E417" s="9"/>
      <c r="F417" s="9"/>
      <c r="G417" s="10"/>
      <c r="H417" s="10"/>
      <c r="I417" s="11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7"/>
      <c r="B418" s="7"/>
      <c r="C418" s="5"/>
      <c r="D418" s="8"/>
      <c r="E418" s="9"/>
      <c r="F418" s="9"/>
      <c r="G418" s="10"/>
      <c r="H418" s="10"/>
      <c r="I418" s="11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7"/>
      <c r="B419" s="7"/>
      <c r="C419" s="5"/>
      <c r="D419" s="8"/>
      <c r="E419" s="9"/>
      <c r="F419" s="9"/>
      <c r="G419" s="10"/>
      <c r="H419" s="10"/>
      <c r="I419" s="11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7"/>
      <c r="B420" s="7"/>
      <c r="C420" s="5"/>
      <c r="D420" s="8"/>
      <c r="E420" s="9"/>
      <c r="F420" s="9"/>
      <c r="G420" s="10"/>
      <c r="H420" s="10"/>
      <c r="I420" s="11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7"/>
      <c r="B421" s="7"/>
      <c r="C421" s="5"/>
      <c r="D421" s="8"/>
      <c r="E421" s="9"/>
      <c r="F421" s="9"/>
      <c r="G421" s="10"/>
      <c r="H421" s="10"/>
      <c r="I421" s="11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7"/>
      <c r="B422" s="7"/>
      <c r="C422" s="5"/>
      <c r="D422" s="8"/>
      <c r="E422" s="9"/>
      <c r="F422" s="9"/>
      <c r="G422" s="10"/>
      <c r="H422" s="10"/>
      <c r="I422" s="11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7"/>
      <c r="B423" s="7"/>
      <c r="C423" s="5"/>
      <c r="D423" s="8"/>
      <c r="E423" s="9"/>
      <c r="F423" s="9"/>
      <c r="G423" s="10"/>
      <c r="H423" s="10"/>
      <c r="I423" s="11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7"/>
      <c r="B424" s="7"/>
      <c r="C424" s="5"/>
      <c r="D424" s="8"/>
      <c r="E424" s="9"/>
      <c r="F424" s="9"/>
      <c r="G424" s="10"/>
      <c r="H424" s="10"/>
      <c r="I424" s="11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7"/>
      <c r="B425" s="7"/>
      <c r="C425" s="5"/>
      <c r="D425" s="8"/>
      <c r="E425" s="9"/>
      <c r="F425" s="9"/>
      <c r="G425" s="10"/>
      <c r="H425" s="10"/>
      <c r="I425" s="11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7"/>
      <c r="B426" s="7"/>
      <c r="C426" s="5"/>
      <c r="D426" s="8"/>
      <c r="E426" s="9"/>
      <c r="F426" s="9"/>
      <c r="G426" s="10"/>
      <c r="H426" s="10"/>
      <c r="I426" s="11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7"/>
      <c r="B427" s="7"/>
      <c r="C427" s="5"/>
      <c r="D427" s="8"/>
      <c r="E427" s="9"/>
      <c r="F427" s="9"/>
      <c r="G427" s="10"/>
      <c r="H427" s="10"/>
      <c r="I427" s="11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7"/>
      <c r="B428" s="7"/>
      <c r="C428" s="5"/>
      <c r="D428" s="8"/>
      <c r="E428" s="9"/>
      <c r="F428" s="9"/>
      <c r="G428" s="10"/>
      <c r="H428" s="10"/>
      <c r="I428" s="11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7"/>
      <c r="B429" s="7"/>
      <c r="C429" s="5"/>
      <c r="D429" s="8"/>
      <c r="E429" s="9"/>
      <c r="F429" s="9"/>
      <c r="G429" s="10"/>
      <c r="H429" s="10"/>
      <c r="I429" s="11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7"/>
      <c r="B430" s="7"/>
      <c r="C430" s="5"/>
      <c r="D430" s="8"/>
      <c r="E430" s="9"/>
      <c r="F430" s="9"/>
      <c r="G430" s="10"/>
      <c r="H430" s="10"/>
      <c r="I430" s="11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7"/>
      <c r="B431" s="7"/>
      <c r="C431" s="5"/>
      <c r="D431" s="8"/>
      <c r="E431" s="9"/>
      <c r="F431" s="9"/>
      <c r="G431" s="10"/>
      <c r="H431" s="10"/>
      <c r="I431" s="11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7"/>
      <c r="B432" s="7"/>
      <c r="C432" s="5"/>
      <c r="D432" s="8"/>
      <c r="E432" s="9"/>
      <c r="F432" s="9"/>
      <c r="G432" s="10"/>
      <c r="H432" s="10"/>
      <c r="I432" s="11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7"/>
      <c r="B433" s="7"/>
      <c r="C433" s="5"/>
      <c r="D433" s="8"/>
      <c r="E433" s="9"/>
      <c r="F433" s="9"/>
      <c r="G433" s="10"/>
      <c r="H433" s="10"/>
      <c r="I433" s="11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7"/>
      <c r="B434" s="7"/>
      <c r="C434" s="5"/>
      <c r="D434" s="8"/>
      <c r="E434" s="9"/>
      <c r="F434" s="9"/>
      <c r="G434" s="10"/>
      <c r="H434" s="10"/>
      <c r="I434" s="11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7"/>
      <c r="B435" s="7"/>
      <c r="C435" s="5"/>
      <c r="D435" s="8"/>
      <c r="E435" s="9"/>
      <c r="F435" s="9"/>
      <c r="G435" s="10"/>
      <c r="H435" s="10"/>
      <c r="I435" s="11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7"/>
      <c r="B436" s="7"/>
      <c r="C436" s="5"/>
      <c r="D436" s="8"/>
      <c r="E436" s="9"/>
      <c r="F436" s="9"/>
      <c r="G436" s="10"/>
      <c r="H436" s="10"/>
      <c r="I436" s="11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7"/>
      <c r="B437" s="7"/>
      <c r="C437" s="5"/>
      <c r="D437" s="8"/>
      <c r="E437" s="9"/>
      <c r="F437" s="9"/>
      <c r="G437" s="10"/>
      <c r="H437" s="10"/>
      <c r="I437" s="11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7"/>
      <c r="B438" s="7"/>
      <c r="C438" s="5"/>
      <c r="D438" s="8"/>
      <c r="E438" s="9"/>
      <c r="F438" s="9"/>
      <c r="G438" s="10"/>
      <c r="H438" s="10"/>
      <c r="I438" s="11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7"/>
      <c r="B439" s="7"/>
      <c r="C439" s="5"/>
      <c r="D439" s="8"/>
      <c r="E439" s="9"/>
      <c r="F439" s="9"/>
      <c r="G439" s="10"/>
      <c r="H439" s="10"/>
      <c r="I439" s="11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7"/>
      <c r="B440" s="7"/>
      <c r="C440" s="5"/>
      <c r="D440" s="8"/>
      <c r="E440" s="9"/>
      <c r="F440" s="9"/>
      <c r="G440" s="10"/>
      <c r="H440" s="10"/>
      <c r="I440" s="11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7"/>
      <c r="B441" s="7"/>
      <c r="C441" s="5"/>
      <c r="D441" s="8"/>
      <c r="E441" s="9"/>
      <c r="F441" s="9"/>
      <c r="G441" s="10"/>
      <c r="H441" s="10"/>
      <c r="I441" s="11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7"/>
      <c r="B442" s="7"/>
      <c r="C442" s="5"/>
      <c r="D442" s="8"/>
      <c r="E442" s="9"/>
      <c r="F442" s="9"/>
      <c r="G442" s="10"/>
      <c r="H442" s="10"/>
      <c r="I442" s="11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7"/>
      <c r="B443" s="7"/>
      <c r="C443" s="5"/>
      <c r="D443" s="8"/>
      <c r="E443" s="9"/>
      <c r="F443" s="9"/>
      <c r="G443" s="10"/>
      <c r="H443" s="10"/>
      <c r="I443" s="11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7"/>
      <c r="B444" s="7"/>
      <c r="C444" s="5"/>
      <c r="D444" s="8"/>
      <c r="E444" s="9"/>
      <c r="F444" s="9"/>
      <c r="G444" s="10"/>
      <c r="H444" s="10"/>
      <c r="I444" s="11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7"/>
      <c r="B445" s="7"/>
      <c r="C445" s="5"/>
      <c r="D445" s="8"/>
      <c r="E445" s="9"/>
      <c r="F445" s="9"/>
      <c r="G445" s="10"/>
      <c r="H445" s="10"/>
      <c r="I445" s="11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7"/>
      <c r="B446" s="7"/>
      <c r="C446" s="5"/>
      <c r="D446" s="8"/>
      <c r="E446" s="9"/>
      <c r="F446" s="9"/>
      <c r="G446" s="10"/>
      <c r="H446" s="10"/>
      <c r="I446" s="11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7"/>
      <c r="B447" s="7"/>
      <c r="C447" s="5"/>
      <c r="D447" s="8"/>
      <c r="E447" s="9"/>
      <c r="F447" s="9"/>
      <c r="G447" s="10"/>
      <c r="H447" s="10"/>
      <c r="I447" s="11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7"/>
      <c r="B448" s="7"/>
      <c r="C448" s="5"/>
      <c r="D448" s="8"/>
      <c r="E448" s="9"/>
      <c r="F448" s="9"/>
      <c r="G448" s="10"/>
      <c r="H448" s="10"/>
      <c r="I448" s="11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7"/>
      <c r="B449" s="7"/>
      <c r="C449" s="5"/>
      <c r="D449" s="8"/>
      <c r="E449" s="9"/>
      <c r="F449" s="9"/>
      <c r="G449" s="10"/>
      <c r="H449" s="10"/>
      <c r="I449" s="11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7"/>
      <c r="B450" s="7"/>
      <c r="C450" s="5"/>
      <c r="D450" s="8"/>
      <c r="E450" s="9"/>
      <c r="F450" s="9"/>
      <c r="G450" s="10"/>
      <c r="H450" s="10"/>
      <c r="I450" s="11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7"/>
      <c r="B451" s="7"/>
      <c r="C451" s="5"/>
      <c r="D451" s="8"/>
      <c r="E451" s="9"/>
      <c r="F451" s="9"/>
      <c r="G451" s="10"/>
      <c r="H451" s="10"/>
      <c r="I451" s="11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7"/>
      <c r="B452" s="7"/>
      <c r="C452" s="5"/>
      <c r="D452" s="8"/>
      <c r="E452" s="9"/>
      <c r="F452" s="9"/>
      <c r="G452" s="10"/>
      <c r="H452" s="10"/>
      <c r="I452" s="11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7"/>
      <c r="B453" s="7"/>
      <c r="C453" s="5"/>
      <c r="D453" s="8"/>
      <c r="E453" s="9"/>
      <c r="F453" s="9"/>
      <c r="G453" s="10"/>
      <c r="H453" s="10"/>
      <c r="I453" s="11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7"/>
      <c r="B454" s="7"/>
      <c r="C454" s="5"/>
      <c r="D454" s="8"/>
      <c r="E454" s="9"/>
      <c r="F454" s="9"/>
      <c r="G454" s="10"/>
      <c r="H454" s="10"/>
      <c r="I454" s="11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7"/>
      <c r="B455" s="7"/>
      <c r="C455" s="5"/>
      <c r="D455" s="8"/>
      <c r="E455" s="9"/>
      <c r="F455" s="9"/>
      <c r="G455" s="10"/>
      <c r="H455" s="10"/>
      <c r="I455" s="11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7"/>
      <c r="B456" s="7"/>
      <c r="C456" s="5"/>
      <c r="D456" s="8"/>
      <c r="E456" s="9"/>
      <c r="F456" s="9"/>
      <c r="G456" s="10"/>
      <c r="H456" s="10"/>
      <c r="I456" s="11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7"/>
      <c r="B457" s="7"/>
      <c r="C457" s="5"/>
      <c r="D457" s="8"/>
      <c r="E457" s="9"/>
      <c r="F457" s="9"/>
      <c r="G457" s="10"/>
      <c r="H457" s="10"/>
      <c r="I457" s="11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7"/>
      <c r="B458" s="7"/>
      <c r="C458" s="5"/>
      <c r="D458" s="8"/>
      <c r="E458" s="9"/>
      <c r="F458" s="9"/>
      <c r="G458" s="10"/>
      <c r="H458" s="10"/>
      <c r="I458" s="11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7"/>
      <c r="B459" s="7"/>
      <c r="C459" s="5"/>
      <c r="D459" s="8"/>
      <c r="E459" s="9"/>
      <c r="F459" s="9"/>
      <c r="G459" s="10"/>
      <c r="H459" s="10"/>
      <c r="I459" s="11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7"/>
      <c r="B460" s="7"/>
      <c r="C460" s="5"/>
      <c r="D460" s="8"/>
      <c r="E460" s="9"/>
      <c r="F460" s="9"/>
      <c r="G460" s="10"/>
      <c r="H460" s="10"/>
      <c r="I460" s="11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7"/>
      <c r="B461" s="7"/>
      <c r="C461" s="5"/>
      <c r="D461" s="8"/>
      <c r="E461" s="9"/>
      <c r="F461" s="9"/>
      <c r="G461" s="10"/>
      <c r="H461" s="10"/>
      <c r="I461" s="11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7"/>
      <c r="B462" s="7"/>
      <c r="C462" s="5"/>
      <c r="D462" s="8"/>
      <c r="E462" s="9"/>
      <c r="F462" s="9"/>
      <c r="G462" s="10"/>
      <c r="H462" s="10"/>
      <c r="I462" s="11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7"/>
      <c r="B463" s="7"/>
      <c r="C463" s="5"/>
      <c r="D463" s="8"/>
      <c r="E463" s="9"/>
      <c r="F463" s="9"/>
      <c r="G463" s="10"/>
      <c r="H463" s="10"/>
      <c r="I463" s="11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7"/>
      <c r="B464" s="7"/>
      <c r="C464" s="5"/>
      <c r="D464" s="8"/>
      <c r="E464" s="9"/>
      <c r="F464" s="9"/>
      <c r="G464" s="10"/>
      <c r="H464" s="10"/>
      <c r="I464" s="11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7"/>
      <c r="B465" s="7"/>
      <c r="C465" s="5"/>
      <c r="D465" s="8"/>
      <c r="E465" s="9"/>
      <c r="F465" s="9"/>
      <c r="G465" s="10"/>
      <c r="H465" s="10"/>
      <c r="I465" s="11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7"/>
      <c r="B466" s="7"/>
      <c r="C466" s="5"/>
      <c r="D466" s="8"/>
      <c r="E466" s="9"/>
      <c r="F466" s="9"/>
      <c r="G466" s="10"/>
      <c r="H466" s="10"/>
      <c r="I466" s="11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7"/>
      <c r="B467" s="7"/>
      <c r="C467" s="5"/>
      <c r="D467" s="8"/>
      <c r="E467" s="9"/>
      <c r="F467" s="9"/>
      <c r="G467" s="10"/>
      <c r="H467" s="10"/>
      <c r="I467" s="11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7"/>
      <c r="B468" s="7"/>
      <c r="C468" s="5"/>
      <c r="D468" s="8"/>
      <c r="E468" s="9"/>
      <c r="F468" s="9"/>
      <c r="G468" s="10"/>
      <c r="H468" s="10"/>
      <c r="I468" s="11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7"/>
      <c r="B469" s="7"/>
      <c r="C469" s="5"/>
      <c r="D469" s="8"/>
      <c r="E469" s="9"/>
      <c r="F469" s="9"/>
      <c r="G469" s="10"/>
      <c r="H469" s="10"/>
      <c r="I469" s="11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7"/>
      <c r="B470" s="7"/>
      <c r="C470" s="5"/>
      <c r="D470" s="8"/>
      <c r="E470" s="9"/>
      <c r="F470" s="9"/>
      <c r="G470" s="10"/>
      <c r="H470" s="10"/>
      <c r="I470" s="11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7"/>
      <c r="B471" s="7"/>
      <c r="C471" s="5"/>
      <c r="D471" s="8"/>
      <c r="E471" s="9"/>
      <c r="F471" s="9"/>
      <c r="G471" s="10"/>
      <c r="H471" s="10"/>
      <c r="I471" s="11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7"/>
      <c r="B472" s="7"/>
      <c r="C472" s="5"/>
      <c r="D472" s="8"/>
      <c r="E472" s="9"/>
      <c r="F472" s="9"/>
      <c r="G472" s="10"/>
      <c r="H472" s="10"/>
      <c r="I472" s="11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7"/>
      <c r="B473" s="7"/>
      <c r="C473" s="5"/>
      <c r="D473" s="8"/>
      <c r="E473" s="9"/>
      <c r="F473" s="9"/>
      <c r="G473" s="10"/>
      <c r="H473" s="10"/>
      <c r="I473" s="11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7"/>
      <c r="B474" s="7"/>
      <c r="C474" s="5"/>
      <c r="D474" s="8"/>
      <c r="E474" s="9"/>
      <c r="F474" s="9"/>
      <c r="G474" s="10"/>
      <c r="H474" s="10"/>
      <c r="I474" s="11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7"/>
      <c r="B475" s="7"/>
      <c r="C475" s="5"/>
      <c r="D475" s="8"/>
      <c r="E475" s="9"/>
      <c r="F475" s="9"/>
      <c r="G475" s="10"/>
      <c r="H475" s="10"/>
      <c r="I475" s="11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7"/>
      <c r="B476" s="7"/>
      <c r="C476" s="5"/>
      <c r="D476" s="8"/>
      <c r="E476" s="9"/>
      <c r="F476" s="9"/>
      <c r="G476" s="10"/>
      <c r="H476" s="10"/>
      <c r="I476" s="11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7"/>
      <c r="B477" s="7"/>
      <c r="C477" s="5"/>
      <c r="D477" s="8"/>
      <c r="E477" s="9"/>
      <c r="F477" s="9"/>
      <c r="G477" s="10"/>
      <c r="H477" s="10"/>
      <c r="I477" s="11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7"/>
      <c r="B478" s="7"/>
      <c r="C478" s="5"/>
      <c r="D478" s="8"/>
      <c r="E478" s="9"/>
      <c r="F478" s="9"/>
      <c r="G478" s="10"/>
      <c r="H478" s="10"/>
      <c r="I478" s="11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7"/>
      <c r="B479" s="7"/>
      <c r="C479" s="5"/>
      <c r="D479" s="8"/>
      <c r="E479" s="9"/>
      <c r="F479" s="9"/>
      <c r="G479" s="10"/>
      <c r="H479" s="10"/>
      <c r="I479" s="11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7"/>
      <c r="B480" s="7"/>
      <c r="C480" s="5"/>
      <c r="D480" s="8"/>
      <c r="E480" s="9"/>
      <c r="F480" s="9"/>
      <c r="G480" s="10"/>
      <c r="H480" s="10"/>
      <c r="I480" s="11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7"/>
      <c r="B481" s="7"/>
      <c r="C481" s="5"/>
      <c r="D481" s="8"/>
      <c r="E481" s="9"/>
      <c r="F481" s="9"/>
      <c r="G481" s="10"/>
      <c r="H481" s="10"/>
      <c r="I481" s="11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7"/>
      <c r="B482" s="7"/>
      <c r="C482" s="5"/>
      <c r="D482" s="8"/>
      <c r="E482" s="9"/>
      <c r="F482" s="9"/>
      <c r="G482" s="10"/>
      <c r="H482" s="10"/>
      <c r="I482" s="11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7"/>
      <c r="B483" s="7"/>
      <c r="C483" s="5"/>
      <c r="D483" s="8"/>
      <c r="E483" s="9"/>
      <c r="F483" s="9"/>
      <c r="G483" s="10"/>
      <c r="H483" s="10"/>
      <c r="I483" s="11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7"/>
      <c r="B484" s="7"/>
      <c r="C484" s="5"/>
      <c r="D484" s="8"/>
      <c r="E484" s="9"/>
      <c r="F484" s="9"/>
      <c r="G484" s="10"/>
      <c r="H484" s="10"/>
      <c r="I484" s="11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7"/>
      <c r="B485" s="7"/>
      <c r="C485" s="5"/>
      <c r="D485" s="8"/>
      <c r="E485" s="9"/>
      <c r="F485" s="9"/>
      <c r="G485" s="10"/>
      <c r="H485" s="10"/>
      <c r="I485" s="11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7"/>
      <c r="B486" s="7"/>
      <c r="C486" s="5"/>
      <c r="D486" s="8"/>
      <c r="E486" s="9"/>
      <c r="F486" s="9"/>
      <c r="G486" s="10"/>
      <c r="H486" s="10"/>
      <c r="I486" s="11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7"/>
      <c r="B487" s="7"/>
      <c r="C487" s="5"/>
      <c r="D487" s="8"/>
      <c r="E487" s="9"/>
      <c r="F487" s="9"/>
      <c r="G487" s="10"/>
      <c r="H487" s="10"/>
      <c r="I487" s="11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7"/>
      <c r="B488" s="7"/>
      <c r="C488" s="5"/>
      <c r="D488" s="8"/>
      <c r="E488" s="9"/>
      <c r="F488" s="9"/>
      <c r="G488" s="10"/>
      <c r="H488" s="10"/>
      <c r="I488" s="11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7"/>
      <c r="B489" s="7"/>
      <c r="C489" s="5"/>
      <c r="D489" s="8"/>
      <c r="E489" s="9"/>
      <c r="F489" s="9"/>
      <c r="G489" s="10"/>
      <c r="H489" s="10"/>
      <c r="I489" s="11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7"/>
      <c r="B490" s="7"/>
      <c r="C490" s="5"/>
      <c r="D490" s="8"/>
      <c r="E490" s="9"/>
      <c r="F490" s="9"/>
      <c r="G490" s="10"/>
      <c r="H490" s="10"/>
      <c r="I490" s="11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7"/>
      <c r="B491" s="7"/>
      <c r="C491" s="5"/>
      <c r="D491" s="8"/>
      <c r="E491" s="9"/>
      <c r="F491" s="9"/>
      <c r="G491" s="10"/>
      <c r="H491" s="10"/>
      <c r="I491" s="11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7"/>
      <c r="B492" s="7"/>
      <c r="C492" s="5"/>
      <c r="D492" s="8"/>
      <c r="E492" s="9"/>
      <c r="F492" s="9"/>
      <c r="G492" s="10"/>
      <c r="H492" s="10"/>
      <c r="I492" s="11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7"/>
      <c r="B493" s="7"/>
      <c r="C493" s="5"/>
      <c r="D493" s="8"/>
      <c r="E493" s="9"/>
      <c r="F493" s="9"/>
      <c r="G493" s="10"/>
      <c r="H493" s="10"/>
      <c r="I493" s="11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7"/>
      <c r="B494" s="7"/>
      <c r="C494" s="5"/>
      <c r="D494" s="8"/>
      <c r="E494" s="9"/>
      <c r="F494" s="9"/>
      <c r="G494" s="10"/>
      <c r="H494" s="10"/>
      <c r="I494" s="11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7"/>
      <c r="B495" s="7"/>
      <c r="C495" s="5"/>
      <c r="D495" s="8"/>
      <c r="E495" s="9"/>
      <c r="F495" s="9"/>
      <c r="G495" s="10"/>
      <c r="H495" s="10"/>
      <c r="I495" s="11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7"/>
      <c r="B496" s="7"/>
      <c r="C496" s="5"/>
      <c r="D496" s="8"/>
      <c r="E496" s="9"/>
      <c r="F496" s="9"/>
      <c r="G496" s="10"/>
      <c r="H496" s="10"/>
      <c r="I496" s="11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7"/>
      <c r="B497" s="7"/>
      <c r="C497" s="5"/>
      <c r="D497" s="8"/>
      <c r="E497" s="9"/>
      <c r="F497" s="9"/>
      <c r="G497" s="10"/>
      <c r="H497" s="10"/>
      <c r="I497" s="11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7"/>
      <c r="B498" s="7"/>
      <c r="C498" s="5"/>
      <c r="D498" s="8"/>
      <c r="E498" s="9"/>
      <c r="F498" s="9"/>
      <c r="G498" s="10"/>
      <c r="H498" s="10"/>
      <c r="I498" s="11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7"/>
      <c r="B499" s="7"/>
      <c r="C499" s="5"/>
      <c r="D499" s="8"/>
      <c r="E499" s="9"/>
      <c r="F499" s="9"/>
      <c r="G499" s="10"/>
      <c r="H499" s="10"/>
      <c r="I499" s="11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7"/>
      <c r="B500" s="7"/>
      <c r="C500" s="5"/>
      <c r="D500" s="8"/>
      <c r="E500" s="9"/>
      <c r="F500" s="9"/>
      <c r="G500" s="10"/>
      <c r="H500" s="10"/>
      <c r="I500" s="11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7"/>
      <c r="B501" s="7"/>
      <c r="C501" s="5"/>
      <c r="D501" s="8"/>
      <c r="E501" s="9"/>
      <c r="F501" s="9"/>
      <c r="G501" s="10"/>
      <c r="H501" s="10"/>
      <c r="I501" s="11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7"/>
      <c r="B502" s="7"/>
      <c r="C502" s="5"/>
      <c r="D502" s="8"/>
      <c r="E502" s="9"/>
      <c r="F502" s="9"/>
      <c r="G502" s="10"/>
      <c r="H502" s="10"/>
      <c r="I502" s="11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7"/>
      <c r="B503" s="7"/>
      <c r="C503" s="5"/>
      <c r="D503" s="8"/>
      <c r="E503" s="9"/>
      <c r="F503" s="9"/>
      <c r="G503" s="10"/>
      <c r="H503" s="10"/>
      <c r="I503" s="11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7"/>
      <c r="B504" s="7"/>
      <c r="C504" s="5"/>
      <c r="D504" s="8"/>
      <c r="E504" s="9"/>
      <c r="F504" s="9"/>
      <c r="G504" s="10"/>
      <c r="H504" s="10"/>
      <c r="I504" s="11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7"/>
      <c r="B505" s="7"/>
      <c r="C505" s="5"/>
      <c r="D505" s="8"/>
      <c r="E505" s="9"/>
      <c r="F505" s="9"/>
      <c r="G505" s="10"/>
      <c r="H505" s="10"/>
      <c r="I505" s="11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7"/>
      <c r="B506" s="7"/>
      <c r="C506" s="5"/>
      <c r="D506" s="8"/>
      <c r="E506" s="9"/>
      <c r="F506" s="9"/>
      <c r="G506" s="10"/>
      <c r="H506" s="10"/>
      <c r="I506" s="11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7"/>
      <c r="B507" s="7"/>
      <c r="C507" s="5"/>
      <c r="D507" s="8"/>
      <c r="E507" s="9"/>
      <c r="F507" s="9"/>
      <c r="G507" s="10"/>
      <c r="H507" s="10"/>
      <c r="I507" s="11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7"/>
      <c r="B508" s="7"/>
      <c r="C508" s="5"/>
      <c r="D508" s="8"/>
      <c r="E508" s="9"/>
      <c r="F508" s="9"/>
      <c r="G508" s="10"/>
      <c r="H508" s="10"/>
      <c r="I508" s="11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7"/>
      <c r="B509" s="7"/>
      <c r="C509" s="5"/>
      <c r="D509" s="8"/>
      <c r="E509" s="9"/>
      <c r="F509" s="9"/>
      <c r="G509" s="10"/>
      <c r="H509" s="10"/>
      <c r="I509" s="11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7"/>
      <c r="B510" s="7"/>
      <c r="C510" s="5"/>
      <c r="D510" s="8"/>
      <c r="E510" s="9"/>
      <c r="F510" s="9"/>
      <c r="G510" s="10"/>
      <c r="H510" s="10"/>
      <c r="I510" s="11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7"/>
      <c r="B511" s="7"/>
      <c r="C511" s="5"/>
      <c r="D511" s="8"/>
      <c r="E511" s="9"/>
      <c r="F511" s="9"/>
      <c r="G511" s="10"/>
      <c r="H511" s="10"/>
      <c r="I511" s="11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7"/>
      <c r="B512" s="7"/>
      <c r="C512" s="5"/>
      <c r="D512" s="8"/>
      <c r="E512" s="9"/>
      <c r="F512" s="9"/>
      <c r="G512" s="10"/>
      <c r="H512" s="10"/>
      <c r="I512" s="11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7"/>
      <c r="B513" s="7"/>
      <c r="C513" s="5"/>
      <c r="D513" s="8"/>
      <c r="E513" s="9"/>
      <c r="F513" s="9"/>
      <c r="G513" s="10"/>
      <c r="H513" s="10"/>
      <c r="I513" s="11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7"/>
      <c r="B514" s="7"/>
      <c r="C514" s="5"/>
      <c r="D514" s="8"/>
      <c r="E514" s="9"/>
      <c r="F514" s="9"/>
      <c r="G514" s="10"/>
      <c r="H514" s="10"/>
      <c r="I514" s="11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7"/>
      <c r="B515" s="7"/>
      <c r="C515" s="5"/>
      <c r="D515" s="8"/>
      <c r="E515" s="9"/>
      <c r="F515" s="9"/>
      <c r="G515" s="10"/>
      <c r="H515" s="10"/>
      <c r="I515" s="11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7"/>
      <c r="B516" s="7"/>
      <c r="C516" s="5"/>
      <c r="D516" s="8"/>
      <c r="E516" s="9"/>
      <c r="F516" s="9"/>
      <c r="G516" s="10"/>
      <c r="H516" s="10"/>
      <c r="I516" s="11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7"/>
      <c r="B517" s="7"/>
      <c r="C517" s="5"/>
      <c r="D517" s="8"/>
      <c r="E517" s="9"/>
      <c r="F517" s="9"/>
      <c r="G517" s="10"/>
      <c r="H517" s="10"/>
      <c r="I517" s="11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7"/>
      <c r="B518" s="7"/>
      <c r="C518" s="5"/>
      <c r="D518" s="8"/>
      <c r="E518" s="9"/>
      <c r="F518" s="9"/>
      <c r="G518" s="10"/>
      <c r="H518" s="10"/>
      <c r="I518" s="11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7"/>
      <c r="B519" s="7"/>
      <c r="C519" s="5"/>
      <c r="D519" s="8"/>
      <c r="E519" s="9"/>
      <c r="F519" s="9"/>
      <c r="G519" s="10"/>
      <c r="H519" s="10"/>
      <c r="I519" s="11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7"/>
      <c r="B520" s="7"/>
      <c r="C520" s="5"/>
      <c r="D520" s="8"/>
      <c r="E520" s="9"/>
      <c r="F520" s="9"/>
      <c r="G520" s="10"/>
      <c r="H520" s="10"/>
      <c r="I520" s="11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7"/>
      <c r="B521" s="7"/>
      <c r="C521" s="5"/>
      <c r="D521" s="8"/>
      <c r="E521" s="9"/>
      <c r="F521" s="9"/>
      <c r="G521" s="10"/>
      <c r="H521" s="10"/>
      <c r="I521" s="11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7"/>
      <c r="B522" s="7"/>
      <c r="C522" s="5"/>
      <c r="D522" s="8"/>
      <c r="E522" s="9"/>
      <c r="F522" s="9"/>
      <c r="G522" s="10"/>
      <c r="H522" s="10"/>
      <c r="I522" s="11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7"/>
      <c r="B523" s="7"/>
      <c r="C523" s="5"/>
      <c r="D523" s="8"/>
      <c r="E523" s="9"/>
      <c r="F523" s="9"/>
      <c r="G523" s="10"/>
      <c r="H523" s="10"/>
      <c r="I523" s="11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7"/>
      <c r="B524" s="7"/>
      <c r="C524" s="5"/>
      <c r="D524" s="8"/>
      <c r="E524" s="9"/>
      <c r="F524" s="9"/>
      <c r="G524" s="10"/>
      <c r="H524" s="10"/>
      <c r="I524" s="11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7"/>
      <c r="B525" s="7"/>
      <c r="C525" s="5"/>
      <c r="D525" s="8"/>
      <c r="E525" s="9"/>
      <c r="F525" s="9"/>
      <c r="G525" s="10"/>
      <c r="H525" s="10"/>
      <c r="I525" s="11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7"/>
      <c r="B526" s="7"/>
      <c r="C526" s="5"/>
      <c r="D526" s="8"/>
      <c r="E526" s="9"/>
      <c r="F526" s="9"/>
      <c r="G526" s="10"/>
      <c r="H526" s="10"/>
      <c r="I526" s="11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7"/>
      <c r="B527" s="7"/>
      <c r="C527" s="5"/>
      <c r="D527" s="8"/>
      <c r="E527" s="9"/>
      <c r="F527" s="9"/>
      <c r="G527" s="10"/>
      <c r="H527" s="10"/>
      <c r="I527" s="11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7"/>
      <c r="B528" s="7"/>
      <c r="C528" s="5"/>
      <c r="D528" s="8"/>
      <c r="E528" s="9"/>
      <c r="F528" s="9"/>
      <c r="G528" s="10"/>
      <c r="H528" s="10"/>
      <c r="I528" s="11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7"/>
      <c r="B529" s="7"/>
      <c r="C529" s="5"/>
      <c r="D529" s="8"/>
      <c r="E529" s="9"/>
      <c r="F529" s="9"/>
      <c r="G529" s="10"/>
      <c r="H529" s="10"/>
      <c r="I529" s="11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7"/>
      <c r="B530" s="7"/>
      <c r="C530" s="5"/>
      <c r="D530" s="8"/>
      <c r="E530" s="9"/>
      <c r="F530" s="9"/>
      <c r="G530" s="10"/>
      <c r="H530" s="10"/>
      <c r="I530" s="11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7"/>
      <c r="B531" s="7"/>
      <c r="C531" s="5"/>
      <c r="D531" s="8"/>
      <c r="E531" s="9"/>
      <c r="F531" s="9"/>
      <c r="G531" s="10"/>
      <c r="H531" s="10"/>
      <c r="I531" s="11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7"/>
      <c r="B532" s="7"/>
      <c r="C532" s="5"/>
      <c r="D532" s="8"/>
      <c r="E532" s="9"/>
      <c r="F532" s="9"/>
      <c r="G532" s="10"/>
      <c r="H532" s="10"/>
      <c r="I532" s="11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7"/>
      <c r="B533" s="7"/>
      <c r="C533" s="5"/>
      <c r="D533" s="8"/>
      <c r="E533" s="9"/>
      <c r="F533" s="9"/>
      <c r="G533" s="10"/>
      <c r="H533" s="10"/>
      <c r="I533" s="11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7"/>
      <c r="B534" s="7"/>
      <c r="C534" s="5"/>
      <c r="D534" s="8"/>
      <c r="E534" s="9"/>
      <c r="F534" s="9"/>
      <c r="G534" s="10"/>
      <c r="H534" s="10"/>
      <c r="I534" s="11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7"/>
      <c r="B535" s="7"/>
      <c r="C535" s="5"/>
      <c r="D535" s="8"/>
      <c r="E535" s="9"/>
      <c r="F535" s="9"/>
      <c r="G535" s="10"/>
      <c r="H535" s="10"/>
      <c r="I535" s="11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7"/>
      <c r="B536" s="7"/>
      <c r="C536" s="5"/>
      <c r="D536" s="8"/>
      <c r="E536" s="9"/>
      <c r="F536" s="9"/>
      <c r="G536" s="10"/>
      <c r="H536" s="10"/>
      <c r="I536" s="11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7"/>
      <c r="B537" s="7"/>
      <c r="C537" s="5"/>
      <c r="D537" s="8"/>
      <c r="E537" s="9"/>
      <c r="F537" s="9"/>
      <c r="G537" s="10"/>
      <c r="H537" s="10"/>
      <c r="I537" s="11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7"/>
      <c r="B538" s="7"/>
      <c r="C538" s="5"/>
      <c r="D538" s="8"/>
      <c r="E538" s="9"/>
      <c r="F538" s="9"/>
      <c r="G538" s="10"/>
      <c r="H538" s="10"/>
      <c r="I538" s="11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7"/>
      <c r="B539" s="7"/>
      <c r="C539" s="5"/>
      <c r="D539" s="8"/>
      <c r="E539" s="9"/>
      <c r="F539" s="9"/>
      <c r="G539" s="10"/>
      <c r="H539" s="10"/>
      <c r="I539" s="11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7"/>
      <c r="B540" s="7"/>
      <c r="C540" s="5"/>
      <c r="D540" s="8"/>
      <c r="E540" s="9"/>
      <c r="F540" s="9"/>
      <c r="G540" s="10"/>
      <c r="H540" s="10"/>
      <c r="I540" s="11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7"/>
      <c r="B541" s="7"/>
      <c r="C541" s="5"/>
      <c r="D541" s="8"/>
      <c r="E541" s="9"/>
      <c r="F541" s="9"/>
      <c r="G541" s="10"/>
      <c r="H541" s="10"/>
      <c r="I541" s="11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7"/>
      <c r="B542" s="7"/>
      <c r="C542" s="5"/>
      <c r="D542" s="8"/>
      <c r="E542" s="9"/>
      <c r="F542" s="9"/>
      <c r="G542" s="10"/>
      <c r="H542" s="10"/>
      <c r="I542" s="11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7"/>
      <c r="B543" s="7"/>
      <c r="C543" s="5"/>
      <c r="D543" s="8"/>
      <c r="E543" s="9"/>
      <c r="F543" s="9"/>
      <c r="G543" s="10"/>
      <c r="H543" s="10"/>
      <c r="I543" s="11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7"/>
      <c r="B544" s="7"/>
      <c r="C544" s="5"/>
      <c r="D544" s="8"/>
      <c r="E544" s="9"/>
      <c r="F544" s="9"/>
      <c r="G544" s="10"/>
      <c r="H544" s="10"/>
      <c r="I544" s="11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7"/>
      <c r="B545" s="7"/>
      <c r="C545" s="5"/>
      <c r="D545" s="8"/>
      <c r="E545" s="9"/>
      <c r="F545" s="9"/>
      <c r="G545" s="10"/>
      <c r="H545" s="10"/>
      <c r="I545" s="11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7"/>
      <c r="B546" s="7"/>
      <c r="C546" s="5"/>
      <c r="D546" s="8"/>
      <c r="E546" s="9"/>
      <c r="F546" s="9"/>
      <c r="G546" s="10"/>
      <c r="H546" s="10"/>
      <c r="I546" s="11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7"/>
      <c r="B547" s="7"/>
      <c r="C547" s="5"/>
      <c r="D547" s="8"/>
      <c r="E547" s="9"/>
      <c r="F547" s="9"/>
      <c r="G547" s="10"/>
      <c r="H547" s="10"/>
      <c r="I547" s="11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7"/>
      <c r="B548" s="7"/>
      <c r="C548" s="5"/>
      <c r="D548" s="8"/>
      <c r="E548" s="9"/>
      <c r="F548" s="9"/>
      <c r="G548" s="10"/>
      <c r="H548" s="10"/>
      <c r="I548" s="11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7"/>
      <c r="B549" s="7"/>
      <c r="C549" s="5"/>
      <c r="D549" s="8"/>
      <c r="E549" s="9"/>
      <c r="F549" s="9"/>
      <c r="G549" s="10"/>
      <c r="H549" s="10"/>
      <c r="I549" s="11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7"/>
      <c r="B550" s="7"/>
      <c r="C550" s="5"/>
      <c r="D550" s="8"/>
      <c r="E550" s="9"/>
      <c r="F550" s="9"/>
      <c r="G550" s="10"/>
      <c r="H550" s="10"/>
      <c r="I550" s="11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7"/>
      <c r="B551" s="7"/>
      <c r="C551" s="5"/>
      <c r="D551" s="8"/>
      <c r="E551" s="9"/>
      <c r="F551" s="9"/>
      <c r="G551" s="10"/>
      <c r="H551" s="10"/>
      <c r="I551" s="11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7"/>
      <c r="B552" s="7"/>
      <c r="C552" s="5"/>
      <c r="D552" s="8"/>
      <c r="E552" s="9"/>
      <c r="F552" s="9"/>
      <c r="G552" s="10"/>
      <c r="H552" s="10"/>
      <c r="I552" s="11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7"/>
      <c r="B553" s="7"/>
      <c r="C553" s="5"/>
      <c r="D553" s="8"/>
      <c r="E553" s="9"/>
      <c r="F553" s="9"/>
      <c r="G553" s="10"/>
      <c r="H553" s="10"/>
      <c r="I553" s="11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7"/>
      <c r="B554" s="7"/>
      <c r="C554" s="5"/>
      <c r="D554" s="8"/>
      <c r="E554" s="9"/>
      <c r="F554" s="9"/>
      <c r="G554" s="10"/>
      <c r="H554" s="10"/>
      <c r="I554" s="11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7"/>
      <c r="B555" s="7"/>
      <c r="C555" s="5"/>
      <c r="D555" s="8"/>
      <c r="E555" s="9"/>
      <c r="F555" s="9"/>
      <c r="G555" s="10"/>
      <c r="H555" s="10"/>
      <c r="I555" s="11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7"/>
      <c r="B556" s="7"/>
      <c r="C556" s="5"/>
      <c r="D556" s="8"/>
      <c r="E556" s="9"/>
      <c r="F556" s="9"/>
      <c r="G556" s="10"/>
      <c r="H556" s="10"/>
      <c r="I556" s="11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7"/>
      <c r="B557" s="7"/>
      <c r="C557" s="5"/>
      <c r="D557" s="8"/>
      <c r="E557" s="9"/>
      <c r="F557" s="9"/>
      <c r="G557" s="10"/>
      <c r="H557" s="10"/>
      <c r="I557" s="11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7"/>
      <c r="B558" s="7"/>
      <c r="C558" s="5"/>
      <c r="D558" s="8"/>
      <c r="E558" s="9"/>
      <c r="F558" s="9"/>
      <c r="G558" s="10"/>
      <c r="H558" s="10"/>
      <c r="I558" s="11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7"/>
      <c r="B559" s="7"/>
      <c r="C559" s="5"/>
      <c r="D559" s="8"/>
      <c r="E559" s="9"/>
      <c r="F559" s="9"/>
      <c r="G559" s="10"/>
      <c r="H559" s="10"/>
      <c r="I559" s="11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7"/>
      <c r="B560" s="7"/>
      <c r="C560" s="5"/>
      <c r="D560" s="8"/>
      <c r="E560" s="9"/>
      <c r="F560" s="9"/>
      <c r="G560" s="10"/>
      <c r="H560" s="10"/>
      <c r="I560" s="11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7"/>
      <c r="B561" s="7"/>
      <c r="C561" s="5"/>
      <c r="D561" s="8"/>
      <c r="E561" s="9"/>
      <c r="F561" s="9"/>
      <c r="G561" s="10"/>
      <c r="H561" s="10"/>
      <c r="I561" s="11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7"/>
      <c r="B562" s="7"/>
      <c r="C562" s="5"/>
      <c r="D562" s="8"/>
      <c r="E562" s="9"/>
      <c r="F562" s="9"/>
      <c r="G562" s="10"/>
      <c r="H562" s="10"/>
      <c r="I562" s="11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7"/>
      <c r="B563" s="7"/>
      <c r="C563" s="5"/>
      <c r="D563" s="8"/>
      <c r="E563" s="9"/>
      <c r="F563" s="9"/>
      <c r="G563" s="10"/>
      <c r="H563" s="10"/>
      <c r="I563" s="11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7"/>
      <c r="B564" s="7"/>
      <c r="C564" s="5"/>
      <c r="D564" s="8"/>
      <c r="E564" s="9"/>
      <c r="F564" s="9"/>
      <c r="G564" s="10"/>
      <c r="H564" s="10"/>
      <c r="I564" s="11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7"/>
      <c r="B565" s="7"/>
      <c r="C565" s="5"/>
      <c r="D565" s="8"/>
      <c r="E565" s="9"/>
      <c r="F565" s="9"/>
      <c r="G565" s="10"/>
      <c r="H565" s="10"/>
      <c r="I565" s="11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7"/>
      <c r="B566" s="7"/>
      <c r="C566" s="5"/>
      <c r="D566" s="8"/>
      <c r="E566" s="9"/>
      <c r="F566" s="9"/>
      <c r="G566" s="10"/>
      <c r="H566" s="10"/>
      <c r="I566" s="11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7"/>
      <c r="B567" s="7"/>
      <c r="C567" s="5"/>
      <c r="D567" s="8"/>
      <c r="E567" s="9"/>
      <c r="F567" s="9"/>
      <c r="G567" s="10"/>
      <c r="H567" s="10"/>
      <c r="I567" s="11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7"/>
      <c r="B568" s="7"/>
      <c r="C568" s="5"/>
      <c r="D568" s="8"/>
      <c r="E568" s="9"/>
      <c r="F568" s="9"/>
      <c r="G568" s="10"/>
      <c r="H568" s="10"/>
      <c r="I568" s="11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7"/>
      <c r="B569" s="7"/>
      <c r="C569" s="5"/>
      <c r="D569" s="8"/>
      <c r="E569" s="9"/>
      <c r="F569" s="9"/>
      <c r="G569" s="10"/>
      <c r="H569" s="10"/>
      <c r="I569" s="11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7"/>
      <c r="B570" s="7"/>
      <c r="C570" s="5"/>
      <c r="D570" s="8"/>
      <c r="E570" s="9"/>
      <c r="F570" s="9"/>
      <c r="G570" s="10"/>
      <c r="H570" s="10"/>
      <c r="I570" s="11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7"/>
      <c r="B571" s="7"/>
      <c r="C571" s="5"/>
      <c r="D571" s="8"/>
      <c r="E571" s="9"/>
      <c r="F571" s="9"/>
      <c r="G571" s="10"/>
      <c r="H571" s="10"/>
      <c r="I571" s="11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7"/>
      <c r="B572" s="7"/>
      <c r="C572" s="5"/>
      <c r="D572" s="8"/>
      <c r="E572" s="9"/>
      <c r="F572" s="9"/>
      <c r="G572" s="10"/>
      <c r="H572" s="10"/>
      <c r="I572" s="11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7"/>
      <c r="B573" s="7"/>
      <c r="C573" s="5"/>
      <c r="D573" s="8"/>
      <c r="E573" s="9"/>
      <c r="F573" s="9"/>
      <c r="G573" s="10"/>
      <c r="H573" s="10"/>
      <c r="I573" s="11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7"/>
      <c r="B574" s="7"/>
      <c r="C574" s="5"/>
      <c r="D574" s="8"/>
      <c r="E574" s="9"/>
      <c r="F574" s="9"/>
      <c r="G574" s="10"/>
      <c r="H574" s="10"/>
      <c r="I574" s="11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7"/>
      <c r="B575" s="7"/>
      <c r="C575" s="5"/>
      <c r="D575" s="8"/>
      <c r="E575" s="9"/>
      <c r="F575" s="9"/>
      <c r="G575" s="10"/>
      <c r="H575" s="10"/>
      <c r="I575" s="11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7"/>
      <c r="B576" s="7"/>
      <c r="C576" s="5"/>
      <c r="D576" s="8"/>
      <c r="E576" s="9"/>
      <c r="F576" s="9"/>
      <c r="G576" s="10"/>
      <c r="H576" s="10"/>
      <c r="I576" s="11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7"/>
      <c r="B577" s="7"/>
      <c r="C577" s="5"/>
      <c r="D577" s="8"/>
      <c r="E577" s="9"/>
      <c r="F577" s="9"/>
      <c r="G577" s="10"/>
      <c r="H577" s="10"/>
      <c r="I577" s="11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7"/>
      <c r="B578" s="7"/>
      <c r="C578" s="5"/>
      <c r="D578" s="8"/>
      <c r="E578" s="9"/>
      <c r="F578" s="9"/>
      <c r="G578" s="10"/>
      <c r="H578" s="10"/>
      <c r="I578" s="11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7"/>
      <c r="B579" s="7"/>
      <c r="C579" s="5"/>
      <c r="D579" s="8"/>
      <c r="E579" s="9"/>
      <c r="F579" s="9"/>
      <c r="G579" s="10"/>
      <c r="H579" s="10"/>
      <c r="I579" s="11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7"/>
      <c r="B580" s="7"/>
      <c r="C580" s="5"/>
      <c r="D580" s="8"/>
      <c r="E580" s="9"/>
      <c r="F580" s="9"/>
      <c r="G580" s="10"/>
      <c r="H580" s="10"/>
      <c r="I580" s="11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7"/>
      <c r="B581" s="7"/>
      <c r="C581" s="5"/>
      <c r="D581" s="8"/>
      <c r="E581" s="9"/>
      <c r="F581" s="9"/>
      <c r="G581" s="10"/>
      <c r="H581" s="10"/>
      <c r="I581" s="11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7"/>
      <c r="B582" s="7"/>
      <c r="C582" s="5"/>
      <c r="D582" s="8"/>
      <c r="E582" s="9"/>
      <c r="F582" s="9"/>
      <c r="G582" s="10"/>
      <c r="H582" s="10"/>
      <c r="I582" s="11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7"/>
      <c r="B583" s="7"/>
      <c r="C583" s="5"/>
      <c r="D583" s="8"/>
      <c r="E583" s="9"/>
      <c r="F583" s="9"/>
      <c r="G583" s="10"/>
      <c r="H583" s="10"/>
      <c r="I583" s="11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7"/>
      <c r="B584" s="7"/>
      <c r="C584" s="5"/>
      <c r="D584" s="8"/>
      <c r="E584" s="9"/>
      <c r="F584" s="9"/>
      <c r="G584" s="10"/>
      <c r="H584" s="10"/>
      <c r="I584" s="11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7"/>
      <c r="B585" s="7"/>
      <c r="C585" s="5"/>
      <c r="D585" s="8"/>
      <c r="E585" s="9"/>
      <c r="F585" s="9"/>
      <c r="G585" s="10"/>
      <c r="H585" s="10"/>
      <c r="I585" s="11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7"/>
      <c r="B586" s="7"/>
      <c r="C586" s="5"/>
      <c r="D586" s="8"/>
      <c r="E586" s="9"/>
      <c r="F586" s="9"/>
      <c r="G586" s="10"/>
      <c r="H586" s="10"/>
      <c r="I586" s="11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7"/>
      <c r="B587" s="7"/>
      <c r="C587" s="5"/>
      <c r="D587" s="8"/>
      <c r="E587" s="9"/>
      <c r="F587" s="9"/>
      <c r="G587" s="10"/>
      <c r="H587" s="10"/>
      <c r="I587" s="11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7"/>
      <c r="B588" s="7"/>
      <c r="C588" s="5"/>
      <c r="D588" s="8"/>
      <c r="E588" s="9"/>
      <c r="F588" s="9"/>
      <c r="G588" s="10"/>
      <c r="H588" s="10"/>
      <c r="I588" s="11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7"/>
      <c r="B589" s="7"/>
      <c r="C589" s="5"/>
      <c r="D589" s="8"/>
      <c r="E589" s="9"/>
      <c r="F589" s="9"/>
      <c r="G589" s="10"/>
      <c r="H589" s="10"/>
      <c r="I589" s="11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7"/>
      <c r="B590" s="7"/>
      <c r="C590" s="5"/>
      <c r="D590" s="8"/>
      <c r="E590" s="9"/>
      <c r="F590" s="9"/>
      <c r="G590" s="10"/>
      <c r="H590" s="10"/>
      <c r="I590" s="11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7"/>
      <c r="B591" s="7"/>
      <c r="C591" s="5"/>
      <c r="D591" s="8"/>
      <c r="E591" s="9"/>
      <c r="F591" s="9"/>
      <c r="G591" s="10"/>
      <c r="H591" s="10"/>
      <c r="I591" s="11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7"/>
      <c r="B592" s="7"/>
      <c r="C592" s="5"/>
      <c r="D592" s="8"/>
      <c r="E592" s="9"/>
      <c r="F592" s="9"/>
      <c r="G592" s="10"/>
      <c r="H592" s="10"/>
      <c r="I592" s="11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7"/>
      <c r="B593" s="7"/>
      <c r="C593" s="5"/>
      <c r="D593" s="8"/>
      <c r="E593" s="9"/>
      <c r="F593" s="9"/>
      <c r="G593" s="10"/>
      <c r="H593" s="10"/>
      <c r="I593" s="11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7"/>
      <c r="B594" s="7"/>
      <c r="C594" s="5"/>
      <c r="D594" s="8"/>
      <c r="E594" s="9"/>
      <c r="F594" s="9"/>
      <c r="G594" s="10"/>
      <c r="H594" s="10"/>
      <c r="I594" s="11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7"/>
      <c r="B595" s="7"/>
      <c r="C595" s="5"/>
      <c r="D595" s="8"/>
      <c r="E595" s="9"/>
      <c r="F595" s="9"/>
      <c r="G595" s="10"/>
      <c r="H595" s="10"/>
      <c r="I595" s="11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7"/>
      <c r="B596" s="7"/>
      <c r="C596" s="5"/>
      <c r="D596" s="8"/>
      <c r="E596" s="9"/>
      <c r="F596" s="9"/>
      <c r="G596" s="10"/>
      <c r="H596" s="10"/>
      <c r="I596" s="11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7"/>
      <c r="B597" s="7"/>
      <c r="C597" s="5"/>
      <c r="D597" s="8"/>
      <c r="E597" s="9"/>
      <c r="F597" s="9"/>
      <c r="G597" s="10"/>
      <c r="H597" s="10"/>
      <c r="I597" s="11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7"/>
      <c r="B598" s="7"/>
      <c r="C598" s="5"/>
      <c r="D598" s="8"/>
      <c r="E598" s="9"/>
      <c r="F598" s="9"/>
      <c r="G598" s="10"/>
      <c r="H598" s="10"/>
      <c r="I598" s="11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7"/>
      <c r="B599" s="7"/>
      <c r="C599" s="5"/>
      <c r="D599" s="8"/>
      <c r="E599" s="9"/>
      <c r="F599" s="9"/>
      <c r="G599" s="10"/>
      <c r="H599" s="10"/>
      <c r="I599" s="11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7"/>
      <c r="B600" s="7"/>
      <c r="C600" s="5"/>
      <c r="D600" s="8"/>
      <c r="E600" s="9"/>
      <c r="F600" s="9"/>
      <c r="G600" s="10"/>
      <c r="H600" s="10"/>
      <c r="I600" s="11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7"/>
      <c r="B601" s="7"/>
      <c r="C601" s="5"/>
      <c r="D601" s="8"/>
      <c r="E601" s="9"/>
      <c r="F601" s="9"/>
      <c r="G601" s="10"/>
      <c r="H601" s="10"/>
      <c r="I601" s="11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7"/>
      <c r="B602" s="7"/>
      <c r="C602" s="5"/>
      <c r="D602" s="8"/>
      <c r="E602" s="9"/>
      <c r="F602" s="9"/>
      <c r="G602" s="10"/>
      <c r="H602" s="10"/>
      <c r="I602" s="11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7"/>
      <c r="B603" s="7"/>
      <c r="C603" s="5"/>
      <c r="D603" s="8"/>
      <c r="E603" s="9"/>
      <c r="F603" s="9"/>
      <c r="G603" s="10"/>
      <c r="H603" s="10"/>
      <c r="I603" s="11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7"/>
      <c r="B604" s="7"/>
      <c r="C604" s="5"/>
      <c r="D604" s="8"/>
      <c r="E604" s="9"/>
      <c r="F604" s="9"/>
      <c r="G604" s="10"/>
      <c r="H604" s="10"/>
      <c r="I604" s="11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7"/>
      <c r="B605" s="7"/>
      <c r="C605" s="5"/>
      <c r="D605" s="8"/>
      <c r="E605" s="9"/>
      <c r="F605" s="9"/>
      <c r="G605" s="10"/>
      <c r="H605" s="10"/>
      <c r="I605" s="11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7"/>
      <c r="B606" s="7"/>
      <c r="C606" s="5"/>
      <c r="D606" s="8"/>
      <c r="E606" s="9"/>
      <c r="F606" s="9"/>
      <c r="G606" s="10"/>
      <c r="H606" s="10"/>
      <c r="I606" s="11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7"/>
      <c r="B607" s="7"/>
      <c r="C607" s="5"/>
      <c r="D607" s="8"/>
      <c r="E607" s="9"/>
      <c r="F607" s="9"/>
      <c r="G607" s="10"/>
      <c r="H607" s="10"/>
      <c r="I607" s="11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7"/>
      <c r="B608" s="7"/>
      <c r="C608" s="5"/>
      <c r="D608" s="8"/>
      <c r="E608" s="9"/>
      <c r="F608" s="9"/>
      <c r="G608" s="10"/>
      <c r="H608" s="10"/>
      <c r="I608" s="11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7"/>
      <c r="B609" s="7"/>
      <c r="C609" s="5"/>
      <c r="D609" s="8"/>
      <c r="E609" s="9"/>
      <c r="F609" s="9"/>
      <c r="G609" s="10"/>
      <c r="H609" s="10"/>
      <c r="I609" s="11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7"/>
      <c r="B610" s="7"/>
      <c r="C610" s="5"/>
      <c r="D610" s="8"/>
      <c r="E610" s="9"/>
      <c r="F610" s="9"/>
      <c r="G610" s="10"/>
      <c r="H610" s="10"/>
      <c r="I610" s="11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7"/>
      <c r="B611" s="7"/>
      <c r="C611" s="5"/>
      <c r="D611" s="8"/>
      <c r="E611" s="9"/>
      <c r="F611" s="9"/>
      <c r="G611" s="10"/>
      <c r="H611" s="10"/>
      <c r="I611" s="11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7"/>
      <c r="B612" s="7"/>
      <c r="C612" s="5"/>
      <c r="D612" s="8"/>
      <c r="E612" s="9"/>
      <c r="F612" s="9"/>
      <c r="G612" s="10"/>
      <c r="H612" s="10"/>
      <c r="I612" s="11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7"/>
      <c r="B613" s="7"/>
      <c r="C613" s="5"/>
      <c r="D613" s="8"/>
      <c r="E613" s="9"/>
      <c r="F613" s="9"/>
      <c r="G613" s="10"/>
      <c r="H613" s="10"/>
      <c r="I613" s="11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7"/>
      <c r="B614" s="7"/>
      <c r="C614" s="5"/>
      <c r="D614" s="8"/>
      <c r="E614" s="9"/>
      <c r="F614" s="9"/>
      <c r="G614" s="10"/>
      <c r="H614" s="10"/>
      <c r="I614" s="11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7"/>
      <c r="B615" s="7"/>
      <c r="C615" s="5"/>
      <c r="D615" s="8"/>
      <c r="E615" s="9"/>
      <c r="F615" s="9"/>
      <c r="G615" s="10"/>
      <c r="H615" s="10"/>
      <c r="I615" s="11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7"/>
      <c r="B616" s="7"/>
      <c r="C616" s="5"/>
      <c r="D616" s="8"/>
      <c r="E616" s="9"/>
      <c r="F616" s="9"/>
      <c r="G616" s="10"/>
      <c r="H616" s="10"/>
      <c r="I616" s="11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7"/>
      <c r="B617" s="7"/>
      <c r="C617" s="5"/>
      <c r="D617" s="8"/>
      <c r="E617" s="9"/>
      <c r="F617" s="9"/>
      <c r="G617" s="10"/>
      <c r="H617" s="10"/>
      <c r="I617" s="11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7"/>
      <c r="B618" s="7"/>
      <c r="C618" s="5"/>
      <c r="D618" s="8"/>
      <c r="E618" s="9"/>
      <c r="F618" s="9"/>
      <c r="G618" s="10"/>
      <c r="H618" s="10"/>
      <c r="I618" s="11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7"/>
      <c r="B619" s="7"/>
      <c r="C619" s="5"/>
      <c r="D619" s="8"/>
      <c r="E619" s="9"/>
      <c r="F619" s="9"/>
      <c r="G619" s="10"/>
      <c r="H619" s="10"/>
      <c r="I619" s="11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7"/>
      <c r="B620" s="7"/>
      <c r="C620" s="5"/>
      <c r="D620" s="8"/>
      <c r="E620" s="9"/>
      <c r="F620" s="9"/>
      <c r="G620" s="10"/>
      <c r="H620" s="10"/>
      <c r="I620" s="11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7"/>
      <c r="B621" s="7"/>
      <c r="C621" s="5"/>
      <c r="D621" s="8"/>
      <c r="E621" s="9"/>
      <c r="F621" s="9"/>
      <c r="G621" s="10"/>
      <c r="H621" s="10"/>
      <c r="I621" s="11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7"/>
      <c r="B622" s="7"/>
      <c r="C622" s="5"/>
      <c r="D622" s="8"/>
      <c r="E622" s="9"/>
      <c r="F622" s="9"/>
      <c r="G622" s="10"/>
      <c r="H622" s="10"/>
      <c r="I622" s="11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7"/>
      <c r="B623" s="7"/>
      <c r="C623" s="5"/>
      <c r="D623" s="8"/>
      <c r="E623" s="9"/>
      <c r="F623" s="9"/>
      <c r="G623" s="10"/>
      <c r="H623" s="10"/>
      <c r="I623" s="11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7"/>
      <c r="B624" s="7"/>
      <c r="C624" s="5"/>
      <c r="D624" s="8"/>
      <c r="E624" s="9"/>
      <c r="F624" s="9"/>
      <c r="G624" s="10"/>
      <c r="H624" s="10"/>
      <c r="I624" s="11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7"/>
      <c r="B625" s="7"/>
      <c r="C625" s="5"/>
      <c r="D625" s="8"/>
      <c r="E625" s="9"/>
      <c r="F625" s="9"/>
      <c r="G625" s="10"/>
      <c r="H625" s="10"/>
      <c r="I625" s="11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7"/>
      <c r="B626" s="7"/>
      <c r="C626" s="5"/>
      <c r="D626" s="8"/>
      <c r="E626" s="9"/>
      <c r="F626" s="9"/>
      <c r="G626" s="10"/>
      <c r="H626" s="10"/>
      <c r="I626" s="11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7"/>
      <c r="B627" s="7"/>
      <c r="C627" s="5"/>
      <c r="D627" s="8"/>
      <c r="E627" s="9"/>
      <c r="F627" s="9"/>
      <c r="G627" s="10"/>
      <c r="H627" s="10"/>
      <c r="I627" s="11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7"/>
      <c r="B628" s="7"/>
      <c r="C628" s="5"/>
      <c r="D628" s="8"/>
      <c r="E628" s="9"/>
      <c r="F628" s="9"/>
      <c r="G628" s="10"/>
      <c r="H628" s="10"/>
      <c r="I628" s="11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7"/>
      <c r="B629" s="7"/>
      <c r="C629" s="5"/>
      <c r="D629" s="8"/>
      <c r="E629" s="9"/>
      <c r="F629" s="9"/>
      <c r="G629" s="10"/>
      <c r="H629" s="10"/>
      <c r="I629" s="11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7"/>
      <c r="B630" s="7"/>
      <c r="C630" s="5"/>
      <c r="D630" s="8"/>
      <c r="E630" s="9"/>
      <c r="F630" s="9"/>
      <c r="G630" s="10"/>
      <c r="H630" s="10"/>
      <c r="I630" s="11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7"/>
      <c r="B631" s="7"/>
      <c r="C631" s="5"/>
      <c r="D631" s="8"/>
      <c r="E631" s="9"/>
      <c r="F631" s="9"/>
      <c r="G631" s="10"/>
      <c r="H631" s="10"/>
      <c r="I631" s="11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7"/>
      <c r="B632" s="7"/>
      <c r="C632" s="5"/>
      <c r="D632" s="8"/>
      <c r="E632" s="9"/>
      <c r="F632" s="9"/>
      <c r="G632" s="10"/>
      <c r="H632" s="10"/>
      <c r="I632" s="11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7"/>
      <c r="B633" s="7"/>
      <c r="C633" s="5"/>
      <c r="D633" s="8"/>
      <c r="E633" s="9"/>
      <c r="F633" s="9"/>
      <c r="G633" s="10"/>
      <c r="H633" s="10"/>
      <c r="I633" s="11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7"/>
      <c r="B634" s="7"/>
      <c r="C634" s="5"/>
      <c r="D634" s="8"/>
      <c r="E634" s="9"/>
      <c r="F634" s="9"/>
      <c r="G634" s="10"/>
      <c r="H634" s="10"/>
      <c r="I634" s="11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7"/>
      <c r="B635" s="7"/>
      <c r="C635" s="5"/>
      <c r="D635" s="8"/>
      <c r="E635" s="9"/>
      <c r="F635" s="9"/>
      <c r="G635" s="10"/>
      <c r="H635" s="10"/>
      <c r="I635" s="11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7"/>
      <c r="B636" s="7"/>
      <c r="C636" s="5"/>
      <c r="D636" s="8"/>
      <c r="E636" s="9"/>
      <c r="F636" s="9"/>
      <c r="G636" s="10"/>
      <c r="H636" s="10"/>
      <c r="I636" s="11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7"/>
      <c r="B637" s="7"/>
      <c r="C637" s="5"/>
      <c r="D637" s="8"/>
      <c r="E637" s="9"/>
      <c r="F637" s="9"/>
      <c r="G637" s="10"/>
      <c r="H637" s="10"/>
      <c r="I637" s="11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7"/>
      <c r="B638" s="7"/>
      <c r="C638" s="5"/>
      <c r="D638" s="8"/>
      <c r="E638" s="9"/>
      <c r="F638" s="9"/>
      <c r="G638" s="10"/>
      <c r="H638" s="10"/>
      <c r="I638" s="11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7"/>
      <c r="B639" s="7"/>
      <c r="C639" s="5"/>
      <c r="D639" s="8"/>
      <c r="E639" s="9"/>
      <c r="F639" s="9"/>
      <c r="G639" s="10"/>
      <c r="H639" s="10"/>
      <c r="I639" s="11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7"/>
      <c r="B640" s="7"/>
      <c r="C640" s="5"/>
      <c r="D640" s="8"/>
      <c r="E640" s="9"/>
      <c r="F640" s="9"/>
      <c r="G640" s="10"/>
      <c r="H640" s="10"/>
      <c r="I640" s="11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7"/>
      <c r="B641" s="7"/>
      <c r="C641" s="5"/>
      <c r="D641" s="8"/>
      <c r="E641" s="9"/>
      <c r="F641" s="9"/>
      <c r="G641" s="10"/>
      <c r="H641" s="10"/>
      <c r="I641" s="11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7"/>
      <c r="B642" s="7"/>
      <c r="C642" s="5"/>
      <c r="D642" s="8"/>
      <c r="E642" s="9"/>
      <c r="F642" s="9"/>
      <c r="G642" s="10"/>
      <c r="H642" s="10"/>
      <c r="I642" s="11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7"/>
      <c r="B643" s="7"/>
      <c r="C643" s="5"/>
      <c r="D643" s="8"/>
      <c r="E643" s="9"/>
      <c r="F643" s="9"/>
      <c r="G643" s="10"/>
      <c r="H643" s="10"/>
      <c r="I643" s="11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7"/>
      <c r="B644" s="7"/>
      <c r="C644" s="5"/>
      <c r="D644" s="8"/>
      <c r="E644" s="9"/>
      <c r="F644" s="9"/>
      <c r="G644" s="10"/>
      <c r="H644" s="10"/>
      <c r="I644" s="11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7"/>
      <c r="B645" s="7"/>
      <c r="C645" s="5"/>
      <c r="D645" s="8"/>
      <c r="E645" s="9"/>
      <c r="F645" s="9"/>
      <c r="G645" s="10"/>
      <c r="H645" s="10"/>
      <c r="I645" s="11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7"/>
      <c r="B646" s="7"/>
      <c r="C646" s="5"/>
      <c r="D646" s="8"/>
      <c r="E646" s="9"/>
      <c r="F646" s="9"/>
      <c r="G646" s="10"/>
      <c r="H646" s="10"/>
      <c r="I646" s="11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7"/>
      <c r="B647" s="7"/>
      <c r="C647" s="5"/>
      <c r="D647" s="8"/>
      <c r="E647" s="9"/>
      <c r="F647" s="9"/>
      <c r="G647" s="10"/>
      <c r="H647" s="10"/>
      <c r="I647" s="11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7"/>
      <c r="B648" s="7"/>
      <c r="C648" s="5"/>
      <c r="D648" s="8"/>
      <c r="E648" s="9"/>
      <c r="F648" s="9"/>
      <c r="G648" s="10"/>
      <c r="H648" s="10"/>
      <c r="I648" s="11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7"/>
      <c r="B649" s="7"/>
      <c r="C649" s="5"/>
      <c r="D649" s="8"/>
      <c r="E649" s="9"/>
      <c r="F649" s="9"/>
      <c r="G649" s="10"/>
      <c r="H649" s="10"/>
      <c r="I649" s="11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7"/>
      <c r="B650" s="7"/>
      <c r="C650" s="5"/>
      <c r="D650" s="8"/>
      <c r="E650" s="9"/>
      <c r="F650" s="9"/>
      <c r="G650" s="10"/>
      <c r="H650" s="10"/>
      <c r="I650" s="11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7"/>
      <c r="B651" s="7"/>
      <c r="C651" s="5"/>
      <c r="D651" s="8"/>
      <c r="E651" s="9"/>
      <c r="F651" s="9"/>
      <c r="G651" s="10"/>
      <c r="H651" s="10"/>
      <c r="I651" s="11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7"/>
      <c r="B652" s="7"/>
      <c r="C652" s="5"/>
      <c r="D652" s="8"/>
      <c r="E652" s="9"/>
      <c r="F652" s="9"/>
      <c r="G652" s="10"/>
      <c r="H652" s="10"/>
      <c r="I652" s="11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7"/>
      <c r="B653" s="7"/>
      <c r="C653" s="5"/>
      <c r="D653" s="8"/>
      <c r="E653" s="9"/>
      <c r="F653" s="9"/>
      <c r="G653" s="10"/>
      <c r="H653" s="10"/>
      <c r="I653" s="11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7"/>
      <c r="B654" s="7"/>
      <c r="C654" s="5"/>
      <c r="D654" s="8"/>
      <c r="E654" s="9"/>
      <c r="F654" s="9"/>
      <c r="G654" s="10"/>
      <c r="H654" s="10"/>
      <c r="I654" s="11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7"/>
      <c r="B655" s="7"/>
      <c r="C655" s="5"/>
      <c r="D655" s="8"/>
      <c r="E655" s="9"/>
      <c r="F655" s="9"/>
      <c r="G655" s="10"/>
      <c r="H655" s="10"/>
      <c r="I655" s="11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7"/>
      <c r="B656" s="7"/>
      <c r="C656" s="5"/>
      <c r="D656" s="8"/>
      <c r="E656" s="9"/>
      <c r="F656" s="9"/>
      <c r="G656" s="10"/>
      <c r="H656" s="10"/>
      <c r="I656" s="11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7"/>
      <c r="B657" s="7"/>
      <c r="C657" s="5"/>
      <c r="D657" s="8"/>
      <c r="E657" s="9"/>
      <c r="F657" s="9"/>
      <c r="G657" s="10"/>
      <c r="H657" s="10"/>
      <c r="I657" s="11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7"/>
      <c r="B658" s="7"/>
      <c r="C658" s="5"/>
      <c r="D658" s="8"/>
      <c r="E658" s="9"/>
      <c r="F658" s="9"/>
      <c r="G658" s="10"/>
      <c r="H658" s="10"/>
      <c r="I658" s="11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7"/>
      <c r="B659" s="7"/>
      <c r="C659" s="5"/>
      <c r="D659" s="8"/>
      <c r="E659" s="9"/>
      <c r="F659" s="9"/>
      <c r="G659" s="10"/>
      <c r="H659" s="10"/>
      <c r="I659" s="11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7"/>
      <c r="B660" s="7"/>
      <c r="C660" s="5"/>
      <c r="D660" s="8"/>
      <c r="E660" s="9"/>
      <c r="F660" s="9"/>
      <c r="G660" s="10"/>
      <c r="H660" s="10"/>
      <c r="I660" s="11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7"/>
      <c r="B661" s="7"/>
      <c r="C661" s="5"/>
      <c r="D661" s="8"/>
      <c r="E661" s="9"/>
      <c r="F661" s="9"/>
      <c r="G661" s="10"/>
      <c r="H661" s="10"/>
      <c r="I661" s="11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7"/>
      <c r="B662" s="7"/>
      <c r="C662" s="5"/>
      <c r="D662" s="8"/>
      <c r="E662" s="9"/>
      <c r="F662" s="9"/>
      <c r="G662" s="10"/>
      <c r="H662" s="10"/>
      <c r="I662" s="11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7"/>
      <c r="B663" s="7"/>
      <c r="C663" s="5"/>
      <c r="D663" s="8"/>
      <c r="E663" s="9"/>
      <c r="F663" s="9"/>
      <c r="G663" s="10"/>
      <c r="H663" s="10"/>
      <c r="I663" s="11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7"/>
      <c r="B664" s="7"/>
      <c r="C664" s="5"/>
      <c r="D664" s="8"/>
      <c r="E664" s="9"/>
      <c r="F664" s="9"/>
      <c r="G664" s="10"/>
      <c r="H664" s="10"/>
      <c r="I664" s="11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7"/>
      <c r="B665" s="7"/>
      <c r="C665" s="5"/>
      <c r="D665" s="8"/>
      <c r="E665" s="9"/>
      <c r="F665" s="9"/>
      <c r="G665" s="10"/>
      <c r="H665" s="10"/>
      <c r="I665" s="11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7"/>
      <c r="B666" s="7"/>
      <c r="C666" s="5"/>
      <c r="D666" s="8"/>
      <c r="E666" s="9"/>
      <c r="F666" s="9"/>
      <c r="G666" s="10"/>
      <c r="H666" s="10"/>
      <c r="I666" s="11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7"/>
      <c r="B667" s="7"/>
      <c r="C667" s="5"/>
      <c r="D667" s="8"/>
      <c r="E667" s="9"/>
      <c r="F667" s="9"/>
      <c r="G667" s="10"/>
      <c r="H667" s="10"/>
      <c r="I667" s="11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7"/>
      <c r="B668" s="7"/>
      <c r="C668" s="5"/>
      <c r="D668" s="8"/>
      <c r="E668" s="9"/>
      <c r="F668" s="9"/>
      <c r="G668" s="10"/>
      <c r="H668" s="10"/>
      <c r="I668" s="11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7"/>
      <c r="B669" s="7"/>
      <c r="C669" s="5"/>
      <c r="D669" s="8"/>
      <c r="E669" s="9"/>
      <c r="F669" s="9"/>
      <c r="G669" s="10"/>
      <c r="H669" s="10"/>
      <c r="I669" s="11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7"/>
      <c r="B670" s="7"/>
      <c r="C670" s="5"/>
      <c r="D670" s="8"/>
      <c r="E670" s="9"/>
      <c r="F670" s="9"/>
      <c r="G670" s="10"/>
      <c r="H670" s="10"/>
      <c r="I670" s="11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7"/>
      <c r="B671" s="7"/>
      <c r="C671" s="5"/>
      <c r="D671" s="8"/>
      <c r="E671" s="9"/>
      <c r="F671" s="9"/>
      <c r="G671" s="10"/>
      <c r="H671" s="10"/>
      <c r="I671" s="11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7"/>
      <c r="B672" s="7"/>
      <c r="C672" s="5"/>
      <c r="D672" s="8"/>
      <c r="E672" s="9"/>
      <c r="F672" s="9"/>
      <c r="G672" s="10"/>
      <c r="H672" s="10"/>
      <c r="I672" s="11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7"/>
      <c r="B673" s="7"/>
      <c r="C673" s="5"/>
      <c r="D673" s="8"/>
      <c r="E673" s="9"/>
      <c r="F673" s="9"/>
      <c r="G673" s="10"/>
      <c r="H673" s="10"/>
      <c r="I673" s="11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7"/>
      <c r="B674" s="7"/>
      <c r="C674" s="5"/>
      <c r="D674" s="8"/>
      <c r="E674" s="9"/>
      <c r="F674" s="9"/>
      <c r="G674" s="10"/>
      <c r="H674" s="10"/>
      <c r="I674" s="11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7"/>
      <c r="B675" s="7"/>
      <c r="C675" s="5"/>
      <c r="D675" s="8"/>
      <c r="E675" s="9"/>
      <c r="F675" s="9"/>
      <c r="G675" s="10"/>
      <c r="H675" s="10"/>
      <c r="I675" s="11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7"/>
      <c r="B676" s="7"/>
      <c r="C676" s="5"/>
      <c r="D676" s="8"/>
      <c r="E676" s="9"/>
      <c r="F676" s="9"/>
      <c r="G676" s="10"/>
      <c r="H676" s="10"/>
      <c r="I676" s="11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7"/>
      <c r="B677" s="7"/>
      <c r="C677" s="5"/>
      <c r="D677" s="8"/>
      <c r="E677" s="9"/>
      <c r="F677" s="9"/>
      <c r="G677" s="10"/>
      <c r="H677" s="10"/>
      <c r="I677" s="11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7"/>
      <c r="B678" s="7"/>
      <c r="C678" s="5"/>
      <c r="D678" s="8"/>
      <c r="E678" s="9"/>
      <c r="F678" s="9"/>
      <c r="G678" s="10"/>
      <c r="H678" s="10"/>
      <c r="I678" s="11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7"/>
      <c r="B679" s="7"/>
      <c r="C679" s="5"/>
      <c r="D679" s="8"/>
      <c r="E679" s="9"/>
      <c r="F679" s="9"/>
      <c r="G679" s="10"/>
      <c r="H679" s="10"/>
      <c r="I679" s="11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7"/>
      <c r="B680" s="7"/>
      <c r="C680" s="5"/>
      <c r="D680" s="8"/>
      <c r="E680" s="9"/>
      <c r="F680" s="9"/>
      <c r="G680" s="10"/>
      <c r="H680" s="10"/>
      <c r="I680" s="11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7"/>
      <c r="B681" s="7"/>
      <c r="C681" s="5"/>
      <c r="D681" s="8"/>
      <c r="E681" s="9"/>
      <c r="F681" s="9"/>
      <c r="G681" s="10"/>
      <c r="H681" s="10"/>
      <c r="I681" s="11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7"/>
      <c r="B682" s="7"/>
      <c r="C682" s="5"/>
      <c r="D682" s="8"/>
      <c r="E682" s="9"/>
      <c r="F682" s="9"/>
      <c r="G682" s="10"/>
      <c r="H682" s="10"/>
      <c r="I682" s="11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7"/>
      <c r="B683" s="7"/>
      <c r="C683" s="5"/>
      <c r="D683" s="8"/>
      <c r="E683" s="9"/>
      <c r="F683" s="9"/>
      <c r="G683" s="10"/>
      <c r="H683" s="10"/>
      <c r="I683" s="11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7"/>
      <c r="B684" s="7"/>
      <c r="C684" s="5"/>
      <c r="D684" s="8"/>
      <c r="E684" s="9"/>
      <c r="F684" s="9"/>
      <c r="G684" s="10"/>
      <c r="H684" s="10"/>
      <c r="I684" s="11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7"/>
      <c r="B685" s="7"/>
      <c r="C685" s="5"/>
      <c r="D685" s="8"/>
      <c r="E685" s="9"/>
      <c r="F685" s="9"/>
      <c r="G685" s="10"/>
      <c r="H685" s="10"/>
      <c r="I685" s="11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7"/>
      <c r="B686" s="7"/>
      <c r="C686" s="5"/>
      <c r="D686" s="8"/>
      <c r="E686" s="9"/>
      <c r="F686" s="9"/>
      <c r="G686" s="10"/>
      <c r="H686" s="10"/>
      <c r="I686" s="11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7"/>
      <c r="B687" s="7"/>
      <c r="C687" s="5"/>
      <c r="D687" s="8"/>
      <c r="E687" s="9"/>
      <c r="F687" s="9"/>
      <c r="G687" s="10"/>
      <c r="H687" s="10"/>
      <c r="I687" s="11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7"/>
      <c r="B688" s="7"/>
      <c r="C688" s="5"/>
      <c r="D688" s="8"/>
      <c r="E688" s="9"/>
      <c r="F688" s="9"/>
      <c r="G688" s="10"/>
      <c r="H688" s="10"/>
      <c r="I688" s="11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7"/>
      <c r="B689" s="7"/>
      <c r="C689" s="5"/>
      <c r="D689" s="8"/>
      <c r="E689" s="9"/>
      <c r="F689" s="9"/>
      <c r="G689" s="10"/>
      <c r="H689" s="10"/>
      <c r="I689" s="11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7"/>
      <c r="B690" s="7"/>
      <c r="C690" s="5"/>
      <c r="D690" s="8"/>
      <c r="E690" s="9"/>
      <c r="F690" s="9"/>
      <c r="G690" s="10"/>
      <c r="H690" s="10"/>
      <c r="I690" s="11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7"/>
      <c r="B691" s="7"/>
      <c r="C691" s="5"/>
      <c r="D691" s="8"/>
      <c r="E691" s="9"/>
      <c r="F691" s="9"/>
      <c r="G691" s="10"/>
      <c r="H691" s="10"/>
      <c r="I691" s="11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7"/>
      <c r="B692" s="7"/>
      <c r="C692" s="5"/>
      <c r="D692" s="8"/>
      <c r="E692" s="9"/>
      <c r="F692" s="9"/>
      <c r="G692" s="10"/>
      <c r="H692" s="10"/>
      <c r="I692" s="11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7"/>
      <c r="B693" s="7"/>
      <c r="C693" s="5"/>
      <c r="D693" s="8"/>
      <c r="E693" s="9"/>
      <c r="F693" s="9"/>
      <c r="G693" s="10"/>
      <c r="H693" s="10"/>
      <c r="I693" s="11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7"/>
      <c r="B694" s="7"/>
      <c r="C694" s="5"/>
      <c r="D694" s="8"/>
      <c r="E694" s="9"/>
      <c r="F694" s="9"/>
      <c r="G694" s="10"/>
      <c r="H694" s="10"/>
      <c r="I694" s="11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7"/>
      <c r="B695" s="7"/>
      <c r="C695" s="5"/>
      <c r="D695" s="8"/>
      <c r="E695" s="9"/>
      <c r="F695" s="9"/>
      <c r="G695" s="10"/>
      <c r="H695" s="10"/>
      <c r="I695" s="11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7"/>
      <c r="B696" s="7"/>
      <c r="C696" s="5"/>
      <c r="D696" s="8"/>
      <c r="E696" s="9"/>
      <c r="F696" s="9"/>
      <c r="G696" s="10"/>
      <c r="H696" s="10"/>
      <c r="I696" s="11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7"/>
      <c r="B697" s="7"/>
      <c r="C697" s="5"/>
      <c r="D697" s="8"/>
      <c r="E697" s="9"/>
      <c r="F697" s="9"/>
      <c r="G697" s="10"/>
      <c r="H697" s="10"/>
      <c r="I697" s="11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7"/>
      <c r="B698" s="7"/>
      <c r="C698" s="5"/>
      <c r="D698" s="8"/>
      <c r="E698" s="9"/>
      <c r="F698" s="9"/>
      <c r="G698" s="10"/>
      <c r="H698" s="10"/>
      <c r="I698" s="11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7"/>
      <c r="B699" s="7"/>
      <c r="C699" s="5"/>
      <c r="D699" s="8"/>
      <c r="E699" s="9"/>
      <c r="F699" s="9"/>
      <c r="G699" s="10"/>
      <c r="H699" s="10"/>
      <c r="I699" s="11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7"/>
      <c r="B700" s="7"/>
      <c r="C700" s="5"/>
      <c r="D700" s="8"/>
      <c r="E700" s="9"/>
      <c r="F700" s="9"/>
      <c r="G700" s="10"/>
      <c r="H700" s="10"/>
      <c r="I700" s="11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7"/>
      <c r="B701" s="7"/>
      <c r="C701" s="5"/>
      <c r="D701" s="8"/>
      <c r="E701" s="9"/>
      <c r="F701" s="9"/>
      <c r="G701" s="10"/>
      <c r="H701" s="10"/>
      <c r="I701" s="11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7"/>
      <c r="B702" s="7"/>
      <c r="C702" s="5"/>
      <c r="D702" s="8"/>
      <c r="E702" s="9"/>
      <c r="F702" s="9"/>
      <c r="G702" s="10"/>
      <c r="H702" s="10"/>
      <c r="I702" s="11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7"/>
      <c r="B703" s="7"/>
      <c r="C703" s="5"/>
      <c r="D703" s="8"/>
      <c r="E703" s="9"/>
      <c r="F703" s="9"/>
      <c r="G703" s="10"/>
      <c r="H703" s="10"/>
      <c r="I703" s="11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7"/>
      <c r="B704" s="7"/>
      <c r="C704" s="5"/>
      <c r="D704" s="8"/>
      <c r="E704" s="9"/>
      <c r="F704" s="9"/>
      <c r="G704" s="10"/>
      <c r="H704" s="10"/>
      <c r="I704" s="11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7"/>
      <c r="B705" s="7"/>
      <c r="C705" s="5"/>
      <c r="D705" s="8"/>
      <c r="E705" s="9"/>
      <c r="F705" s="9"/>
      <c r="G705" s="10"/>
      <c r="H705" s="10"/>
      <c r="I705" s="11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7"/>
      <c r="B706" s="7"/>
      <c r="C706" s="5"/>
      <c r="D706" s="8"/>
      <c r="E706" s="9"/>
      <c r="F706" s="9"/>
      <c r="G706" s="10"/>
      <c r="H706" s="10"/>
      <c r="I706" s="11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7"/>
      <c r="B707" s="7"/>
      <c r="C707" s="5"/>
      <c r="D707" s="8"/>
      <c r="E707" s="9"/>
      <c r="F707" s="9"/>
      <c r="G707" s="10"/>
      <c r="H707" s="10"/>
      <c r="I707" s="11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7"/>
      <c r="B708" s="7"/>
      <c r="C708" s="5"/>
      <c r="D708" s="8"/>
      <c r="E708" s="9"/>
      <c r="F708" s="9"/>
      <c r="G708" s="10"/>
      <c r="H708" s="10"/>
      <c r="I708" s="11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7"/>
      <c r="B709" s="7"/>
      <c r="C709" s="5"/>
      <c r="D709" s="8"/>
      <c r="E709" s="9"/>
      <c r="F709" s="9"/>
      <c r="G709" s="10"/>
      <c r="H709" s="10"/>
      <c r="I709" s="11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7"/>
      <c r="B710" s="7"/>
      <c r="C710" s="5"/>
      <c r="D710" s="8"/>
      <c r="E710" s="9"/>
      <c r="F710" s="9"/>
      <c r="G710" s="10"/>
      <c r="H710" s="10"/>
      <c r="I710" s="11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7"/>
      <c r="B711" s="7"/>
      <c r="C711" s="5"/>
      <c r="D711" s="8"/>
      <c r="E711" s="9"/>
      <c r="F711" s="9"/>
      <c r="G711" s="10"/>
      <c r="H711" s="10"/>
      <c r="I711" s="11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7"/>
      <c r="B712" s="7"/>
      <c r="C712" s="5"/>
      <c r="D712" s="8"/>
      <c r="E712" s="9"/>
      <c r="F712" s="9"/>
      <c r="G712" s="10"/>
      <c r="H712" s="10"/>
      <c r="I712" s="11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7"/>
      <c r="B713" s="7"/>
      <c r="C713" s="5"/>
      <c r="D713" s="8"/>
      <c r="E713" s="9"/>
      <c r="F713" s="9"/>
      <c r="G713" s="10"/>
      <c r="H713" s="10"/>
      <c r="I713" s="11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7"/>
      <c r="B714" s="7"/>
      <c r="C714" s="5"/>
      <c r="D714" s="8"/>
      <c r="E714" s="9"/>
      <c r="F714" s="9"/>
      <c r="G714" s="10"/>
      <c r="H714" s="10"/>
      <c r="I714" s="11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7"/>
      <c r="B715" s="7"/>
      <c r="C715" s="5"/>
      <c r="D715" s="8"/>
      <c r="E715" s="9"/>
      <c r="F715" s="9"/>
      <c r="G715" s="10"/>
      <c r="H715" s="10"/>
      <c r="I715" s="11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7"/>
      <c r="B716" s="7"/>
      <c r="C716" s="5"/>
      <c r="D716" s="8"/>
      <c r="E716" s="9"/>
      <c r="F716" s="9"/>
      <c r="G716" s="10"/>
      <c r="H716" s="10"/>
      <c r="I716" s="11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7"/>
      <c r="B717" s="7"/>
      <c r="C717" s="5"/>
      <c r="D717" s="8"/>
      <c r="E717" s="9"/>
      <c r="F717" s="9"/>
      <c r="G717" s="10"/>
      <c r="H717" s="10"/>
      <c r="I717" s="11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7"/>
      <c r="B718" s="7"/>
      <c r="C718" s="5"/>
      <c r="D718" s="8"/>
      <c r="E718" s="9"/>
      <c r="F718" s="9"/>
      <c r="G718" s="10"/>
      <c r="H718" s="10"/>
      <c r="I718" s="11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7"/>
      <c r="B719" s="7"/>
      <c r="C719" s="5"/>
      <c r="D719" s="8"/>
      <c r="E719" s="9"/>
      <c r="F719" s="9"/>
      <c r="G719" s="10"/>
      <c r="H719" s="10"/>
      <c r="I719" s="11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7"/>
      <c r="B720" s="7"/>
      <c r="C720" s="5"/>
      <c r="D720" s="8"/>
      <c r="E720" s="9"/>
      <c r="F720" s="9"/>
      <c r="G720" s="10"/>
      <c r="H720" s="10"/>
      <c r="I720" s="11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7"/>
      <c r="B721" s="7"/>
      <c r="C721" s="5"/>
      <c r="D721" s="8"/>
      <c r="E721" s="9"/>
      <c r="F721" s="9"/>
      <c r="G721" s="10"/>
      <c r="H721" s="10"/>
      <c r="I721" s="11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7"/>
      <c r="B722" s="7"/>
      <c r="C722" s="5"/>
      <c r="D722" s="8"/>
      <c r="E722" s="9"/>
      <c r="F722" s="9"/>
      <c r="G722" s="10"/>
      <c r="H722" s="10"/>
      <c r="I722" s="11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7"/>
      <c r="B723" s="7"/>
      <c r="C723" s="5"/>
      <c r="D723" s="8"/>
      <c r="E723" s="9"/>
      <c r="F723" s="9"/>
      <c r="G723" s="10"/>
      <c r="H723" s="10"/>
      <c r="I723" s="11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7"/>
      <c r="B724" s="7"/>
      <c r="C724" s="5"/>
      <c r="D724" s="8"/>
      <c r="E724" s="9"/>
      <c r="F724" s="9"/>
      <c r="G724" s="10"/>
      <c r="H724" s="10"/>
      <c r="I724" s="11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7"/>
      <c r="B725" s="7"/>
      <c r="C725" s="5"/>
      <c r="D725" s="8"/>
      <c r="E725" s="9"/>
      <c r="F725" s="9"/>
      <c r="G725" s="10"/>
      <c r="H725" s="10"/>
      <c r="I725" s="11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7"/>
      <c r="B726" s="7"/>
      <c r="C726" s="5"/>
      <c r="D726" s="8"/>
      <c r="E726" s="9"/>
      <c r="F726" s="9"/>
      <c r="G726" s="10"/>
      <c r="H726" s="10"/>
      <c r="I726" s="11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7"/>
      <c r="B727" s="7"/>
      <c r="C727" s="5"/>
      <c r="D727" s="8"/>
      <c r="E727" s="9"/>
      <c r="F727" s="9"/>
      <c r="G727" s="10"/>
      <c r="H727" s="10"/>
      <c r="I727" s="11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7"/>
      <c r="B728" s="7"/>
      <c r="C728" s="5"/>
      <c r="D728" s="8"/>
      <c r="E728" s="9"/>
      <c r="F728" s="9"/>
      <c r="G728" s="10"/>
      <c r="H728" s="10"/>
      <c r="I728" s="11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7"/>
      <c r="B729" s="7"/>
      <c r="C729" s="5"/>
      <c r="D729" s="8"/>
      <c r="E729" s="9"/>
      <c r="F729" s="9"/>
      <c r="G729" s="10"/>
      <c r="H729" s="10"/>
      <c r="I729" s="11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7"/>
      <c r="B730" s="7"/>
      <c r="C730" s="5"/>
      <c r="D730" s="8"/>
      <c r="E730" s="9"/>
      <c r="F730" s="9"/>
      <c r="G730" s="10"/>
      <c r="H730" s="10"/>
      <c r="I730" s="11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7"/>
      <c r="B731" s="7"/>
      <c r="C731" s="5"/>
      <c r="D731" s="8"/>
      <c r="E731" s="9"/>
      <c r="F731" s="9"/>
      <c r="G731" s="10"/>
      <c r="H731" s="10"/>
      <c r="I731" s="11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7"/>
      <c r="B732" s="7"/>
      <c r="C732" s="5"/>
      <c r="D732" s="8"/>
      <c r="E732" s="9"/>
      <c r="F732" s="9"/>
      <c r="G732" s="10"/>
      <c r="H732" s="10"/>
      <c r="I732" s="11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7"/>
      <c r="B733" s="7"/>
      <c r="C733" s="5"/>
      <c r="D733" s="8"/>
      <c r="E733" s="9"/>
      <c r="F733" s="9"/>
      <c r="G733" s="10"/>
      <c r="H733" s="10"/>
      <c r="I733" s="11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7"/>
      <c r="B734" s="7"/>
      <c r="C734" s="5"/>
      <c r="D734" s="8"/>
      <c r="E734" s="9"/>
      <c r="F734" s="9"/>
      <c r="G734" s="10"/>
      <c r="H734" s="10"/>
      <c r="I734" s="11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7"/>
      <c r="B735" s="7"/>
      <c r="C735" s="5"/>
      <c r="D735" s="8"/>
      <c r="E735" s="9"/>
      <c r="F735" s="9"/>
      <c r="G735" s="10"/>
      <c r="H735" s="10"/>
      <c r="I735" s="11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7"/>
      <c r="B736" s="7"/>
      <c r="C736" s="5"/>
      <c r="D736" s="8"/>
      <c r="E736" s="9"/>
      <c r="F736" s="9"/>
      <c r="G736" s="10"/>
      <c r="H736" s="10"/>
      <c r="I736" s="11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7"/>
      <c r="B737" s="7"/>
      <c r="C737" s="5"/>
      <c r="D737" s="8"/>
      <c r="E737" s="9"/>
      <c r="F737" s="9"/>
      <c r="G737" s="10"/>
      <c r="H737" s="10"/>
      <c r="I737" s="11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7"/>
      <c r="B738" s="7"/>
      <c r="C738" s="5"/>
      <c r="D738" s="8"/>
      <c r="E738" s="9"/>
      <c r="F738" s="9"/>
      <c r="G738" s="10"/>
      <c r="H738" s="10"/>
      <c r="I738" s="11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7"/>
      <c r="B739" s="7"/>
      <c r="C739" s="5"/>
      <c r="D739" s="8"/>
      <c r="E739" s="9"/>
      <c r="F739" s="9"/>
      <c r="G739" s="10"/>
      <c r="H739" s="10"/>
      <c r="I739" s="11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7"/>
      <c r="B740" s="7"/>
      <c r="C740" s="5"/>
      <c r="D740" s="8"/>
      <c r="E740" s="9"/>
      <c r="F740" s="9"/>
      <c r="G740" s="10"/>
      <c r="H740" s="10"/>
      <c r="I740" s="11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7"/>
      <c r="B741" s="7"/>
      <c r="C741" s="5"/>
      <c r="D741" s="8"/>
      <c r="E741" s="9"/>
      <c r="F741" s="9"/>
      <c r="G741" s="10"/>
      <c r="H741" s="10"/>
      <c r="I741" s="11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7"/>
      <c r="B742" s="7"/>
      <c r="C742" s="5"/>
      <c r="D742" s="8"/>
      <c r="E742" s="9"/>
      <c r="F742" s="9"/>
      <c r="G742" s="10"/>
      <c r="H742" s="10"/>
      <c r="I742" s="11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7"/>
      <c r="B743" s="7"/>
      <c r="C743" s="5"/>
      <c r="D743" s="8"/>
      <c r="E743" s="9"/>
      <c r="F743" s="9"/>
      <c r="G743" s="10"/>
      <c r="H743" s="10"/>
      <c r="I743" s="11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7"/>
      <c r="B744" s="7"/>
      <c r="C744" s="5"/>
      <c r="D744" s="8"/>
      <c r="E744" s="9"/>
      <c r="F744" s="9"/>
      <c r="G744" s="10"/>
      <c r="H744" s="10"/>
      <c r="I744" s="11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7"/>
      <c r="B745" s="7"/>
      <c r="C745" s="5"/>
      <c r="D745" s="8"/>
      <c r="E745" s="9"/>
      <c r="F745" s="9"/>
      <c r="G745" s="10"/>
      <c r="H745" s="10"/>
      <c r="I745" s="11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7"/>
      <c r="B746" s="7"/>
      <c r="C746" s="5"/>
      <c r="D746" s="8"/>
      <c r="E746" s="9"/>
      <c r="F746" s="9"/>
      <c r="G746" s="10"/>
      <c r="H746" s="10"/>
      <c r="I746" s="11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7"/>
      <c r="B747" s="7"/>
      <c r="C747" s="5"/>
      <c r="D747" s="8"/>
      <c r="E747" s="9"/>
      <c r="F747" s="9"/>
      <c r="G747" s="10"/>
      <c r="H747" s="10"/>
      <c r="I747" s="11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7"/>
      <c r="B748" s="7"/>
      <c r="C748" s="5"/>
      <c r="D748" s="8"/>
      <c r="E748" s="9"/>
      <c r="F748" s="9"/>
      <c r="G748" s="10"/>
      <c r="H748" s="10"/>
      <c r="I748" s="11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7"/>
      <c r="B749" s="7"/>
      <c r="C749" s="5"/>
      <c r="D749" s="8"/>
      <c r="E749" s="9"/>
      <c r="F749" s="9"/>
      <c r="G749" s="10"/>
      <c r="H749" s="10"/>
      <c r="I749" s="11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7"/>
      <c r="B750" s="7"/>
      <c r="C750" s="5"/>
      <c r="D750" s="8"/>
      <c r="E750" s="9"/>
      <c r="F750" s="9"/>
      <c r="G750" s="10"/>
      <c r="H750" s="10"/>
      <c r="I750" s="11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7"/>
      <c r="B751" s="7"/>
      <c r="C751" s="5"/>
      <c r="D751" s="8"/>
      <c r="E751" s="9"/>
      <c r="F751" s="9"/>
      <c r="G751" s="10"/>
      <c r="H751" s="10"/>
      <c r="I751" s="11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7"/>
      <c r="B752" s="7"/>
      <c r="C752" s="5"/>
      <c r="D752" s="8"/>
      <c r="E752" s="9"/>
      <c r="F752" s="9"/>
      <c r="G752" s="10"/>
      <c r="H752" s="10"/>
      <c r="I752" s="11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7"/>
      <c r="B753" s="7"/>
      <c r="C753" s="5"/>
      <c r="D753" s="8"/>
      <c r="E753" s="9"/>
      <c r="F753" s="9"/>
      <c r="G753" s="10"/>
      <c r="H753" s="10"/>
      <c r="I753" s="11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7"/>
      <c r="B754" s="7"/>
      <c r="C754" s="5"/>
      <c r="D754" s="8"/>
      <c r="E754" s="9"/>
      <c r="F754" s="9"/>
      <c r="G754" s="10"/>
      <c r="H754" s="10"/>
      <c r="I754" s="11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7"/>
      <c r="B755" s="7"/>
      <c r="C755" s="5"/>
      <c r="D755" s="8"/>
      <c r="E755" s="9"/>
      <c r="F755" s="9"/>
      <c r="G755" s="10"/>
      <c r="H755" s="10"/>
      <c r="I755" s="11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7"/>
      <c r="B756" s="7"/>
      <c r="C756" s="5"/>
      <c r="D756" s="8"/>
      <c r="E756" s="9"/>
      <c r="F756" s="9"/>
      <c r="G756" s="10"/>
      <c r="H756" s="10"/>
      <c r="I756" s="11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7"/>
      <c r="B757" s="7"/>
      <c r="C757" s="5"/>
      <c r="D757" s="8"/>
      <c r="E757" s="9"/>
      <c r="F757" s="9"/>
      <c r="G757" s="10"/>
      <c r="H757" s="10"/>
      <c r="I757" s="11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7"/>
      <c r="B758" s="7"/>
      <c r="C758" s="5"/>
      <c r="D758" s="8"/>
      <c r="E758" s="9"/>
      <c r="F758" s="9"/>
      <c r="G758" s="10"/>
      <c r="H758" s="10"/>
      <c r="I758" s="11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7"/>
      <c r="B759" s="7"/>
      <c r="C759" s="5"/>
      <c r="D759" s="8"/>
      <c r="E759" s="9"/>
      <c r="F759" s="9"/>
      <c r="G759" s="10"/>
      <c r="H759" s="10"/>
      <c r="I759" s="11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7"/>
      <c r="B760" s="7"/>
      <c r="C760" s="5"/>
      <c r="D760" s="8"/>
      <c r="E760" s="9"/>
      <c r="F760" s="9"/>
      <c r="G760" s="10"/>
      <c r="H760" s="10"/>
      <c r="I760" s="11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7"/>
      <c r="B761" s="7"/>
      <c r="C761" s="5"/>
      <c r="D761" s="8"/>
      <c r="E761" s="9"/>
      <c r="F761" s="9"/>
      <c r="G761" s="10"/>
      <c r="H761" s="10"/>
      <c r="I761" s="11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7"/>
      <c r="B762" s="7"/>
      <c r="C762" s="5"/>
      <c r="D762" s="8"/>
      <c r="E762" s="9"/>
      <c r="F762" s="9"/>
      <c r="G762" s="10"/>
      <c r="H762" s="10"/>
      <c r="I762" s="11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7"/>
      <c r="B763" s="7"/>
      <c r="C763" s="5"/>
      <c r="D763" s="8"/>
      <c r="E763" s="9"/>
      <c r="F763" s="9"/>
      <c r="G763" s="10"/>
      <c r="H763" s="10"/>
      <c r="I763" s="11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7"/>
      <c r="B764" s="7"/>
      <c r="C764" s="5"/>
      <c r="D764" s="8"/>
      <c r="E764" s="9"/>
      <c r="F764" s="9"/>
      <c r="G764" s="10"/>
      <c r="H764" s="10"/>
      <c r="I764" s="11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7"/>
      <c r="B765" s="7"/>
      <c r="C765" s="5"/>
      <c r="D765" s="8"/>
      <c r="E765" s="9"/>
      <c r="F765" s="9"/>
      <c r="G765" s="10"/>
      <c r="H765" s="10"/>
      <c r="I765" s="11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7"/>
      <c r="B766" s="7"/>
      <c r="C766" s="5"/>
      <c r="D766" s="8"/>
      <c r="E766" s="9"/>
      <c r="F766" s="9"/>
      <c r="G766" s="10"/>
      <c r="H766" s="10"/>
      <c r="I766" s="11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7"/>
      <c r="B767" s="7"/>
      <c r="C767" s="5"/>
      <c r="D767" s="8"/>
      <c r="E767" s="9"/>
      <c r="F767" s="9"/>
      <c r="G767" s="10"/>
      <c r="H767" s="10"/>
      <c r="I767" s="11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7"/>
      <c r="B768" s="7"/>
      <c r="C768" s="5"/>
      <c r="D768" s="8"/>
      <c r="E768" s="9"/>
      <c r="F768" s="9"/>
      <c r="G768" s="10"/>
      <c r="H768" s="10"/>
      <c r="I768" s="11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7"/>
      <c r="B769" s="7"/>
      <c r="C769" s="5"/>
      <c r="D769" s="8"/>
      <c r="E769" s="9"/>
      <c r="F769" s="9"/>
      <c r="G769" s="10"/>
      <c r="H769" s="10"/>
      <c r="I769" s="11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7"/>
      <c r="B770" s="7"/>
      <c r="C770" s="5"/>
      <c r="D770" s="8"/>
      <c r="E770" s="9"/>
      <c r="F770" s="9"/>
      <c r="G770" s="10"/>
      <c r="H770" s="10"/>
      <c r="I770" s="11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7"/>
      <c r="B771" s="7"/>
      <c r="C771" s="5"/>
      <c r="D771" s="8"/>
      <c r="E771" s="9"/>
      <c r="F771" s="9"/>
      <c r="G771" s="10"/>
      <c r="H771" s="10"/>
      <c r="I771" s="11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7"/>
      <c r="B772" s="7"/>
      <c r="C772" s="5"/>
      <c r="D772" s="8"/>
      <c r="E772" s="9"/>
      <c r="F772" s="9"/>
      <c r="G772" s="10"/>
      <c r="H772" s="10"/>
      <c r="I772" s="11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7"/>
      <c r="B773" s="7"/>
      <c r="C773" s="5"/>
      <c r="D773" s="8"/>
      <c r="E773" s="9"/>
      <c r="F773" s="9"/>
      <c r="G773" s="10"/>
      <c r="H773" s="10"/>
      <c r="I773" s="11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7"/>
      <c r="B774" s="7"/>
      <c r="C774" s="5"/>
      <c r="D774" s="8"/>
      <c r="E774" s="9"/>
      <c r="F774" s="9"/>
      <c r="G774" s="10"/>
      <c r="H774" s="10"/>
      <c r="I774" s="11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7"/>
      <c r="B775" s="7"/>
      <c r="C775" s="5"/>
      <c r="D775" s="8"/>
      <c r="E775" s="9"/>
      <c r="F775" s="9"/>
      <c r="G775" s="10"/>
      <c r="H775" s="10"/>
      <c r="I775" s="11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7"/>
      <c r="B776" s="7"/>
      <c r="C776" s="5"/>
      <c r="D776" s="8"/>
      <c r="E776" s="9"/>
      <c r="F776" s="9"/>
      <c r="G776" s="10"/>
      <c r="H776" s="10"/>
      <c r="I776" s="11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7"/>
      <c r="B777" s="7"/>
      <c r="C777" s="5"/>
      <c r="D777" s="8"/>
      <c r="E777" s="9"/>
      <c r="F777" s="9"/>
      <c r="G777" s="10"/>
      <c r="H777" s="10"/>
      <c r="I777" s="11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7"/>
      <c r="B778" s="7"/>
      <c r="C778" s="5"/>
      <c r="D778" s="8"/>
      <c r="E778" s="9"/>
      <c r="F778" s="9"/>
      <c r="G778" s="10"/>
      <c r="H778" s="10"/>
      <c r="I778" s="11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7"/>
      <c r="B779" s="7"/>
      <c r="C779" s="5"/>
      <c r="D779" s="8"/>
      <c r="E779" s="9"/>
      <c r="F779" s="9"/>
      <c r="G779" s="10"/>
      <c r="H779" s="10"/>
      <c r="I779" s="11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7"/>
      <c r="B780" s="7"/>
      <c r="C780" s="5"/>
      <c r="D780" s="8"/>
      <c r="E780" s="9"/>
      <c r="F780" s="9"/>
      <c r="G780" s="10"/>
      <c r="H780" s="10"/>
      <c r="I780" s="11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7"/>
      <c r="B781" s="7"/>
      <c r="C781" s="5"/>
      <c r="D781" s="8"/>
      <c r="E781" s="9"/>
      <c r="F781" s="9"/>
      <c r="G781" s="10"/>
      <c r="H781" s="10"/>
      <c r="I781" s="11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7"/>
      <c r="B782" s="7"/>
      <c r="C782" s="5"/>
      <c r="D782" s="8"/>
      <c r="E782" s="9"/>
      <c r="F782" s="9"/>
      <c r="G782" s="10"/>
      <c r="H782" s="10"/>
      <c r="I782" s="11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7"/>
      <c r="B783" s="7"/>
      <c r="C783" s="5"/>
      <c r="D783" s="8"/>
      <c r="E783" s="9"/>
      <c r="F783" s="9"/>
      <c r="G783" s="10"/>
      <c r="H783" s="10"/>
      <c r="I783" s="11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7"/>
      <c r="B784" s="7"/>
      <c r="C784" s="5"/>
      <c r="D784" s="8"/>
      <c r="E784" s="9"/>
      <c r="F784" s="9"/>
      <c r="G784" s="10"/>
      <c r="H784" s="10"/>
      <c r="I784" s="11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7"/>
      <c r="B785" s="7"/>
      <c r="C785" s="5"/>
      <c r="D785" s="8"/>
      <c r="E785" s="9"/>
      <c r="F785" s="9"/>
      <c r="G785" s="10"/>
      <c r="H785" s="10"/>
      <c r="I785" s="11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7"/>
      <c r="B786" s="7"/>
      <c r="C786" s="5"/>
      <c r="D786" s="8"/>
      <c r="E786" s="9"/>
      <c r="F786" s="9"/>
      <c r="G786" s="10"/>
      <c r="H786" s="10"/>
      <c r="I786" s="11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7"/>
      <c r="B787" s="7"/>
      <c r="C787" s="5"/>
      <c r="D787" s="8"/>
      <c r="E787" s="9"/>
      <c r="F787" s="9"/>
      <c r="G787" s="10"/>
      <c r="H787" s="10"/>
      <c r="I787" s="11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7"/>
      <c r="B788" s="7"/>
      <c r="C788" s="5"/>
      <c r="D788" s="8"/>
      <c r="E788" s="9"/>
      <c r="F788" s="9"/>
      <c r="G788" s="10"/>
      <c r="H788" s="10"/>
      <c r="I788" s="11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7"/>
      <c r="B789" s="7"/>
      <c r="C789" s="5"/>
      <c r="D789" s="8"/>
      <c r="E789" s="9"/>
      <c r="F789" s="9"/>
      <c r="G789" s="10"/>
      <c r="H789" s="10"/>
      <c r="I789" s="11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7"/>
      <c r="B790" s="7"/>
      <c r="C790" s="5"/>
      <c r="D790" s="8"/>
      <c r="E790" s="9"/>
      <c r="F790" s="9"/>
      <c r="G790" s="10"/>
      <c r="H790" s="10"/>
      <c r="I790" s="11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7"/>
      <c r="B791" s="7"/>
      <c r="C791" s="5"/>
      <c r="D791" s="8"/>
      <c r="E791" s="9"/>
      <c r="F791" s="9"/>
      <c r="G791" s="10"/>
      <c r="H791" s="10"/>
      <c r="I791" s="11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7"/>
      <c r="B792" s="7"/>
      <c r="C792" s="5"/>
      <c r="D792" s="8"/>
      <c r="E792" s="9"/>
      <c r="F792" s="9"/>
      <c r="G792" s="10"/>
      <c r="H792" s="10"/>
      <c r="I792" s="11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7"/>
      <c r="B793" s="7"/>
      <c r="C793" s="5"/>
      <c r="D793" s="8"/>
      <c r="E793" s="9"/>
      <c r="F793" s="9"/>
      <c r="G793" s="10"/>
      <c r="H793" s="10"/>
      <c r="I793" s="11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7"/>
      <c r="B794" s="7"/>
      <c r="C794" s="5"/>
      <c r="D794" s="8"/>
      <c r="E794" s="9"/>
      <c r="F794" s="9"/>
      <c r="G794" s="10"/>
      <c r="H794" s="10"/>
      <c r="I794" s="11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7"/>
      <c r="B795" s="7"/>
      <c r="C795" s="5"/>
      <c r="D795" s="8"/>
      <c r="E795" s="9"/>
      <c r="F795" s="9"/>
      <c r="G795" s="10"/>
      <c r="H795" s="10"/>
      <c r="I795" s="11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7"/>
      <c r="B796" s="7"/>
      <c r="C796" s="5"/>
      <c r="D796" s="8"/>
      <c r="E796" s="9"/>
      <c r="F796" s="9"/>
      <c r="G796" s="10"/>
      <c r="H796" s="10"/>
      <c r="I796" s="11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7"/>
      <c r="B797" s="7"/>
      <c r="C797" s="5"/>
      <c r="D797" s="8"/>
      <c r="E797" s="9"/>
      <c r="F797" s="9"/>
      <c r="G797" s="10"/>
      <c r="H797" s="10"/>
      <c r="I797" s="11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7"/>
      <c r="B798" s="7"/>
      <c r="C798" s="5"/>
      <c r="D798" s="8"/>
      <c r="E798" s="9"/>
      <c r="F798" s="9"/>
      <c r="G798" s="10"/>
      <c r="H798" s="10"/>
      <c r="I798" s="11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7"/>
      <c r="B799" s="7"/>
      <c r="C799" s="5"/>
      <c r="D799" s="8"/>
      <c r="E799" s="9"/>
      <c r="F799" s="9"/>
      <c r="G799" s="10"/>
      <c r="H799" s="10"/>
      <c r="I799" s="11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7"/>
      <c r="B800" s="7"/>
      <c r="C800" s="5"/>
      <c r="D800" s="8"/>
      <c r="E800" s="9"/>
      <c r="F800" s="9"/>
      <c r="G800" s="10"/>
      <c r="H800" s="10"/>
      <c r="I800" s="11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7"/>
      <c r="B801" s="7"/>
      <c r="C801" s="5"/>
      <c r="D801" s="8"/>
      <c r="E801" s="9"/>
      <c r="F801" s="9"/>
      <c r="G801" s="10"/>
      <c r="H801" s="10"/>
      <c r="I801" s="11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7"/>
      <c r="B802" s="7"/>
      <c r="C802" s="5"/>
      <c r="D802" s="8"/>
      <c r="E802" s="9"/>
      <c r="F802" s="9"/>
      <c r="G802" s="10"/>
      <c r="H802" s="10"/>
      <c r="I802" s="11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7"/>
      <c r="B803" s="7"/>
      <c r="C803" s="5"/>
      <c r="D803" s="8"/>
      <c r="E803" s="9"/>
      <c r="F803" s="9"/>
      <c r="G803" s="10"/>
      <c r="H803" s="10"/>
      <c r="I803" s="11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7"/>
      <c r="B804" s="7"/>
      <c r="C804" s="5"/>
      <c r="D804" s="8"/>
      <c r="E804" s="9"/>
      <c r="F804" s="9"/>
      <c r="G804" s="10"/>
      <c r="H804" s="10"/>
      <c r="I804" s="11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7"/>
      <c r="B805" s="7"/>
      <c r="C805" s="5"/>
      <c r="D805" s="8"/>
      <c r="E805" s="9"/>
      <c r="F805" s="9"/>
      <c r="G805" s="10"/>
      <c r="H805" s="10"/>
      <c r="I805" s="11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7"/>
      <c r="B806" s="7"/>
      <c r="C806" s="5"/>
      <c r="D806" s="8"/>
      <c r="E806" s="9"/>
      <c r="F806" s="9"/>
      <c r="G806" s="10"/>
      <c r="H806" s="10"/>
      <c r="I806" s="11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7"/>
      <c r="B807" s="7"/>
      <c r="C807" s="5"/>
      <c r="D807" s="8"/>
      <c r="E807" s="9"/>
      <c r="F807" s="9"/>
      <c r="G807" s="10"/>
      <c r="H807" s="10"/>
      <c r="I807" s="11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7"/>
      <c r="B808" s="7"/>
      <c r="C808" s="5"/>
      <c r="D808" s="8"/>
      <c r="E808" s="9"/>
      <c r="F808" s="9"/>
      <c r="G808" s="10"/>
      <c r="H808" s="10"/>
      <c r="I808" s="11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7"/>
      <c r="B809" s="7"/>
      <c r="C809" s="5"/>
      <c r="D809" s="8"/>
      <c r="E809" s="9"/>
      <c r="F809" s="9"/>
      <c r="G809" s="10"/>
      <c r="H809" s="10"/>
      <c r="I809" s="11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7"/>
      <c r="B810" s="7"/>
      <c r="C810" s="5"/>
      <c r="D810" s="8"/>
      <c r="E810" s="9"/>
      <c r="F810" s="9"/>
      <c r="G810" s="10"/>
      <c r="H810" s="10"/>
      <c r="I810" s="11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7"/>
      <c r="B811" s="7"/>
      <c r="C811" s="5"/>
      <c r="D811" s="8"/>
      <c r="E811" s="9"/>
      <c r="F811" s="9"/>
      <c r="G811" s="10"/>
      <c r="H811" s="10"/>
      <c r="I811" s="11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7"/>
      <c r="B812" s="7"/>
      <c r="C812" s="5"/>
      <c r="D812" s="8"/>
      <c r="E812" s="9"/>
      <c r="F812" s="9"/>
      <c r="G812" s="10"/>
      <c r="H812" s="10"/>
      <c r="I812" s="11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7"/>
      <c r="B813" s="7"/>
      <c r="C813" s="5"/>
      <c r="D813" s="8"/>
      <c r="E813" s="9"/>
      <c r="F813" s="9"/>
      <c r="G813" s="10"/>
      <c r="H813" s="10"/>
      <c r="I813" s="11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7"/>
      <c r="B814" s="7"/>
      <c r="C814" s="5"/>
      <c r="D814" s="8"/>
      <c r="E814" s="9"/>
      <c r="F814" s="9"/>
      <c r="G814" s="10"/>
      <c r="H814" s="10"/>
      <c r="I814" s="11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7"/>
      <c r="B815" s="7"/>
      <c r="C815" s="5"/>
      <c r="D815" s="8"/>
      <c r="E815" s="9"/>
      <c r="F815" s="9"/>
      <c r="G815" s="10"/>
      <c r="H815" s="10"/>
      <c r="I815" s="11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7"/>
      <c r="B816" s="7"/>
      <c r="C816" s="5"/>
      <c r="D816" s="8"/>
      <c r="E816" s="9"/>
      <c r="F816" s="9"/>
      <c r="G816" s="10"/>
      <c r="H816" s="10"/>
      <c r="I816" s="11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7"/>
      <c r="B817" s="7"/>
      <c r="C817" s="5"/>
      <c r="D817" s="8"/>
      <c r="E817" s="9"/>
      <c r="F817" s="9"/>
      <c r="G817" s="10"/>
      <c r="H817" s="10"/>
      <c r="I817" s="11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7"/>
      <c r="B818" s="7"/>
      <c r="C818" s="5"/>
      <c r="D818" s="8"/>
      <c r="E818" s="9"/>
      <c r="F818" s="9"/>
      <c r="G818" s="10"/>
      <c r="H818" s="10"/>
      <c r="I818" s="11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7"/>
      <c r="B819" s="7"/>
      <c r="C819" s="5"/>
      <c r="D819" s="8"/>
      <c r="E819" s="9"/>
      <c r="F819" s="9"/>
      <c r="G819" s="10"/>
      <c r="H819" s="10"/>
      <c r="I819" s="11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7"/>
      <c r="B820" s="7"/>
      <c r="C820" s="5"/>
      <c r="D820" s="8"/>
      <c r="E820" s="9"/>
      <c r="F820" s="9"/>
      <c r="G820" s="10"/>
      <c r="H820" s="10"/>
      <c r="I820" s="11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7"/>
      <c r="B821" s="7"/>
      <c r="C821" s="5"/>
      <c r="D821" s="8"/>
      <c r="E821" s="9"/>
      <c r="F821" s="9"/>
      <c r="G821" s="10"/>
      <c r="H821" s="10"/>
      <c r="I821" s="11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7"/>
      <c r="B822" s="7"/>
      <c r="C822" s="5"/>
      <c r="D822" s="8"/>
      <c r="E822" s="9"/>
      <c r="F822" s="9"/>
      <c r="G822" s="10"/>
      <c r="H822" s="10"/>
      <c r="I822" s="11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7"/>
      <c r="B823" s="7"/>
      <c r="C823" s="5"/>
      <c r="D823" s="8"/>
      <c r="E823" s="9"/>
      <c r="F823" s="9"/>
      <c r="G823" s="10"/>
      <c r="H823" s="10"/>
      <c r="I823" s="11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7"/>
      <c r="B824" s="7"/>
      <c r="C824" s="5"/>
      <c r="D824" s="8"/>
      <c r="E824" s="9"/>
      <c r="F824" s="9"/>
      <c r="G824" s="10"/>
      <c r="H824" s="10"/>
      <c r="I824" s="11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7"/>
      <c r="B825" s="7"/>
      <c r="C825" s="5"/>
      <c r="D825" s="8"/>
      <c r="E825" s="9"/>
      <c r="F825" s="9"/>
      <c r="G825" s="10"/>
      <c r="H825" s="10"/>
      <c r="I825" s="11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7"/>
      <c r="B826" s="7"/>
      <c r="C826" s="5"/>
      <c r="D826" s="8"/>
      <c r="E826" s="9"/>
      <c r="F826" s="9"/>
      <c r="G826" s="10"/>
      <c r="H826" s="10"/>
      <c r="I826" s="11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7"/>
      <c r="B827" s="7"/>
      <c r="C827" s="5"/>
      <c r="D827" s="8"/>
      <c r="E827" s="9"/>
      <c r="F827" s="9"/>
      <c r="G827" s="10"/>
      <c r="H827" s="10"/>
      <c r="I827" s="11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7"/>
      <c r="B828" s="7"/>
      <c r="C828" s="5"/>
      <c r="D828" s="8"/>
      <c r="E828" s="9"/>
      <c r="F828" s="9"/>
      <c r="G828" s="10"/>
      <c r="H828" s="10"/>
      <c r="I828" s="11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7"/>
      <c r="B829" s="7"/>
      <c r="C829" s="5"/>
      <c r="D829" s="8"/>
      <c r="E829" s="9"/>
      <c r="F829" s="9"/>
      <c r="G829" s="10"/>
      <c r="H829" s="10"/>
      <c r="I829" s="11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7"/>
      <c r="B830" s="7"/>
      <c r="C830" s="5"/>
      <c r="D830" s="8"/>
      <c r="E830" s="9"/>
      <c r="F830" s="9"/>
      <c r="G830" s="10"/>
      <c r="H830" s="10"/>
      <c r="I830" s="11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7"/>
      <c r="B831" s="7"/>
      <c r="C831" s="5"/>
      <c r="D831" s="8"/>
      <c r="E831" s="9"/>
      <c r="F831" s="9"/>
      <c r="G831" s="10"/>
      <c r="H831" s="10"/>
      <c r="I831" s="11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7"/>
      <c r="B832" s="7"/>
      <c r="C832" s="5"/>
      <c r="D832" s="8"/>
      <c r="E832" s="9"/>
      <c r="F832" s="9"/>
      <c r="G832" s="10"/>
      <c r="H832" s="10"/>
      <c r="I832" s="11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7"/>
      <c r="B833" s="7"/>
      <c r="C833" s="5"/>
      <c r="D833" s="8"/>
      <c r="E833" s="9"/>
      <c r="F833" s="9"/>
      <c r="G833" s="10"/>
      <c r="H833" s="10"/>
      <c r="I833" s="11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7"/>
      <c r="B834" s="7"/>
      <c r="C834" s="5"/>
      <c r="D834" s="8"/>
      <c r="E834" s="9"/>
      <c r="F834" s="9"/>
      <c r="G834" s="10"/>
      <c r="H834" s="10"/>
      <c r="I834" s="11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7"/>
      <c r="B835" s="7"/>
      <c r="C835" s="5"/>
      <c r="D835" s="8"/>
      <c r="E835" s="9"/>
      <c r="F835" s="9"/>
      <c r="G835" s="10"/>
      <c r="H835" s="10"/>
      <c r="I835" s="11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7"/>
      <c r="B836" s="7"/>
      <c r="C836" s="5"/>
      <c r="D836" s="8"/>
      <c r="E836" s="9"/>
      <c r="F836" s="9"/>
      <c r="G836" s="10"/>
      <c r="H836" s="10"/>
      <c r="I836" s="11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7"/>
      <c r="B837" s="7"/>
      <c r="C837" s="5"/>
      <c r="D837" s="8"/>
      <c r="E837" s="9"/>
      <c r="F837" s="9"/>
      <c r="G837" s="10"/>
      <c r="H837" s="10"/>
      <c r="I837" s="11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7"/>
      <c r="B838" s="7"/>
      <c r="C838" s="5"/>
      <c r="D838" s="8"/>
      <c r="E838" s="9"/>
      <c r="F838" s="9"/>
      <c r="G838" s="10"/>
      <c r="H838" s="10"/>
      <c r="I838" s="11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7"/>
      <c r="B839" s="7"/>
      <c r="C839" s="5"/>
      <c r="D839" s="8"/>
      <c r="E839" s="9"/>
      <c r="F839" s="9"/>
      <c r="G839" s="10"/>
      <c r="H839" s="10"/>
      <c r="I839" s="11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7"/>
      <c r="B840" s="7"/>
      <c r="C840" s="5"/>
      <c r="D840" s="8"/>
      <c r="E840" s="9"/>
      <c r="F840" s="9"/>
      <c r="G840" s="10"/>
      <c r="H840" s="10"/>
      <c r="I840" s="11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7"/>
      <c r="B841" s="7"/>
      <c r="C841" s="5"/>
      <c r="D841" s="8"/>
      <c r="E841" s="9"/>
      <c r="F841" s="9"/>
      <c r="G841" s="10"/>
      <c r="H841" s="10"/>
      <c r="I841" s="11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7"/>
      <c r="B842" s="7"/>
      <c r="C842" s="5"/>
      <c r="D842" s="8"/>
      <c r="E842" s="9"/>
      <c r="F842" s="9"/>
      <c r="G842" s="10"/>
      <c r="H842" s="10"/>
      <c r="I842" s="11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7"/>
      <c r="B843" s="7"/>
      <c r="C843" s="5"/>
      <c r="D843" s="8"/>
      <c r="E843" s="9"/>
      <c r="F843" s="9"/>
      <c r="G843" s="10"/>
      <c r="H843" s="10"/>
      <c r="I843" s="11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7"/>
      <c r="B844" s="7"/>
      <c r="C844" s="5"/>
      <c r="D844" s="8"/>
      <c r="E844" s="9"/>
      <c r="F844" s="9"/>
      <c r="G844" s="10"/>
      <c r="H844" s="10"/>
      <c r="I844" s="11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7"/>
      <c r="B845" s="7"/>
      <c r="C845" s="5"/>
      <c r="D845" s="8"/>
      <c r="E845" s="9"/>
      <c r="F845" s="9"/>
      <c r="G845" s="10"/>
      <c r="H845" s="10"/>
      <c r="I845" s="11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7"/>
      <c r="B846" s="7"/>
      <c r="C846" s="5"/>
      <c r="D846" s="8"/>
      <c r="E846" s="9"/>
      <c r="F846" s="9"/>
      <c r="G846" s="10"/>
      <c r="H846" s="10"/>
      <c r="I846" s="11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7"/>
      <c r="B847" s="7"/>
      <c r="C847" s="5"/>
      <c r="D847" s="8"/>
      <c r="E847" s="9"/>
      <c r="F847" s="9"/>
      <c r="G847" s="10"/>
      <c r="H847" s="10"/>
      <c r="I847" s="11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7"/>
      <c r="B848" s="7"/>
      <c r="C848" s="5"/>
      <c r="D848" s="8"/>
      <c r="E848" s="9"/>
      <c r="F848" s="9"/>
      <c r="G848" s="10"/>
      <c r="H848" s="10"/>
      <c r="I848" s="11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7"/>
      <c r="B849" s="7"/>
      <c r="C849" s="5"/>
      <c r="D849" s="8"/>
      <c r="E849" s="9"/>
      <c r="F849" s="9"/>
      <c r="G849" s="10"/>
      <c r="H849" s="10"/>
      <c r="I849" s="11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7"/>
      <c r="B850" s="7"/>
      <c r="C850" s="5"/>
      <c r="D850" s="8"/>
      <c r="E850" s="9"/>
      <c r="F850" s="9"/>
      <c r="G850" s="10"/>
      <c r="H850" s="10"/>
      <c r="I850" s="11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7"/>
      <c r="B851" s="7"/>
      <c r="C851" s="5"/>
      <c r="D851" s="8"/>
      <c r="E851" s="9"/>
      <c r="F851" s="9"/>
      <c r="G851" s="10"/>
      <c r="H851" s="10"/>
      <c r="I851" s="11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7"/>
      <c r="B852" s="7"/>
      <c r="C852" s="5"/>
      <c r="D852" s="8"/>
      <c r="E852" s="9"/>
      <c r="F852" s="9"/>
      <c r="G852" s="10"/>
      <c r="H852" s="10"/>
      <c r="I852" s="11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7"/>
      <c r="B853" s="7"/>
      <c r="C853" s="5"/>
      <c r="D853" s="8"/>
      <c r="E853" s="9"/>
      <c r="F853" s="9"/>
      <c r="G853" s="10"/>
      <c r="H853" s="10"/>
      <c r="I853" s="11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7"/>
      <c r="B854" s="7"/>
      <c r="C854" s="5"/>
      <c r="D854" s="8"/>
      <c r="E854" s="9"/>
      <c r="F854" s="9"/>
      <c r="G854" s="10"/>
      <c r="H854" s="10"/>
      <c r="I854" s="11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7"/>
      <c r="B855" s="7"/>
      <c r="C855" s="5"/>
      <c r="D855" s="8"/>
      <c r="E855" s="9"/>
      <c r="F855" s="9"/>
      <c r="G855" s="10"/>
      <c r="H855" s="10"/>
      <c r="I855" s="11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7"/>
      <c r="B856" s="7"/>
      <c r="C856" s="5"/>
      <c r="D856" s="8"/>
      <c r="E856" s="9"/>
      <c r="F856" s="9"/>
      <c r="G856" s="10"/>
      <c r="H856" s="10"/>
      <c r="I856" s="11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7"/>
      <c r="B857" s="7"/>
      <c r="C857" s="5"/>
      <c r="D857" s="8"/>
      <c r="E857" s="9"/>
      <c r="F857" s="9"/>
      <c r="G857" s="10"/>
      <c r="H857" s="10"/>
      <c r="I857" s="11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7"/>
      <c r="B858" s="7"/>
      <c r="C858" s="5"/>
      <c r="D858" s="8"/>
      <c r="E858" s="9"/>
      <c r="F858" s="9"/>
      <c r="G858" s="10"/>
      <c r="H858" s="10"/>
      <c r="I858" s="11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7"/>
      <c r="B859" s="7"/>
      <c r="C859" s="5"/>
      <c r="D859" s="8"/>
      <c r="E859" s="9"/>
      <c r="F859" s="9"/>
      <c r="G859" s="10"/>
      <c r="H859" s="10"/>
      <c r="I859" s="11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7"/>
      <c r="B860" s="7"/>
      <c r="C860" s="5"/>
      <c r="D860" s="8"/>
      <c r="E860" s="9"/>
      <c r="F860" s="9"/>
      <c r="G860" s="10"/>
      <c r="H860" s="10"/>
      <c r="I860" s="11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7"/>
      <c r="B861" s="7"/>
      <c r="C861" s="5"/>
      <c r="D861" s="8"/>
      <c r="E861" s="9"/>
      <c r="F861" s="9"/>
      <c r="G861" s="10"/>
      <c r="H861" s="10"/>
      <c r="I861" s="11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7"/>
      <c r="B862" s="7"/>
      <c r="C862" s="5"/>
      <c r="D862" s="8"/>
      <c r="E862" s="9"/>
      <c r="F862" s="9"/>
      <c r="G862" s="10"/>
      <c r="H862" s="10"/>
      <c r="I862" s="11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7"/>
      <c r="B863" s="7"/>
      <c r="C863" s="5"/>
      <c r="D863" s="8"/>
      <c r="E863" s="9"/>
      <c r="F863" s="9"/>
      <c r="G863" s="10"/>
      <c r="H863" s="10"/>
      <c r="I863" s="11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7"/>
      <c r="B864" s="7"/>
      <c r="C864" s="5"/>
      <c r="D864" s="8"/>
      <c r="E864" s="9"/>
      <c r="F864" s="9"/>
      <c r="G864" s="10"/>
      <c r="H864" s="10"/>
      <c r="I864" s="11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7"/>
      <c r="B865" s="7"/>
      <c r="C865" s="5"/>
      <c r="D865" s="8"/>
      <c r="E865" s="9"/>
      <c r="F865" s="9"/>
      <c r="G865" s="10"/>
      <c r="H865" s="10"/>
      <c r="I865" s="11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7"/>
      <c r="B866" s="7"/>
      <c r="C866" s="5"/>
      <c r="D866" s="8"/>
      <c r="E866" s="9"/>
      <c r="F866" s="9"/>
      <c r="G866" s="10"/>
      <c r="H866" s="10"/>
      <c r="I866" s="11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7"/>
      <c r="B867" s="7"/>
      <c r="C867" s="5"/>
      <c r="D867" s="8"/>
      <c r="E867" s="9"/>
      <c r="F867" s="9"/>
      <c r="G867" s="10"/>
      <c r="H867" s="10"/>
      <c r="I867" s="11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7"/>
      <c r="B868" s="7"/>
      <c r="C868" s="5"/>
      <c r="D868" s="8"/>
      <c r="E868" s="9"/>
      <c r="F868" s="9"/>
      <c r="G868" s="10"/>
      <c r="H868" s="10"/>
      <c r="I868" s="11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7"/>
      <c r="B869" s="7"/>
      <c r="C869" s="5"/>
      <c r="D869" s="8"/>
      <c r="E869" s="9"/>
      <c r="F869" s="9"/>
      <c r="G869" s="10"/>
      <c r="H869" s="10"/>
      <c r="I869" s="11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7"/>
      <c r="B870" s="7"/>
      <c r="C870" s="5"/>
      <c r="D870" s="8"/>
      <c r="E870" s="9"/>
      <c r="F870" s="9"/>
      <c r="G870" s="10"/>
      <c r="H870" s="10"/>
      <c r="I870" s="11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7"/>
      <c r="B871" s="7"/>
      <c r="C871" s="5"/>
      <c r="D871" s="8"/>
      <c r="E871" s="9"/>
      <c r="F871" s="9"/>
      <c r="G871" s="10"/>
      <c r="H871" s="10"/>
      <c r="I871" s="11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7"/>
      <c r="B872" s="7"/>
      <c r="C872" s="5"/>
      <c r="D872" s="8"/>
      <c r="E872" s="9"/>
      <c r="F872" s="9"/>
      <c r="G872" s="10"/>
      <c r="H872" s="10"/>
      <c r="I872" s="11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7"/>
      <c r="B873" s="7"/>
      <c r="C873" s="5"/>
      <c r="D873" s="8"/>
      <c r="E873" s="9"/>
      <c r="F873" s="9"/>
      <c r="G873" s="10"/>
      <c r="H873" s="10"/>
      <c r="I873" s="11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7"/>
      <c r="B874" s="7"/>
      <c r="C874" s="5"/>
      <c r="D874" s="8"/>
      <c r="E874" s="9"/>
      <c r="F874" s="9"/>
      <c r="G874" s="10"/>
      <c r="H874" s="10"/>
      <c r="I874" s="11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7"/>
      <c r="B875" s="7"/>
      <c r="C875" s="5"/>
      <c r="D875" s="8"/>
      <c r="E875" s="9"/>
      <c r="F875" s="9"/>
      <c r="G875" s="10"/>
      <c r="H875" s="10"/>
      <c r="I875" s="11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7"/>
      <c r="B876" s="7"/>
      <c r="C876" s="5"/>
      <c r="D876" s="8"/>
      <c r="E876" s="9"/>
      <c r="F876" s="9"/>
      <c r="G876" s="10"/>
      <c r="H876" s="10"/>
      <c r="I876" s="11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7"/>
      <c r="B877" s="7"/>
      <c r="C877" s="5"/>
      <c r="D877" s="8"/>
      <c r="E877" s="9"/>
      <c r="F877" s="9"/>
      <c r="G877" s="10"/>
      <c r="H877" s="10"/>
      <c r="I877" s="11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7"/>
      <c r="B878" s="7"/>
      <c r="C878" s="5"/>
      <c r="D878" s="8"/>
      <c r="E878" s="9"/>
      <c r="F878" s="9"/>
      <c r="G878" s="10"/>
      <c r="H878" s="10"/>
      <c r="I878" s="11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7"/>
      <c r="B879" s="7"/>
      <c r="C879" s="5"/>
      <c r="D879" s="8"/>
      <c r="E879" s="9"/>
      <c r="F879" s="9"/>
      <c r="G879" s="10"/>
      <c r="H879" s="10"/>
      <c r="I879" s="11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7"/>
      <c r="B880" s="7"/>
      <c r="C880" s="5"/>
      <c r="D880" s="8"/>
      <c r="E880" s="9"/>
      <c r="F880" s="9"/>
      <c r="G880" s="10"/>
      <c r="H880" s="10"/>
      <c r="I880" s="11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7"/>
      <c r="B881" s="7"/>
      <c r="C881" s="5"/>
      <c r="D881" s="8"/>
      <c r="E881" s="9"/>
      <c r="F881" s="9"/>
      <c r="G881" s="10"/>
      <c r="H881" s="10"/>
      <c r="I881" s="11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7"/>
      <c r="B882" s="7"/>
      <c r="C882" s="5"/>
      <c r="D882" s="8"/>
      <c r="E882" s="9"/>
      <c r="F882" s="9"/>
      <c r="G882" s="10"/>
      <c r="H882" s="10"/>
      <c r="I882" s="11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7"/>
      <c r="B883" s="7"/>
      <c r="C883" s="5"/>
      <c r="D883" s="8"/>
      <c r="E883" s="9"/>
      <c r="F883" s="9"/>
      <c r="G883" s="10"/>
      <c r="H883" s="10"/>
      <c r="I883" s="11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7"/>
      <c r="B884" s="7"/>
      <c r="C884" s="5"/>
      <c r="D884" s="8"/>
      <c r="E884" s="9"/>
      <c r="F884" s="9"/>
      <c r="G884" s="10"/>
      <c r="H884" s="10"/>
      <c r="I884" s="11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7"/>
      <c r="B885" s="7"/>
      <c r="C885" s="5"/>
      <c r="D885" s="8"/>
      <c r="E885" s="9"/>
      <c r="F885" s="9"/>
      <c r="G885" s="10"/>
      <c r="H885" s="10"/>
      <c r="I885" s="11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7"/>
      <c r="B886" s="7"/>
      <c r="C886" s="5"/>
      <c r="D886" s="8"/>
      <c r="E886" s="9"/>
      <c r="F886" s="9"/>
      <c r="G886" s="10"/>
      <c r="H886" s="10"/>
      <c r="I886" s="11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7"/>
      <c r="B887" s="7"/>
      <c r="C887" s="5"/>
      <c r="D887" s="8"/>
      <c r="E887" s="9"/>
      <c r="F887" s="9"/>
      <c r="G887" s="10"/>
      <c r="H887" s="10"/>
      <c r="I887" s="11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7"/>
      <c r="B888" s="7"/>
      <c r="C888" s="5"/>
      <c r="D888" s="8"/>
      <c r="E888" s="9"/>
      <c r="F888" s="9"/>
      <c r="G888" s="10"/>
      <c r="H888" s="10"/>
      <c r="I888" s="11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7"/>
      <c r="B889" s="7"/>
      <c r="C889" s="5"/>
      <c r="D889" s="8"/>
      <c r="E889" s="9"/>
      <c r="F889" s="9"/>
      <c r="G889" s="10"/>
      <c r="H889" s="10"/>
      <c r="I889" s="11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7"/>
      <c r="B890" s="7"/>
      <c r="C890" s="5"/>
      <c r="D890" s="8"/>
      <c r="E890" s="9"/>
      <c r="F890" s="9"/>
      <c r="G890" s="10"/>
      <c r="H890" s="10"/>
      <c r="I890" s="11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7"/>
      <c r="B891" s="7"/>
      <c r="C891" s="5"/>
      <c r="D891" s="8"/>
      <c r="E891" s="9"/>
      <c r="F891" s="9"/>
      <c r="G891" s="10"/>
      <c r="H891" s="10"/>
      <c r="I891" s="11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7"/>
      <c r="B892" s="7"/>
      <c r="C892" s="5"/>
      <c r="D892" s="8"/>
      <c r="E892" s="9"/>
      <c r="F892" s="9"/>
      <c r="G892" s="10"/>
      <c r="H892" s="10"/>
      <c r="I892" s="11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7"/>
      <c r="B893" s="7"/>
      <c r="C893" s="5"/>
      <c r="D893" s="8"/>
      <c r="E893" s="9"/>
      <c r="F893" s="9"/>
      <c r="G893" s="10"/>
      <c r="H893" s="10"/>
      <c r="I893" s="11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7"/>
      <c r="B894" s="7"/>
      <c r="C894" s="5"/>
      <c r="D894" s="8"/>
      <c r="E894" s="9"/>
      <c r="F894" s="9"/>
      <c r="G894" s="10"/>
      <c r="H894" s="10"/>
      <c r="I894" s="11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7"/>
      <c r="B895" s="7"/>
      <c r="C895" s="5"/>
      <c r="D895" s="8"/>
      <c r="E895" s="9"/>
      <c r="F895" s="9"/>
      <c r="G895" s="10"/>
      <c r="H895" s="10"/>
      <c r="I895" s="11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7"/>
      <c r="B896" s="7"/>
      <c r="C896" s="5"/>
      <c r="D896" s="8"/>
      <c r="E896" s="9"/>
      <c r="F896" s="9"/>
      <c r="G896" s="10"/>
      <c r="H896" s="10"/>
      <c r="I896" s="11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7"/>
      <c r="B897" s="7"/>
      <c r="C897" s="5"/>
      <c r="D897" s="8"/>
      <c r="E897" s="9"/>
      <c r="F897" s="9"/>
      <c r="G897" s="10"/>
      <c r="H897" s="10"/>
      <c r="I897" s="11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7"/>
      <c r="B898" s="7"/>
      <c r="C898" s="5"/>
      <c r="D898" s="8"/>
      <c r="E898" s="9"/>
      <c r="F898" s="9"/>
      <c r="G898" s="10"/>
      <c r="H898" s="10"/>
      <c r="I898" s="11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7"/>
      <c r="B899" s="7"/>
      <c r="C899" s="5"/>
      <c r="D899" s="8"/>
      <c r="E899" s="9"/>
      <c r="F899" s="9"/>
      <c r="G899" s="10"/>
      <c r="H899" s="10"/>
      <c r="I899" s="11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7"/>
      <c r="B900" s="7"/>
      <c r="C900" s="5"/>
      <c r="D900" s="8"/>
      <c r="E900" s="9"/>
      <c r="F900" s="9"/>
      <c r="G900" s="10"/>
      <c r="H900" s="10"/>
      <c r="I900" s="11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7"/>
      <c r="B901" s="7"/>
      <c r="C901" s="5"/>
      <c r="D901" s="8"/>
      <c r="E901" s="9"/>
      <c r="F901" s="9"/>
      <c r="G901" s="10"/>
      <c r="H901" s="10"/>
      <c r="I901" s="11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7"/>
      <c r="B902" s="7"/>
      <c r="C902" s="5"/>
      <c r="D902" s="8"/>
      <c r="E902" s="9"/>
      <c r="F902" s="9"/>
      <c r="G902" s="10"/>
      <c r="H902" s="10"/>
      <c r="I902" s="11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7"/>
      <c r="B903" s="7"/>
      <c r="C903" s="5"/>
      <c r="D903" s="8"/>
      <c r="E903" s="9"/>
      <c r="F903" s="9"/>
      <c r="G903" s="10"/>
      <c r="H903" s="10"/>
      <c r="I903" s="11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7"/>
      <c r="B904" s="7"/>
      <c r="C904" s="5"/>
      <c r="D904" s="8"/>
      <c r="E904" s="9"/>
      <c r="F904" s="9"/>
      <c r="G904" s="10"/>
      <c r="H904" s="10"/>
      <c r="I904" s="11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7"/>
      <c r="B905" s="7"/>
      <c r="C905" s="5"/>
      <c r="D905" s="8"/>
      <c r="E905" s="9"/>
      <c r="F905" s="9"/>
      <c r="G905" s="10"/>
      <c r="H905" s="10"/>
      <c r="I905" s="11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7"/>
      <c r="B906" s="7"/>
      <c r="C906" s="5"/>
      <c r="D906" s="8"/>
      <c r="E906" s="9"/>
      <c r="F906" s="9"/>
      <c r="G906" s="10"/>
      <c r="H906" s="10"/>
      <c r="I906" s="11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7"/>
      <c r="B907" s="7"/>
      <c r="C907" s="5"/>
      <c r="D907" s="8"/>
      <c r="E907" s="9"/>
      <c r="F907" s="9"/>
      <c r="G907" s="10"/>
      <c r="H907" s="10"/>
      <c r="I907" s="11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7"/>
      <c r="B908" s="7"/>
      <c r="C908" s="5"/>
      <c r="D908" s="8"/>
      <c r="E908" s="9"/>
      <c r="F908" s="9"/>
      <c r="G908" s="10"/>
      <c r="H908" s="10"/>
      <c r="I908" s="11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7"/>
      <c r="B909" s="7"/>
      <c r="C909" s="5"/>
      <c r="D909" s="8"/>
      <c r="E909" s="9"/>
      <c r="F909" s="9"/>
      <c r="G909" s="10"/>
      <c r="H909" s="10"/>
      <c r="I909" s="11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7"/>
      <c r="B910" s="7"/>
      <c r="C910" s="5"/>
      <c r="D910" s="8"/>
      <c r="E910" s="9"/>
      <c r="F910" s="9"/>
      <c r="G910" s="10"/>
      <c r="H910" s="10"/>
      <c r="I910" s="11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7"/>
      <c r="B911" s="7"/>
      <c r="C911" s="5"/>
      <c r="D911" s="8"/>
      <c r="E911" s="9"/>
      <c r="F911" s="9"/>
      <c r="G911" s="10"/>
      <c r="H911" s="10"/>
      <c r="I911" s="11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7"/>
      <c r="B912" s="7"/>
      <c r="C912" s="5"/>
      <c r="D912" s="8"/>
      <c r="E912" s="9"/>
      <c r="F912" s="9"/>
      <c r="G912" s="10"/>
      <c r="H912" s="10"/>
      <c r="I912" s="11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7"/>
      <c r="B913" s="7"/>
      <c r="C913" s="5"/>
      <c r="D913" s="8"/>
      <c r="E913" s="9"/>
      <c r="F913" s="9"/>
      <c r="G913" s="10"/>
      <c r="H913" s="10"/>
      <c r="I913" s="11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7"/>
      <c r="B914" s="7"/>
      <c r="C914" s="5"/>
      <c r="D914" s="8"/>
      <c r="E914" s="9"/>
      <c r="F914" s="9"/>
      <c r="G914" s="10"/>
      <c r="H914" s="10"/>
      <c r="I914" s="11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7"/>
      <c r="B915" s="7"/>
      <c r="C915" s="5"/>
      <c r="D915" s="8"/>
      <c r="E915" s="9"/>
      <c r="F915" s="9"/>
      <c r="G915" s="10"/>
      <c r="H915" s="10"/>
      <c r="I915" s="11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7"/>
      <c r="B916" s="7"/>
      <c r="C916" s="5"/>
      <c r="D916" s="8"/>
      <c r="E916" s="9"/>
      <c r="F916" s="9"/>
      <c r="G916" s="10"/>
      <c r="H916" s="10"/>
      <c r="I916" s="11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7"/>
      <c r="B917" s="7"/>
      <c r="C917" s="5"/>
      <c r="D917" s="8"/>
      <c r="E917" s="9"/>
      <c r="F917" s="9"/>
      <c r="G917" s="10"/>
      <c r="H917" s="10"/>
      <c r="I917" s="11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7"/>
      <c r="B918" s="7"/>
      <c r="C918" s="5"/>
      <c r="D918" s="8"/>
      <c r="E918" s="9"/>
      <c r="F918" s="9"/>
      <c r="G918" s="10"/>
      <c r="H918" s="10"/>
      <c r="I918" s="11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7"/>
      <c r="B919" s="7"/>
      <c r="C919" s="5"/>
      <c r="D919" s="8"/>
      <c r="E919" s="9"/>
      <c r="F919" s="9"/>
      <c r="G919" s="10"/>
      <c r="H919" s="10"/>
      <c r="I919" s="11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7"/>
      <c r="B920" s="7"/>
      <c r="C920" s="5"/>
      <c r="D920" s="8"/>
      <c r="E920" s="9"/>
      <c r="F920" s="9"/>
      <c r="G920" s="10"/>
      <c r="H920" s="10"/>
      <c r="I920" s="11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7"/>
      <c r="B921" s="7"/>
      <c r="C921" s="5"/>
      <c r="D921" s="8"/>
      <c r="E921" s="9"/>
      <c r="F921" s="9"/>
      <c r="G921" s="10"/>
      <c r="H921" s="10"/>
      <c r="I921" s="11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7"/>
      <c r="B922" s="7"/>
      <c r="C922" s="5"/>
      <c r="D922" s="8"/>
      <c r="E922" s="9"/>
      <c r="F922" s="9"/>
      <c r="G922" s="10"/>
      <c r="H922" s="10"/>
      <c r="I922" s="11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7"/>
      <c r="B923" s="7"/>
      <c r="C923" s="5"/>
      <c r="D923" s="8"/>
      <c r="E923" s="9"/>
      <c r="F923" s="9"/>
      <c r="G923" s="10"/>
      <c r="H923" s="10"/>
      <c r="I923" s="11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7"/>
      <c r="B924" s="7"/>
      <c r="C924" s="5"/>
      <c r="D924" s="8"/>
      <c r="E924" s="9"/>
      <c r="F924" s="9"/>
      <c r="G924" s="10"/>
      <c r="H924" s="10"/>
      <c r="I924" s="11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7"/>
      <c r="B925" s="7"/>
      <c r="C925" s="5"/>
      <c r="D925" s="8"/>
      <c r="E925" s="9"/>
      <c r="F925" s="9"/>
      <c r="G925" s="10"/>
      <c r="H925" s="10"/>
      <c r="I925" s="11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7"/>
      <c r="B926" s="7"/>
      <c r="C926" s="5"/>
      <c r="D926" s="8"/>
      <c r="E926" s="9"/>
      <c r="F926" s="9"/>
      <c r="G926" s="10"/>
      <c r="H926" s="10"/>
      <c r="I926" s="11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7"/>
      <c r="B927" s="7"/>
      <c r="C927" s="5"/>
      <c r="D927" s="8"/>
      <c r="E927" s="9"/>
      <c r="F927" s="9"/>
      <c r="G927" s="10"/>
      <c r="H927" s="10"/>
      <c r="I927" s="11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7"/>
      <c r="B928" s="7"/>
      <c r="C928" s="5"/>
      <c r="D928" s="8"/>
      <c r="E928" s="9"/>
      <c r="F928" s="9"/>
      <c r="G928" s="10"/>
      <c r="H928" s="10"/>
      <c r="I928" s="11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7"/>
      <c r="B929" s="7"/>
      <c r="C929" s="5"/>
      <c r="D929" s="8"/>
      <c r="E929" s="9"/>
      <c r="F929" s="9"/>
      <c r="G929" s="10"/>
      <c r="H929" s="10"/>
      <c r="I929" s="11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7"/>
      <c r="B930" s="7"/>
      <c r="C930" s="5"/>
      <c r="D930" s="8"/>
      <c r="E930" s="9"/>
      <c r="F930" s="9"/>
      <c r="G930" s="10"/>
      <c r="H930" s="10"/>
      <c r="I930" s="11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7"/>
      <c r="B931" s="7"/>
      <c r="C931" s="5"/>
      <c r="D931" s="8"/>
      <c r="E931" s="9"/>
      <c r="F931" s="9"/>
      <c r="G931" s="10"/>
      <c r="H931" s="10"/>
      <c r="I931" s="11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7"/>
      <c r="B932" s="7"/>
      <c r="C932" s="5"/>
      <c r="D932" s="8"/>
      <c r="E932" s="9"/>
      <c r="F932" s="9"/>
      <c r="G932" s="10"/>
      <c r="H932" s="10"/>
      <c r="I932" s="11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7"/>
      <c r="B933" s="7"/>
      <c r="C933" s="5"/>
      <c r="D933" s="8"/>
      <c r="E933" s="9"/>
      <c r="F933" s="9"/>
      <c r="G933" s="10"/>
      <c r="H933" s="10"/>
      <c r="I933" s="11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7"/>
      <c r="B934" s="7"/>
      <c r="C934" s="5"/>
      <c r="D934" s="8"/>
      <c r="E934" s="9"/>
      <c r="F934" s="9"/>
      <c r="G934" s="10"/>
      <c r="H934" s="10"/>
      <c r="I934" s="11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7"/>
      <c r="B935" s="7"/>
      <c r="C935" s="5"/>
      <c r="D935" s="8"/>
      <c r="E935" s="9"/>
      <c r="F935" s="9"/>
      <c r="G935" s="10"/>
      <c r="H935" s="10"/>
      <c r="I935" s="11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7"/>
      <c r="B936" s="7"/>
      <c r="C936" s="5"/>
      <c r="D936" s="8"/>
      <c r="E936" s="9"/>
      <c r="F936" s="9"/>
      <c r="G936" s="10"/>
      <c r="H936" s="10"/>
      <c r="I936" s="11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7"/>
      <c r="B937" s="7"/>
      <c r="C937" s="5"/>
      <c r="D937" s="8"/>
      <c r="E937" s="9"/>
      <c r="F937" s="9"/>
      <c r="G937" s="10"/>
      <c r="H937" s="10"/>
      <c r="I937" s="11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7"/>
      <c r="B938" s="7"/>
      <c r="C938" s="5"/>
      <c r="D938" s="8"/>
      <c r="E938" s="9"/>
      <c r="F938" s="9"/>
      <c r="G938" s="10"/>
      <c r="H938" s="10"/>
      <c r="I938" s="11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7"/>
      <c r="B939" s="7"/>
      <c r="C939" s="5"/>
      <c r="D939" s="8"/>
      <c r="E939" s="9"/>
      <c r="F939" s="9"/>
      <c r="G939" s="10"/>
      <c r="H939" s="10"/>
      <c r="I939" s="11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7"/>
      <c r="B940" s="7"/>
      <c r="C940" s="5"/>
      <c r="D940" s="8"/>
      <c r="E940" s="9"/>
      <c r="F940" s="9"/>
      <c r="G940" s="10"/>
      <c r="H940" s="10"/>
      <c r="I940" s="11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7"/>
      <c r="B941" s="7"/>
      <c r="C941" s="5"/>
      <c r="D941" s="8"/>
      <c r="E941" s="9"/>
      <c r="F941" s="9"/>
      <c r="G941" s="10"/>
      <c r="H941" s="10"/>
      <c r="I941" s="11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7"/>
      <c r="B942" s="7"/>
      <c r="C942" s="5"/>
      <c r="D942" s="8"/>
      <c r="E942" s="9"/>
      <c r="F942" s="9"/>
      <c r="G942" s="10"/>
      <c r="H942" s="10"/>
      <c r="I942" s="11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7"/>
      <c r="B943" s="7"/>
      <c r="C943" s="5"/>
      <c r="D943" s="8"/>
      <c r="E943" s="9"/>
      <c r="F943" s="9"/>
      <c r="G943" s="10"/>
      <c r="H943" s="10"/>
      <c r="I943" s="11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7"/>
      <c r="B944" s="7"/>
      <c r="C944" s="5"/>
      <c r="D944" s="8"/>
      <c r="E944" s="9"/>
      <c r="F944" s="9"/>
      <c r="G944" s="10"/>
      <c r="H944" s="10"/>
      <c r="I944" s="11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7"/>
      <c r="B945" s="7"/>
      <c r="C945" s="5"/>
      <c r="D945" s="8"/>
      <c r="E945" s="9"/>
      <c r="F945" s="9"/>
      <c r="G945" s="10"/>
      <c r="H945" s="10"/>
      <c r="I945" s="11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7"/>
      <c r="B946" s="7"/>
      <c r="C946" s="5"/>
      <c r="D946" s="8"/>
      <c r="E946" s="9"/>
      <c r="F946" s="9"/>
      <c r="G946" s="10"/>
      <c r="H946" s="10"/>
      <c r="I946" s="11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7"/>
      <c r="B947" s="7"/>
      <c r="C947" s="5"/>
      <c r="D947" s="8"/>
      <c r="E947" s="9"/>
      <c r="F947" s="9"/>
      <c r="G947" s="10"/>
      <c r="H947" s="10"/>
      <c r="I947" s="11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7"/>
      <c r="B948" s="7"/>
      <c r="C948" s="5"/>
      <c r="D948" s="8"/>
      <c r="E948" s="9"/>
      <c r="F948" s="9"/>
      <c r="G948" s="10"/>
      <c r="H948" s="10"/>
      <c r="I948" s="11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7"/>
      <c r="B949" s="7"/>
      <c r="C949" s="5"/>
      <c r="D949" s="8"/>
      <c r="E949" s="9"/>
      <c r="F949" s="9"/>
      <c r="G949" s="10"/>
      <c r="H949" s="10"/>
      <c r="I949" s="11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7"/>
      <c r="B950" s="7"/>
      <c r="C950" s="5"/>
      <c r="D950" s="8"/>
      <c r="E950" s="9"/>
      <c r="F950" s="9"/>
      <c r="G950" s="10"/>
      <c r="H950" s="10"/>
      <c r="I950" s="11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7"/>
      <c r="B951" s="7"/>
      <c r="C951" s="5"/>
      <c r="D951" s="8"/>
      <c r="E951" s="9"/>
      <c r="F951" s="9"/>
      <c r="G951" s="10"/>
      <c r="H951" s="10"/>
      <c r="I951" s="11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7"/>
      <c r="B952" s="7"/>
      <c r="C952" s="5"/>
      <c r="D952" s="8"/>
      <c r="E952" s="9"/>
      <c r="F952" s="9"/>
      <c r="G952" s="10"/>
      <c r="H952" s="10"/>
      <c r="I952" s="11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7"/>
      <c r="B953" s="7"/>
      <c r="C953" s="5"/>
      <c r="D953" s="8"/>
      <c r="E953" s="9"/>
      <c r="F953" s="9"/>
      <c r="G953" s="10"/>
      <c r="H953" s="10"/>
      <c r="I953" s="11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7"/>
      <c r="B954" s="7"/>
      <c r="C954" s="5"/>
      <c r="D954" s="8"/>
      <c r="E954" s="9"/>
      <c r="F954" s="9"/>
      <c r="G954" s="10"/>
      <c r="H954" s="10"/>
      <c r="I954" s="11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7"/>
      <c r="B955" s="7"/>
      <c r="C955" s="5"/>
      <c r="D955" s="8"/>
      <c r="E955" s="9"/>
      <c r="F955" s="9"/>
      <c r="G955" s="10"/>
      <c r="H955" s="10"/>
      <c r="I955" s="11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7"/>
      <c r="B956" s="7"/>
      <c r="C956" s="5"/>
      <c r="D956" s="8"/>
      <c r="E956" s="9"/>
      <c r="F956" s="9"/>
      <c r="G956" s="10"/>
      <c r="H956" s="10"/>
      <c r="I956" s="11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7"/>
      <c r="B957" s="7"/>
      <c r="C957" s="5"/>
      <c r="D957" s="8"/>
      <c r="E957" s="9"/>
      <c r="F957" s="9"/>
      <c r="G957" s="10"/>
      <c r="H957" s="10"/>
      <c r="I957" s="11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7"/>
      <c r="B958" s="7"/>
      <c r="C958" s="5"/>
      <c r="D958" s="8"/>
      <c r="E958" s="9"/>
      <c r="F958" s="9"/>
      <c r="G958" s="10"/>
      <c r="H958" s="10"/>
      <c r="I958" s="11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7"/>
      <c r="B959" s="7"/>
      <c r="C959" s="5"/>
      <c r="D959" s="8"/>
      <c r="E959" s="9"/>
      <c r="F959" s="9"/>
      <c r="G959" s="10"/>
      <c r="H959" s="10"/>
      <c r="I959" s="11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7"/>
      <c r="B960" s="7"/>
      <c r="C960" s="5"/>
      <c r="D960" s="8"/>
      <c r="E960" s="9"/>
      <c r="F960" s="9"/>
      <c r="G960" s="10"/>
      <c r="H960" s="10"/>
      <c r="I960" s="11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7"/>
      <c r="B961" s="7"/>
      <c r="C961" s="5"/>
      <c r="D961" s="8"/>
      <c r="E961" s="9"/>
      <c r="F961" s="9"/>
      <c r="G961" s="10"/>
      <c r="H961" s="10"/>
      <c r="I961" s="11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7"/>
      <c r="B962" s="7"/>
      <c r="C962" s="5"/>
      <c r="D962" s="8"/>
      <c r="E962" s="9"/>
      <c r="F962" s="9"/>
      <c r="G962" s="10"/>
      <c r="H962" s="10"/>
      <c r="I962" s="11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7"/>
      <c r="B963" s="7"/>
      <c r="C963" s="5"/>
      <c r="D963" s="8"/>
      <c r="E963" s="9"/>
      <c r="F963" s="9"/>
      <c r="G963" s="10"/>
      <c r="H963" s="10"/>
      <c r="I963" s="11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7"/>
      <c r="B964" s="7"/>
      <c r="C964" s="5"/>
      <c r="D964" s="8"/>
      <c r="E964" s="9"/>
      <c r="F964" s="9"/>
      <c r="G964" s="10"/>
      <c r="H964" s="10"/>
      <c r="I964" s="11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7"/>
      <c r="B965" s="7"/>
      <c r="C965" s="5"/>
      <c r="D965" s="8"/>
      <c r="E965" s="9"/>
      <c r="F965" s="9"/>
      <c r="G965" s="10"/>
      <c r="H965" s="10"/>
      <c r="I965" s="11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7"/>
      <c r="B966" s="7"/>
      <c r="C966" s="5"/>
      <c r="D966" s="8"/>
      <c r="E966" s="9"/>
      <c r="F966" s="9"/>
      <c r="G966" s="10"/>
      <c r="H966" s="10"/>
      <c r="I966" s="11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7"/>
      <c r="B967" s="7"/>
      <c r="C967" s="5"/>
      <c r="D967" s="8"/>
      <c r="E967" s="9"/>
      <c r="F967" s="9"/>
      <c r="G967" s="10"/>
      <c r="H967" s="10"/>
      <c r="I967" s="11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7"/>
      <c r="B968" s="7"/>
      <c r="C968" s="5"/>
      <c r="D968" s="8"/>
      <c r="E968" s="9"/>
      <c r="F968" s="9"/>
      <c r="G968" s="10"/>
      <c r="H968" s="10"/>
      <c r="I968" s="11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7"/>
      <c r="B969" s="7"/>
      <c r="C969" s="5"/>
      <c r="D969" s="8"/>
      <c r="E969" s="9"/>
      <c r="F969" s="9"/>
      <c r="G969" s="10"/>
      <c r="H969" s="10"/>
      <c r="I969" s="11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7"/>
      <c r="B970" s="7"/>
      <c r="C970" s="5"/>
      <c r="D970" s="8"/>
      <c r="E970" s="9"/>
      <c r="F970" s="9"/>
      <c r="G970" s="10"/>
      <c r="H970" s="10"/>
      <c r="I970" s="11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7"/>
      <c r="B971" s="7"/>
      <c r="C971" s="5"/>
      <c r="D971" s="8"/>
      <c r="E971" s="9"/>
      <c r="F971" s="9"/>
      <c r="G971" s="10"/>
      <c r="H971" s="10"/>
      <c r="I971" s="11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7"/>
      <c r="B972" s="7"/>
      <c r="C972" s="5"/>
      <c r="D972" s="8"/>
      <c r="E972" s="9"/>
      <c r="F972" s="9"/>
      <c r="G972" s="10"/>
      <c r="H972" s="10"/>
      <c r="I972" s="11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7"/>
      <c r="B973" s="7"/>
      <c r="C973" s="5"/>
      <c r="D973" s="8"/>
      <c r="E973" s="9"/>
      <c r="F973" s="9"/>
      <c r="G973" s="10"/>
      <c r="H973" s="10"/>
      <c r="I973" s="11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7"/>
      <c r="B974" s="7"/>
      <c r="C974" s="5"/>
      <c r="D974" s="8"/>
      <c r="E974" s="9"/>
      <c r="F974" s="9"/>
      <c r="G974" s="10"/>
      <c r="H974" s="10"/>
      <c r="I974" s="11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7"/>
      <c r="B975" s="7"/>
      <c r="C975" s="5"/>
      <c r="D975" s="8"/>
      <c r="E975" s="9"/>
      <c r="F975" s="9"/>
      <c r="G975" s="10"/>
      <c r="H975" s="10"/>
      <c r="I975" s="11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7"/>
      <c r="B976" s="7"/>
      <c r="C976" s="5"/>
      <c r="D976" s="8"/>
      <c r="E976" s="9"/>
      <c r="F976" s="9"/>
      <c r="G976" s="10"/>
      <c r="H976" s="10"/>
      <c r="I976" s="11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7"/>
      <c r="B977" s="7"/>
      <c r="C977" s="5"/>
      <c r="D977" s="8"/>
      <c r="E977" s="9"/>
      <c r="F977" s="9"/>
      <c r="G977" s="10"/>
      <c r="H977" s="10"/>
      <c r="I977" s="11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7"/>
      <c r="B978" s="7"/>
      <c r="C978" s="5"/>
      <c r="D978" s="8"/>
      <c r="E978" s="9"/>
      <c r="F978" s="9"/>
      <c r="G978" s="10"/>
      <c r="H978" s="10"/>
      <c r="I978" s="11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7"/>
      <c r="B979" s="7"/>
      <c r="C979" s="5"/>
      <c r="D979" s="8"/>
      <c r="E979" s="9"/>
      <c r="F979" s="9"/>
      <c r="G979" s="10"/>
      <c r="H979" s="10"/>
      <c r="I979" s="11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7"/>
      <c r="B980" s="7"/>
      <c r="C980" s="5"/>
      <c r="D980" s="8"/>
      <c r="E980" s="9"/>
      <c r="F980" s="9"/>
      <c r="G980" s="10"/>
      <c r="H980" s="10"/>
      <c r="I980" s="11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7"/>
      <c r="B981" s="7"/>
      <c r="C981" s="5"/>
      <c r="D981" s="8"/>
      <c r="E981" s="9"/>
      <c r="F981" s="9"/>
      <c r="G981" s="10"/>
      <c r="H981" s="10"/>
      <c r="I981" s="11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7"/>
      <c r="B982" s="7"/>
      <c r="C982" s="5"/>
      <c r="D982" s="8"/>
      <c r="E982" s="9"/>
      <c r="F982" s="9"/>
      <c r="G982" s="10"/>
      <c r="H982" s="10"/>
      <c r="I982" s="11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7"/>
      <c r="B983" s="7"/>
      <c r="C983" s="5"/>
      <c r="D983" s="8"/>
      <c r="E983" s="9"/>
      <c r="F983" s="9"/>
      <c r="G983" s="10"/>
      <c r="H983" s="10"/>
      <c r="I983" s="11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7"/>
      <c r="B984" s="7"/>
      <c r="C984" s="5"/>
      <c r="D984" s="8"/>
      <c r="E984" s="9"/>
      <c r="F984" s="9"/>
      <c r="G984" s="10"/>
      <c r="H984" s="10"/>
      <c r="I984" s="11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7"/>
      <c r="B985" s="7"/>
      <c r="C985" s="5"/>
      <c r="D985" s="8"/>
      <c r="E985" s="9"/>
      <c r="F985" s="9"/>
      <c r="G985" s="10"/>
      <c r="H985" s="10"/>
      <c r="I985" s="11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7"/>
      <c r="B986" s="7"/>
      <c r="C986" s="5"/>
      <c r="D986" s="8"/>
      <c r="E986" s="9"/>
      <c r="F986" s="9"/>
      <c r="G986" s="10"/>
      <c r="H986" s="10"/>
      <c r="I986" s="11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7"/>
      <c r="B987" s="7"/>
      <c r="C987" s="5"/>
      <c r="D987" s="8"/>
      <c r="E987" s="9"/>
      <c r="F987" s="9"/>
      <c r="G987" s="10"/>
      <c r="H987" s="10"/>
      <c r="I987" s="11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7"/>
      <c r="B988" s="7"/>
      <c r="C988" s="5"/>
      <c r="D988" s="8"/>
      <c r="E988" s="9"/>
      <c r="F988" s="9"/>
      <c r="G988" s="10"/>
      <c r="H988" s="10"/>
      <c r="I988" s="11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7"/>
      <c r="B989" s="7"/>
      <c r="C989" s="5"/>
      <c r="D989" s="8"/>
      <c r="E989" s="9"/>
      <c r="F989" s="9"/>
      <c r="G989" s="10"/>
      <c r="H989" s="10"/>
      <c r="I989" s="11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7"/>
      <c r="B990" s="7"/>
      <c r="C990" s="5"/>
      <c r="D990" s="8"/>
      <c r="E990" s="9"/>
      <c r="F990" s="9"/>
      <c r="G990" s="10"/>
      <c r="H990" s="10"/>
      <c r="I990" s="11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7"/>
      <c r="B991" s="7"/>
      <c r="C991" s="5"/>
      <c r="D991" s="8"/>
      <c r="E991" s="9"/>
      <c r="F991" s="9"/>
      <c r="G991" s="10"/>
      <c r="H991" s="10"/>
      <c r="I991" s="11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7"/>
      <c r="B992" s="7"/>
      <c r="C992" s="5"/>
      <c r="D992" s="8"/>
      <c r="E992" s="9"/>
      <c r="F992" s="9"/>
      <c r="G992" s="10"/>
      <c r="H992" s="10"/>
      <c r="I992" s="11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7"/>
      <c r="B993" s="7"/>
      <c r="C993" s="5"/>
      <c r="D993" s="8"/>
      <c r="E993" s="9"/>
      <c r="F993" s="9"/>
      <c r="G993" s="10"/>
      <c r="H993" s="10"/>
      <c r="I993" s="11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7"/>
      <c r="B994" s="7"/>
      <c r="C994" s="5"/>
      <c r="D994" s="8"/>
      <c r="E994" s="9"/>
      <c r="F994" s="9"/>
      <c r="G994" s="10"/>
      <c r="H994" s="10"/>
      <c r="I994" s="11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7"/>
      <c r="B995" s="7"/>
      <c r="C995" s="5"/>
      <c r="D995" s="8"/>
      <c r="E995" s="9"/>
      <c r="F995" s="9"/>
      <c r="G995" s="10"/>
      <c r="H995" s="10"/>
      <c r="I995" s="11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7"/>
      <c r="B996" s="7"/>
      <c r="C996" s="5"/>
      <c r="D996" s="8"/>
      <c r="E996" s="9"/>
      <c r="F996" s="9"/>
      <c r="G996" s="10"/>
      <c r="H996" s="10"/>
      <c r="I996" s="11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7"/>
      <c r="B997" s="7"/>
      <c r="C997" s="5"/>
      <c r="D997" s="8"/>
      <c r="E997" s="9"/>
      <c r="F997" s="9"/>
      <c r="G997" s="10"/>
      <c r="H997" s="10"/>
      <c r="I997" s="11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7"/>
      <c r="B998" s="7"/>
      <c r="C998" s="5"/>
      <c r="D998" s="8"/>
      <c r="E998" s="9"/>
      <c r="F998" s="9"/>
      <c r="G998" s="10"/>
      <c r="H998" s="10"/>
      <c r="I998" s="11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7"/>
      <c r="B999" s="7"/>
      <c r="C999" s="5"/>
      <c r="D999" s="8"/>
      <c r="E999" s="9"/>
      <c r="F999" s="9"/>
      <c r="G999" s="10"/>
      <c r="H999" s="10"/>
      <c r="I999" s="11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7"/>
      <c r="B1000" s="7"/>
      <c r="C1000" s="5"/>
      <c r="D1000" s="8"/>
      <c r="E1000" s="9"/>
      <c r="F1000" s="9"/>
      <c r="G1000" s="10"/>
      <c r="H1000" s="10"/>
      <c r="I1000" s="11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ht="16.5" customHeight="1">
      <c r="A1001" s="7"/>
      <c r="B1001" s="7"/>
      <c r="C1001" s="5"/>
      <c r="D1001" s="8"/>
      <c r="E1001" s="9"/>
      <c r="F1001" s="9"/>
      <c r="G1001" s="10"/>
      <c r="H1001" s="10"/>
      <c r="I1001" s="11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ht="16.5" customHeight="1">
      <c r="A1002" s="7"/>
      <c r="B1002" s="7"/>
      <c r="C1002" s="5"/>
      <c r="D1002" s="8"/>
      <c r="E1002" s="9"/>
      <c r="F1002" s="9"/>
      <c r="G1002" s="10"/>
      <c r="H1002" s="10"/>
      <c r="I1002" s="11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ht="16.5" customHeight="1">
      <c r="A1003" s="7"/>
      <c r="B1003" s="7"/>
      <c r="C1003" s="5"/>
      <c r="D1003" s="8"/>
      <c r="E1003" s="9"/>
      <c r="F1003" s="9"/>
      <c r="G1003" s="10"/>
      <c r="H1003" s="10"/>
      <c r="I1003" s="11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ht="16.5" customHeight="1">
      <c r="A1004" s="7"/>
      <c r="B1004" s="7"/>
      <c r="C1004" s="5"/>
      <c r="D1004" s="8"/>
      <c r="E1004" s="9"/>
      <c r="F1004" s="9"/>
      <c r="G1004" s="10"/>
      <c r="H1004" s="10"/>
      <c r="I1004" s="11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</sheetData>
  <autoFilter ref="$A$6:$I$29">
    <sortState ref="A6:I29">
      <sortCondition descending="1" ref="F6:F29"/>
    </sortState>
  </autoFilter>
  <mergeCells count="8">
    <mergeCell ref="A1:I1"/>
    <mergeCell ref="A2:I2"/>
    <mergeCell ref="A5:I5"/>
    <mergeCell ref="A7:I7"/>
    <mergeCell ref="A43:D43"/>
    <mergeCell ref="A44:I44"/>
    <mergeCell ref="A56:D56"/>
    <mergeCell ref="A57:D57"/>
  </mergeCells>
  <printOptions/>
  <pageMargins bottom="0.75" footer="0.0" header="0.0" left="0.2" right="0.2" top="0.75"/>
  <pageSetup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4.71"/>
    <col customWidth="1" min="2" max="2" width="21.71"/>
    <col customWidth="1" min="3" max="3" width="9.86"/>
    <col customWidth="1" min="4" max="4" width="4.71"/>
    <col customWidth="1" min="5" max="8" width="11.29"/>
    <col customWidth="1" min="9" max="9" width="15.14"/>
    <col customWidth="1" min="10" max="12" width="9.14"/>
    <col customWidth="1" min="13" max="26" width="8.71"/>
  </cols>
  <sheetData>
    <row r="1" ht="16.5" customHeight="1">
      <c r="A1" s="2" t="s">
        <v>0</v>
      </c>
      <c r="B1" s="3"/>
      <c r="C1" s="3"/>
      <c r="D1" s="3"/>
      <c r="E1" s="3"/>
      <c r="F1" s="3"/>
      <c r="G1" s="3"/>
      <c r="H1" s="3"/>
      <c r="I1" s="4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6" t="s">
        <v>2</v>
      </c>
      <c r="B2" s="3"/>
      <c r="C2" s="3"/>
      <c r="D2" s="3"/>
      <c r="E2" s="3"/>
      <c r="F2" s="3"/>
      <c r="G2" s="3"/>
      <c r="H2" s="3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7"/>
      <c r="B3" s="7"/>
      <c r="C3" s="5"/>
      <c r="D3" s="8"/>
      <c r="E3" s="9"/>
      <c r="F3" s="9"/>
      <c r="G3" s="10"/>
      <c r="H3" s="10"/>
      <c r="I3" s="11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7"/>
      <c r="B4" s="7"/>
      <c r="C4" s="5"/>
      <c r="D4" s="8"/>
      <c r="E4" s="9"/>
      <c r="F4" s="9"/>
      <c r="G4" s="10"/>
      <c r="H4" s="10"/>
      <c r="I4" s="11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9.0" customHeight="1">
      <c r="A5" s="12"/>
      <c r="B5" s="3"/>
      <c r="C5" s="3"/>
      <c r="D5" s="3"/>
      <c r="E5" s="3"/>
      <c r="F5" s="3"/>
      <c r="G5" s="3"/>
      <c r="H5" s="3"/>
      <c r="I5" s="4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14" t="s">
        <v>3</v>
      </c>
      <c r="B6" s="15" t="s">
        <v>4</v>
      </c>
      <c r="C6" s="16" t="s">
        <v>5</v>
      </c>
      <c r="D6" s="15" t="s">
        <v>6</v>
      </c>
      <c r="E6" s="16" t="s">
        <v>7</v>
      </c>
      <c r="F6" s="16" t="s">
        <v>9</v>
      </c>
      <c r="G6" s="16" t="s">
        <v>10</v>
      </c>
      <c r="H6" s="16" t="s">
        <v>11</v>
      </c>
      <c r="I6" s="18" t="s">
        <v>12</v>
      </c>
      <c r="J6" s="19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9.5" customHeight="1">
      <c r="A7" s="20" t="s">
        <v>13</v>
      </c>
      <c r="B7" s="21"/>
      <c r="C7" s="21"/>
      <c r="D7" s="21"/>
      <c r="E7" s="21"/>
      <c r="F7" s="21"/>
      <c r="G7" s="21"/>
      <c r="H7" s="21"/>
      <c r="I7" s="22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6.5" customHeight="1">
      <c r="A8" s="127" t="s">
        <v>14</v>
      </c>
      <c r="B8" s="130" t="s">
        <v>15</v>
      </c>
      <c r="C8" s="132">
        <v>45791.0</v>
      </c>
      <c r="D8" s="133">
        <v>30.0</v>
      </c>
      <c r="E8" s="136">
        <f>145000+55000</f>
        <v>200000</v>
      </c>
      <c r="F8" s="138">
        <f t="shared" ref="F8:F9" si="1">E8/30*D8</f>
        <v>200000</v>
      </c>
      <c r="G8" s="139">
        <f>50000+150000</f>
        <v>200000</v>
      </c>
      <c r="H8" s="140">
        <f t="shared" ref="H8:H30" si="2">F8-G8</f>
        <v>0</v>
      </c>
      <c r="I8" s="141" t="s">
        <v>17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127" t="s">
        <v>18</v>
      </c>
      <c r="B9" s="35" t="s">
        <v>19</v>
      </c>
      <c r="C9" s="36">
        <v>43822.0</v>
      </c>
      <c r="D9" s="34">
        <v>30.0</v>
      </c>
      <c r="E9" s="38">
        <v>120000.0</v>
      </c>
      <c r="F9" s="39">
        <f t="shared" si="1"/>
        <v>120000</v>
      </c>
      <c r="G9" s="40">
        <f>100000+10000+10000</f>
        <v>120000</v>
      </c>
      <c r="H9" s="41">
        <f t="shared" si="2"/>
        <v>0</v>
      </c>
      <c r="I9" s="43" t="s">
        <v>21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6.5" customHeight="1">
      <c r="A10" s="142" t="s">
        <v>22</v>
      </c>
      <c r="B10" s="35" t="s">
        <v>23</v>
      </c>
      <c r="C10" s="36">
        <v>45787.0</v>
      </c>
      <c r="D10" s="34">
        <f>30-2+2</f>
        <v>30</v>
      </c>
      <c r="E10" s="38">
        <v>75000.0</v>
      </c>
      <c r="F10" s="39">
        <f>E10/30*D10-1250</f>
        <v>73750</v>
      </c>
      <c r="G10" s="40">
        <f>12500+5000+20000+10000+5000+10000+11250</f>
        <v>73750</v>
      </c>
      <c r="H10" s="41">
        <f t="shared" si="2"/>
        <v>0</v>
      </c>
      <c r="I10" s="43" t="s">
        <v>24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6.5" customHeight="1">
      <c r="A11" s="142" t="s">
        <v>25</v>
      </c>
      <c r="B11" s="35" t="s">
        <v>26</v>
      </c>
      <c r="C11" s="36">
        <v>44251.0</v>
      </c>
      <c r="D11" s="34">
        <f>30-1+1</f>
        <v>30</v>
      </c>
      <c r="E11" s="38">
        <v>75000.0</v>
      </c>
      <c r="F11" s="39">
        <f>E11/30*D11-417-1150</f>
        <v>73433</v>
      </c>
      <c r="G11" s="40">
        <f>3000+5000+2000+500+5000+1000+2000+500+1000+500+1000+5000+2000</f>
        <v>28500</v>
      </c>
      <c r="H11" s="41">
        <f t="shared" si="2"/>
        <v>44933</v>
      </c>
      <c r="I11" s="43" t="s">
        <v>24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6.5" customHeight="1">
      <c r="A12" s="142" t="s">
        <v>27</v>
      </c>
      <c r="B12" s="35" t="s">
        <v>28</v>
      </c>
      <c r="C12" s="36">
        <v>45792.0</v>
      </c>
      <c r="D12" s="34">
        <f>30</f>
        <v>30</v>
      </c>
      <c r="E12" s="38">
        <v>50000.0</v>
      </c>
      <c r="F12" s="39">
        <f>E12/30*D12-1300</f>
        <v>48700</v>
      </c>
      <c r="G12" s="40">
        <f>48700</f>
        <v>48700</v>
      </c>
      <c r="H12" s="41">
        <f t="shared" si="2"/>
        <v>0</v>
      </c>
      <c r="I12" s="48" t="s">
        <v>32</v>
      </c>
      <c r="J12" s="5"/>
      <c r="K12" s="5"/>
      <c r="L12" s="51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6.5" customHeight="1">
      <c r="A13" s="142" t="s">
        <v>30</v>
      </c>
      <c r="B13" s="35" t="s">
        <v>39</v>
      </c>
      <c r="C13" s="36">
        <v>45200.0</v>
      </c>
      <c r="D13" s="34">
        <f>30-2</f>
        <v>28</v>
      </c>
      <c r="E13" s="38">
        <v>50000.0</v>
      </c>
      <c r="F13" s="39">
        <f>E13/30*D13-201</f>
        <v>46465.66667</v>
      </c>
      <c r="G13" s="40">
        <f>46466</f>
        <v>46466</v>
      </c>
      <c r="H13" s="41">
        <f t="shared" si="2"/>
        <v>-0.3333333333</v>
      </c>
      <c r="I13" s="48" t="s">
        <v>32</v>
      </c>
      <c r="J13" s="5"/>
      <c r="K13" s="5"/>
      <c r="L13" s="51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6.5" customHeight="1">
      <c r="A14" s="142" t="s">
        <v>34</v>
      </c>
      <c r="B14" s="46" t="s">
        <v>33</v>
      </c>
      <c r="C14" s="36">
        <v>45871.0</v>
      </c>
      <c r="D14" s="34">
        <f>30</f>
        <v>30</v>
      </c>
      <c r="E14" s="47">
        <v>50000.0</v>
      </c>
      <c r="F14" s="39">
        <f>E14/30*D14-900</f>
        <v>49100</v>
      </c>
      <c r="G14" s="40">
        <f>49100</f>
        <v>49100</v>
      </c>
      <c r="H14" s="41">
        <f t="shared" si="2"/>
        <v>0</v>
      </c>
      <c r="I14" s="48" t="s">
        <v>32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6.5" customHeight="1">
      <c r="A15" s="142" t="s">
        <v>37</v>
      </c>
      <c r="B15" s="46" t="s">
        <v>45</v>
      </c>
      <c r="C15" s="36">
        <v>45879.0</v>
      </c>
      <c r="D15" s="34">
        <f>30-2-3</f>
        <v>25</v>
      </c>
      <c r="E15" s="47">
        <v>25000.0</v>
      </c>
      <c r="F15" s="39">
        <f>E15/30*D15-1000</f>
        <v>19833.33333</v>
      </c>
      <c r="G15" s="40">
        <f>5000+500+14333</f>
        <v>19833</v>
      </c>
      <c r="H15" s="41">
        <f t="shared" si="2"/>
        <v>0.3333333333</v>
      </c>
      <c r="I15" s="44" t="s">
        <v>36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6.5" customHeight="1">
      <c r="A16" s="142" t="s">
        <v>41</v>
      </c>
      <c r="B16" s="46" t="s">
        <v>35</v>
      </c>
      <c r="C16" s="36">
        <v>45886.0</v>
      </c>
      <c r="D16" s="34">
        <f>30-4+2</f>
        <v>28</v>
      </c>
      <c r="E16" s="47">
        <v>25000.0</v>
      </c>
      <c r="F16" s="39">
        <f>E16/30*D16-900</f>
        <v>22433.33333</v>
      </c>
      <c r="G16" s="40">
        <f>22433</f>
        <v>22433</v>
      </c>
      <c r="H16" s="41">
        <f t="shared" si="2"/>
        <v>0.3333333333</v>
      </c>
      <c r="I16" s="44" t="s">
        <v>36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6.5" customHeight="1">
      <c r="A17" s="142" t="s">
        <v>44</v>
      </c>
      <c r="B17" s="50" t="s">
        <v>38</v>
      </c>
      <c r="C17" s="53">
        <v>45787.0</v>
      </c>
      <c r="D17" s="34">
        <f>30-4+4</f>
        <v>30</v>
      </c>
      <c r="E17" s="38">
        <v>20000.0</v>
      </c>
      <c r="F17" s="39">
        <f>E17/30*D17-5000-1700</f>
        <v>13300</v>
      </c>
      <c r="G17" s="40">
        <f>5000+500+5000+2800</f>
        <v>13300</v>
      </c>
      <c r="H17" s="41">
        <f t="shared" si="2"/>
        <v>0</v>
      </c>
      <c r="I17" s="48" t="s">
        <v>43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6.5" customHeight="1">
      <c r="A18" s="142" t="s">
        <v>47</v>
      </c>
      <c r="B18" s="50" t="s">
        <v>42</v>
      </c>
      <c r="C18" s="53">
        <v>45823.0</v>
      </c>
      <c r="D18" s="34">
        <f t="shared" ref="D18:D19" si="3">30-1+1</f>
        <v>30</v>
      </c>
      <c r="E18" s="38">
        <v>20000.0</v>
      </c>
      <c r="F18" s="39">
        <f>E18/30*D18-1100</f>
        <v>18900</v>
      </c>
      <c r="G18" s="40">
        <f>500+18400</f>
        <v>18900</v>
      </c>
      <c r="H18" s="41">
        <f t="shared" si="2"/>
        <v>0</v>
      </c>
      <c r="I18" s="48" t="s">
        <v>43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6.5" customHeight="1">
      <c r="A19" s="142" t="s">
        <v>49</v>
      </c>
      <c r="B19" s="35" t="s">
        <v>46</v>
      </c>
      <c r="C19" s="56">
        <v>45846.0</v>
      </c>
      <c r="D19" s="34">
        <f t="shared" si="3"/>
        <v>30</v>
      </c>
      <c r="E19" s="47">
        <v>35000.0</v>
      </c>
      <c r="F19" s="39">
        <f>E19/30*D19</f>
        <v>35000</v>
      </c>
      <c r="G19" s="40">
        <f>500+2000+32500</f>
        <v>35000</v>
      </c>
      <c r="H19" s="41">
        <f t="shared" si="2"/>
        <v>0</v>
      </c>
      <c r="I19" s="44" t="s">
        <v>24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6.5" customHeight="1">
      <c r="A20" s="142" t="s">
        <v>51</v>
      </c>
      <c r="B20" s="35" t="s">
        <v>59</v>
      </c>
      <c r="C20" s="36">
        <v>45871.0</v>
      </c>
      <c r="D20" s="34">
        <f>30-2+2-1</f>
        <v>29</v>
      </c>
      <c r="E20" s="47">
        <v>20000.0</v>
      </c>
      <c r="F20" s="39">
        <f>E20/30*D20-1200</f>
        <v>18133.33333</v>
      </c>
      <c r="G20" s="40">
        <f>500+2500+15133</f>
        <v>18133</v>
      </c>
      <c r="H20" s="41">
        <f t="shared" si="2"/>
        <v>0.3333333333</v>
      </c>
      <c r="I20" s="44" t="s">
        <v>36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6.5" customHeight="1">
      <c r="A21" s="142" t="s">
        <v>53</v>
      </c>
      <c r="B21" s="35" t="s">
        <v>48</v>
      </c>
      <c r="C21" s="36">
        <v>45972.0</v>
      </c>
      <c r="D21" s="34">
        <f>30-3</f>
        <v>27</v>
      </c>
      <c r="E21" s="47">
        <v>35000.0</v>
      </c>
      <c r="F21" s="39">
        <f>E21/30*D21-1750</f>
        <v>29750</v>
      </c>
      <c r="G21" s="40">
        <f>5000+500+500+23750</f>
        <v>29750</v>
      </c>
      <c r="H21" s="41">
        <f t="shared" si="2"/>
        <v>0</v>
      </c>
      <c r="I21" s="48" t="s">
        <v>40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6.5" customHeight="1">
      <c r="A22" s="142" t="s">
        <v>55</v>
      </c>
      <c r="B22" s="35" t="s">
        <v>50</v>
      </c>
      <c r="C22" s="36">
        <v>45972.0</v>
      </c>
      <c r="D22" s="34">
        <f>30</f>
        <v>30</v>
      </c>
      <c r="E22" s="47">
        <v>20000.0</v>
      </c>
      <c r="F22" s="39">
        <f>E22/30*D22-1250</f>
        <v>18750</v>
      </c>
      <c r="G22" s="40">
        <f>500+2000+2000+14250</f>
        <v>18750</v>
      </c>
      <c r="H22" s="41">
        <f t="shared" si="2"/>
        <v>0</v>
      </c>
      <c r="I22" s="48" t="s">
        <v>43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6.5" customHeight="1">
      <c r="A23" s="142" t="s">
        <v>60</v>
      </c>
      <c r="B23" s="35" t="s">
        <v>52</v>
      </c>
      <c r="C23" s="36">
        <v>45997.0</v>
      </c>
      <c r="D23" s="34">
        <f>30-2</f>
        <v>28</v>
      </c>
      <c r="E23" s="47">
        <v>20000.0</v>
      </c>
      <c r="F23" s="39">
        <f>E23/30*D23-1101</f>
        <v>17565.66667</v>
      </c>
      <c r="G23" s="40">
        <f>1000+16566</f>
        <v>17566</v>
      </c>
      <c r="H23" s="41">
        <f t="shared" si="2"/>
        <v>-0.3333333333</v>
      </c>
      <c r="I23" s="48" t="s">
        <v>43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6.5" customHeight="1">
      <c r="A24" s="142" t="s">
        <v>65</v>
      </c>
      <c r="B24" s="35" t="s">
        <v>77</v>
      </c>
      <c r="C24" s="36">
        <v>46023.0</v>
      </c>
      <c r="D24" s="34">
        <f>30-1</f>
        <v>29</v>
      </c>
      <c r="E24" s="47">
        <v>70000.0</v>
      </c>
      <c r="F24" s="39">
        <f>E24/30*D24-1101</f>
        <v>66565.66667</v>
      </c>
      <c r="G24" s="40">
        <f>4450+62116</f>
        <v>66566</v>
      </c>
      <c r="H24" s="41">
        <f t="shared" si="2"/>
        <v>-0.3333333333</v>
      </c>
      <c r="I24" s="48" t="s">
        <v>24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6.5" customHeight="1">
      <c r="A25" s="142" t="s">
        <v>68</v>
      </c>
      <c r="B25" s="35" t="s">
        <v>86</v>
      </c>
      <c r="C25" s="36">
        <v>46023.0</v>
      </c>
      <c r="D25" s="34">
        <v>20.0</v>
      </c>
      <c r="E25" s="47">
        <v>35000.0</v>
      </c>
      <c r="F25" s="39">
        <f>E25/30*D25-750</f>
        <v>22583.33333</v>
      </c>
      <c r="G25" s="40">
        <f>22583</f>
        <v>22583</v>
      </c>
      <c r="H25" s="41">
        <f t="shared" si="2"/>
        <v>0.3333333333</v>
      </c>
      <c r="I25" s="48" t="s">
        <v>40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6.5" customHeight="1">
      <c r="A26" s="142" t="s">
        <v>57</v>
      </c>
      <c r="B26" s="35" t="s">
        <v>54</v>
      </c>
      <c r="C26" s="36">
        <v>46023.0</v>
      </c>
      <c r="D26" s="34">
        <f>30</f>
        <v>30</v>
      </c>
      <c r="E26" s="47">
        <v>50000.0</v>
      </c>
      <c r="F26" s="39">
        <f>E26/30*D26-1200</f>
        <v>48800</v>
      </c>
      <c r="G26" s="40">
        <f>3000+2500+43300</f>
        <v>48800</v>
      </c>
      <c r="H26" s="41">
        <f t="shared" si="2"/>
        <v>0</v>
      </c>
      <c r="I26" s="48" t="s">
        <v>32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6.5" customHeight="1">
      <c r="A27" s="142" t="s">
        <v>62</v>
      </c>
      <c r="B27" s="35" t="s">
        <v>79</v>
      </c>
      <c r="C27" s="36">
        <v>46025.0</v>
      </c>
      <c r="D27" s="34">
        <f>30-2-1</f>
        <v>27</v>
      </c>
      <c r="E27" s="47">
        <v>35000.0</v>
      </c>
      <c r="F27" s="39">
        <f>E27/30*D27-1050</f>
        <v>30450</v>
      </c>
      <c r="G27" s="40">
        <f>500+29950</f>
        <v>30450</v>
      </c>
      <c r="H27" s="41">
        <f t="shared" si="2"/>
        <v>0</v>
      </c>
      <c r="I27" s="48" t="s">
        <v>40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6.5" customHeight="1">
      <c r="A28" s="142" t="s">
        <v>64</v>
      </c>
      <c r="B28" s="35" t="s">
        <v>82</v>
      </c>
      <c r="C28" s="36">
        <v>46026.0</v>
      </c>
      <c r="D28" s="34">
        <f>30-1</f>
        <v>29</v>
      </c>
      <c r="E28" s="47">
        <v>20000.0</v>
      </c>
      <c r="F28" s="39">
        <f>E28/30*D28-850</f>
        <v>18483.33333</v>
      </c>
      <c r="G28" s="40">
        <f>500+17983</f>
        <v>18483</v>
      </c>
      <c r="H28" s="41">
        <f t="shared" si="2"/>
        <v>0.3333333333</v>
      </c>
      <c r="I28" s="48" t="s">
        <v>43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6.5" customHeight="1">
      <c r="A29" s="142" t="s">
        <v>70</v>
      </c>
      <c r="B29" s="50" t="s">
        <v>56</v>
      </c>
      <c r="C29" s="56">
        <v>46032.0</v>
      </c>
      <c r="D29" s="34">
        <f>30-2-1</f>
        <v>27</v>
      </c>
      <c r="E29" s="47">
        <v>25000.0</v>
      </c>
      <c r="F29" s="39">
        <f>E29/30*D29-1100</f>
        <v>21400</v>
      </c>
      <c r="G29" s="40">
        <f>500+500+20400</f>
        <v>21400</v>
      </c>
      <c r="H29" s="41">
        <f t="shared" si="2"/>
        <v>0</v>
      </c>
      <c r="I29" s="44" t="s">
        <v>36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6.5" customHeight="1">
      <c r="A30" s="142" t="s">
        <v>72</v>
      </c>
      <c r="B30" s="35" t="s">
        <v>61</v>
      </c>
      <c r="C30" s="56">
        <v>46054.0</v>
      </c>
      <c r="D30" s="34">
        <f t="shared" ref="D30:D31" si="4">30</f>
        <v>30</v>
      </c>
      <c r="E30" s="47">
        <v>25000.0</v>
      </c>
      <c r="F30" s="39">
        <f>E30/30*D30-1200</f>
        <v>23800</v>
      </c>
      <c r="G30" s="40">
        <f>23800</f>
        <v>23800</v>
      </c>
      <c r="H30" s="41">
        <f t="shared" si="2"/>
        <v>0</v>
      </c>
      <c r="I30" s="44" t="s">
        <v>36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6.5" customHeight="1">
      <c r="A31" s="142" t="s">
        <v>75</v>
      </c>
      <c r="B31" s="55" t="s">
        <v>132</v>
      </c>
      <c r="C31" s="56">
        <v>46054.0</v>
      </c>
      <c r="D31" s="34">
        <f t="shared" si="4"/>
        <v>30</v>
      </c>
      <c r="E31" s="47">
        <v>60000.0</v>
      </c>
      <c r="F31" s="52">
        <f>E31/30*D31-1100</f>
        <v>58900</v>
      </c>
      <c r="G31" s="40"/>
      <c r="H31" s="54"/>
      <c r="I31" s="44" t="s">
        <v>24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6.5" customHeight="1">
      <c r="A32" s="142" t="s">
        <v>89</v>
      </c>
      <c r="B32" s="35" t="s">
        <v>83</v>
      </c>
      <c r="C32" s="56">
        <v>46054.0</v>
      </c>
      <c r="D32" s="34">
        <f>30-1</f>
        <v>29</v>
      </c>
      <c r="E32" s="47">
        <v>110000.0</v>
      </c>
      <c r="F32" s="39">
        <f>E32/30*D32-800</f>
        <v>105533.3333</v>
      </c>
      <c r="G32" s="40">
        <f>35533+5000</f>
        <v>40533</v>
      </c>
      <c r="H32" s="54"/>
      <c r="I32" s="79" t="s">
        <v>84</v>
      </c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6.5" customHeight="1">
      <c r="A33" s="142" t="s">
        <v>91</v>
      </c>
      <c r="B33" s="35" t="s">
        <v>85</v>
      </c>
      <c r="C33" s="56">
        <v>46082.0</v>
      </c>
      <c r="D33" s="34">
        <f>30</f>
        <v>30</v>
      </c>
      <c r="E33" s="38">
        <v>50000.0</v>
      </c>
      <c r="F33" s="39">
        <f>E33/30*D33-650</f>
        <v>49350</v>
      </c>
      <c r="G33" s="40">
        <f>500+48850</f>
        <v>49350</v>
      </c>
      <c r="H33" s="41">
        <f t="shared" ref="H33:H36" si="5">F33-G33</f>
        <v>0</v>
      </c>
      <c r="I33" s="48" t="s">
        <v>32</v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142" t="s">
        <v>93</v>
      </c>
      <c r="B34" s="35" t="s">
        <v>58</v>
      </c>
      <c r="C34" s="60">
        <v>45854.0</v>
      </c>
      <c r="D34" s="34"/>
      <c r="E34" s="38">
        <v>25000.0</v>
      </c>
      <c r="F34" s="39">
        <v>22733.0</v>
      </c>
      <c r="G34" s="58">
        <v>22733.0</v>
      </c>
      <c r="H34" s="41">
        <f t="shared" si="5"/>
        <v>0</v>
      </c>
      <c r="I34" s="48" t="s">
        <v>36</v>
      </c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142" t="s">
        <v>97</v>
      </c>
      <c r="B35" s="35" t="s">
        <v>63</v>
      </c>
      <c r="C35" s="60">
        <v>45910.0</v>
      </c>
      <c r="D35" s="34"/>
      <c r="E35" s="38">
        <v>25000.0</v>
      </c>
      <c r="F35" s="39">
        <v>22500.0</v>
      </c>
      <c r="G35" s="58">
        <v>22500.0</v>
      </c>
      <c r="H35" s="41">
        <f t="shared" si="5"/>
        <v>0</v>
      </c>
      <c r="I35" s="48" t="s">
        <v>43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142" t="s">
        <v>99</v>
      </c>
      <c r="B36" s="59" t="s">
        <v>71</v>
      </c>
      <c r="C36" s="60">
        <v>45945.0</v>
      </c>
      <c r="D36" s="34"/>
      <c r="E36" s="61">
        <v>200000.0</v>
      </c>
      <c r="F36" s="39">
        <f>95000</f>
        <v>95000</v>
      </c>
      <c r="G36" s="40">
        <f>1000</f>
        <v>1000</v>
      </c>
      <c r="H36" s="41">
        <f t="shared" si="5"/>
        <v>94000</v>
      </c>
      <c r="I36" s="45" t="s">
        <v>16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142" t="s">
        <v>100</v>
      </c>
      <c r="B37" s="59" t="s">
        <v>134</v>
      </c>
      <c r="C37" s="60">
        <v>45678.0</v>
      </c>
      <c r="D37" s="34"/>
      <c r="E37" s="61">
        <v>48000.0</v>
      </c>
      <c r="F37" s="168">
        <v>27700.0</v>
      </c>
      <c r="G37" s="40">
        <f>500+2000</f>
        <v>2500</v>
      </c>
      <c r="H37" s="54"/>
      <c r="I37" s="45" t="s">
        <v>129</v>
      </c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65"/>
      <c r="B38" s="35"/>
      <c r="C38" s="56"/>
      <c r="D38" s="34"/>
      <c r="E38" s="38"/>
      <c r="F38" s="39"/>
      <c r="G38" s="40"/>
      <c r="H38" s="41"/>
      <c r="I38" s="48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9.5" customHeight="1">
      <c r="A39" s="66" t="s">
        <v>78</v>
      </c>
      <c r="B39" s="21"/>
      <c r="C39" s="21"/>
      <c r="D39" s="67"/>
      <c r="E39" s="68">
        <f>SUM(E8:E38)</f>
        <v>1618000</v>
      </c>
      <c r="F39" s="68">
        <f>SUM(F8:F38)-F31</f>
        <v>1360013</v>
      </c>
      <c r="G39" s="68">
        <f>SUM(G8:G38)</f>
        <v>1130879</v>
      </c>
      <c r="H39" s="68">
        <f>SUM(H8:H38)-H31</f>
        <v>138933.6667</v>
      </c>
      <c r="I39" s="69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9.5" customHeight="1">
      <c r="A40" s="70" t="s">
        <v>80</v>
      </c>
      <c r="B40" s="71"/>
      <c r="C40" s="71"/>
      <c r="D40" s="71"/>
      <c r="E40" s="71"/>
      <c r="F40" s="71"/>
      <c r="G40" s="71"/>
      <c r="H40" s="71"/>
      <c r="I40" s="72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6.5" customHeight="1">
      <c r="A41" s="73" t="s">
        <v>14</v>
      </c>
      <c r="B41" s="74" t="s">
        <v>81</v>
      </c>
      <c r="C41" s="75">
        <v>45783.0</v>
      </c>
      <c r="D41" s="175">
        <f>30</f>
        <v>30</v>
      </c>
      <c r="E41" s="77">
        <f>40000+10000+10000</f>
        <v>60000</v>
      </c>
      <c r="F41" s="77">
        <f t="shared" ref="F41:F42" si="6">E41/30*D41</f>
        <v>60000</v>
      </c>
      <c r="G41" s="78">
        <f>30000+10000+20000</f>
        <v>60000</v>
      </c>
      <c r="H41" s="78">
        <f>F41-G41</f>
        <v>0</v>
      </c>
      <c r="I41" s="80" t="s">
        <v>32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73" t="s">
        <v>18</v>
      </c>
      <c r="B42" s="55" t="s">
        <v>128</v>
      </c>
      <c r="C42" s="75">
        <v>45971.0</v>
      </c>
      <c r="D42" s="175">
        <f>30-8</f>
        <v>22</v>
      </c>
      <c r="E42" s="77">
        <v>40000.0</v>
      </c>
      <c r="F42" s="52">
        <f t="shared" si="6"/>
        <v>29333.33333</v>
      </c>
      <c r="G42" s="78"/>
      <c r="H42" s="54"/>
      <c r="I42" s="80" t="s">
        <v>129</v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73" t="s">
        <v>22</v>
      </c>
      <c r="B43" s="81" t="s">
        <v>87</v>
      </c>
      <c r="C43" s="75">
        <v>45934.0</v>
      </c>
      <c r="D43" s="175">
        <f t="shared" ref="D43:D47" si="7">30</f>
        <v>30</v>
      </c>
      <c r="E43" s="77">
        <v>20000.0</v>
      </c>
      <c r="F43" s="77">
        <f>E43/30*D43-350</f>
        <v>19650</v>
      </c>
      <c r="G43" s="78">
        <f>2000+17650</f>
        <v>19650</v>
      </c>
      <c r="H43" s="78">
        <f t="shared" ref="H43:H50" si="8">F43-G43</f>
        <v>0</v>
      </c>
      <c r="I43" s="80" t="s">
        <v>43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73" t="s">
        <v>25</v>
      </c>
      <c r="B44" s="82" t="s">
        <v>88</v>
      </c>
      <c r="C44" s="83">
        <v>46033.0</v>
      </c>
      <c r="D44" s="124">
        <f t="shared" si="7"/>
        <v>30</v>
      </c>
      <c r="E44" s="85">
        <v>30000.0</v>
      </c>
      <c r="F44" s="85">
        <f t="shared" ref="F44:F50" si="9">E44/30*D44</f>
        <v>30000</v>
      </c>
      <c r="G44" s="40">
        <f>3000+27000</f>
        <v>30000</v>
      </c>
      <c r="H44" s="40">
        <f t="shared" si="8"/>
        <v>0</v>
      </c>
      <c r="I44" s="86" t="s">
        <v>90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73" t="s">
        <v>27</v>
      </c>
      <c r="B45" s="87" t="s">
        <v>92</v>
      </c>
      <c r="C45" s="88">
        <v>45783.0</v>
      </c>
      <c r="D45" s="125">
        <f t="shared" si="7"/>
        <v>30</v>
      </c>
      <c r="E45" s="90">
        <v>20000.0</v>
      </c>
      <c r="F45" s="90">
        <f t="shared" si="9"/>
        <v>20000</v>
      </c>
      <c r="G45" s="91">
        <f>10000+10000</f>
        <v>20000</v>
      </c>
      <c r="H45" s="91">
        <f t="shared" si="8"/>
        <v>0</v>
      </c>
      <c r="I45" s="93" t="s">
        <v>95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73" t="s">
        <v>30</v>
      </c>
      <c r="B46" s="87" t="s">
        <v>111</v>
      </c>
      <c r="C46" s="88">
        <v>45763.0</v>
      </c>
      <c r="D46" s="125">
        <f t="shared" si="7"/>
        <v>30</v>
      </c>
      <c r="E46" s="90">
        <v>14000.0</v>
      </c>
      <c r="F46" s="90">
        <f t="shared" si="9"/>
        <v>14000</v>
      </c>
      <c r="G46" s="91">
        <f>14000</f>
        <v>14000</v>
      </c>
      <c r="H46" s="91">
        <f t="shared" si="8"/>
        <v>0</v>
      </c>
      <c r="I46" s="93" t="s">
        <v>102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73" t="s">
        <v>34</v>
      </c>
      <c r="B47" s="87" t="s">
        <v>105</v>
      </c>
      <c r="C47" s="88">
        <v>45773.0</v>
      </c>
      <c r="D47" s="125">
        <f t="shared" si="7"/>
        <v>30</v>
      </c>
      <c r="E47" s="90">
        <v>12000.0</v>
      </c>
      <c r="F47" s="90">
        <f t="shared" si="9"/>
        <v>12000</v>
      </c>
      <c r="G47" s="91">
        <f>12000</f>
        <v>12000</v>
      </c>
      <c r="H47" s="91">
        <f t="shared" si="8"/>
        <v>0</v>
      </c>
      <c r="I47" s="99" t="s">
        <v>102</v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73" t="s">
        <v>37</v>
      </c>
      <c r="B48" s="87" t="s">
        <v>112</v>
      </c>
      <c r="C48" s="88">
        <v>46113.0</v>
      </c>
      <c r="D48" s="125">
        <v>30.0</v>
      </c>
      <c r="E48" s="90">
        <v>14000.0</v>
      </c>
      <c r="F48" s="90">
        <f t="shared" si="9"/>
        <v>14000</v>
      </c>
      <c r="G48" s="91">
        <f>14000</f>
        <v>14000</v>
      </c>
      <c r="H48" s="91">
        <f t="shared" si="8"/>
        <v>0</v>
      </c>
      <c r="I48" s="99" t="s">
        <v>102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73" t="s">
        <v>41</v>
      </c>
      <c r="B49" s="101" t="s">
        <v>106</v>
      </c>
      <c r="C49" s="102">
        <v>44992.0</v>
      </c>
      <c r="D49" s="126">
        <f>30</f>
        <v>30</v>
      </c>
      <c r="E49" s="104">
        <v>24000.0</v>
      </c>
      <c r="F49" s="104">
        <f t="shared" si="9"/>
        <v>24000</v>
      </c>
      <c r="G49" s="105">
        <f>14000+10000</f>
        <v>24000</v>
      </c>
      <c r="H49" s="105">
        <f t="shared" si="8"/>
        <v>0</v>
      </c>
      <c r="I49" s="106" t="s">
        <v>109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73" t="s">
        <v>44</v>
      </c>
      <c r="B50" s="101" t="s">
        <v>113</v>
      </c>
      <c r="C50" s="102">
        <v>46126.0</v>
      </c>
      <c r="D50" s="126">
        <v>17.0</v>
      </c>
      <c r="E50" s="104">
        <v>22000.0</v>
      </c>
      <c r="F50" s="104">
        <f t="shared" si="9"/>
        <v>12466.66667</v>
      </c>
      <c r="G50" s="105">
        <f>12467</f>
        <v>12467</v>
      </c>
      <c r="H50" s="105">
        <f t="shared" si="8"/>
        <v>-0.3333333333</v>
      </c>
      <c r="I50" s="106" t="s">
        <v>109</v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110"/>
      <c r="B51" s="111"/>
      <c r="C51" s="112"/>
      <c r="D51" s="113"/>
      <c r="E51" s="114"/>
      <c r="F51" s="114"/>
      <c r="G51" s="115"/>
      <c r="H51" s="115"/>
      <c r="I51" s="11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9.5" customHeight="1">
      <c r="A52" s="66" t="s">
        <v>78</v>
      </c>
      <c r="B52" s="21"/>
      <c r="C52" s="21"/>
      <c r="D52" s="67"/>
      <c r="E52" s="68">
        <f t="shared" ref="E52:G52" si="10">SUM(E41:E51)</f>
        <v>256000</v>
      </c>
      <c r="F52" s="68">
        <f t="shared" si="10"/>
        <v>235450</v>
      </c>
      <c r="G52" s="68">
        <f t="shared" si="10"/>
        <v>206117</v>
      </c>
      <c r="H52" s="68">
        <f>SUM(H41:H51)-H42</f>
        <v>-0.3333333333</v>
      </c>
      <c r="I52" s="69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24.75" customHeight="1">
      <c r="A53" s="117" t="s">
        <v>78</v>
      </c>
      <c r="B53" s="21"/>
      <c r="C53" s="21"/>
      <c r="D53" s="67"/>
      <c r="E53" s="118">
        <f t="shared" ref="E53:G53" si="11">SUM(E7:E51)</f>
        <v>3492000</v>
      </c>
      <c r="F53" s="118">
        <f t="shared" si="11"/>
        <v>3014376</v>
      </c>
      <c r="G53" s="118">
        <f t="shared" si="11"/>
        <v>2467875</v>
      </c>
      <c r="H53" s="118">
        <f>H39+H52</f>
        <v>138933.3333</v>
      </c>
      <c r="I53" s="119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120"/>
      <c r="B54" s="120"/>
      <c r="C54" s="121"/>
      <c r="D54" s="11"/>
      <c r="E54" s="122"/>
      <c r="F54" s="122"/>
      <c r="G54" s="123"/>
      <c r="H54" s="123"/>
      <c r="I54" s="11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120"/>
      <c r="B55" s="120"/>
      <c r="C55" s="121"/>
      <c r="D55" s="11"/>
      <c r="E55" s="122"/>
      <c r="F55" s="122"/>
      <c r="G55" s="123"/>
      <c r="H55" s="123"/>
      <c r="I55" s="11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6.5" customHeight="1">
      <c r="A56" s="120"/>
      <c r="B56" s="120"/>
      <c r="C56" s="121"/>
      <c r="D56" s="11"/>
      <c r="E56" s="122"/>
      <c r="F56" s="122"/>
      <c r="G56" s="123"/>
      <c r="H56" s="123"/>
      <c r="I56" s="11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6.5" customHeight="1">
      <c r="A57" s="120"/>
      <c r="B57" s="120"/>
      <c r="C57" s="121"/>
      <c r="D57" s="11"/>
      <c r="E57" s="122"/>
      <c r="F57" s="122"/>
      <c r="G57" s="123"/>
      <c r="H57" s="123"/>
      <c r="I57" s="11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120"/>
      <c r="B58" s="120"/>
      <c r="C58" s="121"/>
      <c r="D58" s="11"/>
      <c r="E58" s="122"/>
      <c r="F58" s="122"/>
      <c r="G58" s="123"/>
      <c r="H58" s="123"/>
      <c r="I58" s="11"/>
      <c r="J58" s="5"/>
      <c r="K58" s="5"/>
      <c r="L58" s="5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6.5" customHeight="1">
      <c r="A59" s="120"/>
      <c r="B59" s="120"/>
      <c r="C59" s="121"/>
      <c r="D59" s="11"/>
      <c r="E59" s="122"/>
      <c r="F59" s="122"/>
      <c r="G59" s="123"/>
      <c r="H59" s="123"/>
      <c r="I59" s="11"/>
      <c r="J59" s="5"/>
      <c r="K59" s="5"/>
      <c r="L59" s="5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6.5" customHeight="1">
      <c r="A60" s="120"/>
      <c r="B60" s="120"/>
      <c r="C60" s="121"/>
      <c r="D60" s="11"/>
      <c r="E60" s="122"/>
      <c r="F60" s="122"/>
      <c r="G60" s="123"/>
      <c r="H60" s="123"/>
      <c r="I60" s="11"/>
      <c r="J60" s="5"/>
      <c r="K60" s="5"/>
      <c r="L60" s="5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6.5" customHeight="1">
      <c r="A61" s="120"/>
      <c r="B61" s="120"/>
      <c r="C61" s="121"/>
      <c r="D61" s="11"/>
      <c r="E61" s="122"/>
      <c r="F61" s="122"/>
      <c r="G61" s="123"/>
      <c r="H61" s="123"/>
      <c r="I61" s="11"/>
      <c r="J61" s="5"/>
      <c r="K61" s="5"/>
      <c r="L61" s="5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6.5" customHeight="1">
      <c r="A62" s="120"/>
      <c r="B62" s="120"/>
      <c r="C62" s="121"/>
      <c r="D62" s="11"/>
      <c r="E62" s="122"/>
      <c r="F62" s="122"/>
      <c r="G62" s="123"/>
      <c r="H62" s="123"/>
      <c r="I62" s="11"/>
      <c r="J62" s="5"/>
      <c r="K62" s="5"/>
      <c r="L62" s="5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6.5" customHeight="1">
      <c r="A63" s="7"/>
      <c r="B63" s="7"/>
      <c r="C63" s="5"/>
      <c r="D63" s="8"/>
      <c r="E63" s="9"/>
      <c r="F63" s="9"/>
      <c r="G63" s="10"/>
      <c r="H63" s="10"/>
      <c r="I63" s="11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7"/>
      <c r="B64" s="7"/>
      <c r="C64" s="5"/>
      <c r="D64" s="8"/>
      <c r="E64" s="9"/>
      <c r="F64" s="9"/>
      <c r="G64" s="10"/>
      <c r="H64" s="10"/>
      <c r="I64" s="11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7"/>
      <c r="B65" s="7"/>
      <c r="C65" s="5"/>
      <c r="D65" s="8"/>
      <c r="E65" s="9"/>
      <c r="F65" s="9"/>
      <c r="G65" s="10"/>
      <c r="H65" s="10"/>
      <c r="I65" s="11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7"/>
      <c r="B66" s="7"/>
      <c r="C66" s="5"/>
      <c r="D66" s="8"/>
      <c r="E66" s="9"/>
      <c r="F66" s="9"/>
      <c r="G66" s="10"/>
      <c r="H66" s="10"/>
      <c r="I66" s="11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7"/>
      <c r="B67" s="7"/>
      <c r="C67" s="5"/>
      <c r="D67" s="8"/>
      <c r="E67" s="9"/>
      <c r="F67" s="9"/>
      <c r="G67" s="10"/>
      <c r="H67" s="10"/>
      <c r="I67" s="11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7"/>
      <c r="B68" s="7"/>
      <c r="C68" s="5"/>
      <c r="D68" s="8"/>
      <c r="E68" s="9"/>
      <c r="F68" s="9"/>
      <c r="G68" s="10"/>
      <c r="H68" s="10"/>
      <c r="I68" s="11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7"/>
      <c r="B69" s="7"/>
      <c r="C69" s="5"/>
      <c r="D69" s="8"/>
      <c r="E69" s="9"/>
      <c r="F69" s="9"/>
      <c r="G69" s="10"/>
      <c r="H69" s="10"/>
      <c r="I69" s="11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7"/>
      <c r="B70" s="7"/>
      <c r="C70" s="5"/>
      <c r="D70" s="8"/>
      <c r="E70" s="9"/>
      <c r="F70" s="9"/>
      <c r="G70" s="10"/>
      <c r="H70" s="10"/>
      <c r="I70" s="11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7"/>
      <c r="B71" s="7"/>
      <c r="C71" s="5"/>
      <c r="D71" s="8"/>
      <c r="E71" s="9"/>
      <c r="F71" s="9"/>
      <c r="G71" s="10"/>
      <c r="H71" s="10"/>
      <c r="I71" s="11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7"/>
      <c r="B72" s="7"/>
      <c r="C72" s="5"/>
      <c r="D72" s="8"/>
      <c r="E72" s="9"/>
      <c r="F72" s="9"/>
      <c r="G72" s="10"/>
      <c r="H72" s="10"/>
      <c r="I72" s="11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7"/>
      <c r="B73" s="7"/>
      <c r="C73" s="5"/>
      <c r="D73" s="8"/>
      <c r="E73" s="9"/>
      <c r="F73" s="9"/>
      <c r="G73" s="10"/>
      <c r="H73" s="10"/>
      <c r="I73" s="11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7"/>
      <c r="B74" s="7"/>
      <c r="C74" s="5"/>
      <c r="D74" s="8"/>
      <c r="E74" s="9"/>
      <c r="F74" s="9"/>
      <c r="G74" s="10"/>
      <c r="H74" s="10"/>
      <c r="I74" s="11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7"/>
      <c r="B75" s="7"/>
      <c r="C75" s="5"/>
      <c r="D75" s="8"/>
      <c r="E75" s="9"/>
      <c r="F75" s="9"/>
      <c r="G75" s="10"/>
      <c r="H75" s="10"/>
      <c r="I75" s="11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7"/>
      <c r="B76" s="7"/>
      <c r="C76" s="5"/>
      <c r="D76" s="8"/>
      <c r="E76" s="9"/>
      <c r="F76" s="9"/>
      <c r="G76" s="10"/>
      <c r="H76" s="10"/>
      <c r="I76" s="11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7"/>
      <c r="B77" s="7"/>
      <c r="C77" s="5"/>
      <c r="D77" s="8"/>
      <c r="E77" s="9"/>
      <c r="F77" s="9"/>
      <c r="G77" s="10"/>
      <c r="H77" s="10"/>
      <c r="I77" s="11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7"/>
      <c r="B78" s="7"/>
      <c r="C78" s="5"/>
      <c r="D78" s="8"/>
      <c r="E78" s="9"/>
      <c r="F78" s="9"/>
      <c r="G78" s="10"/>
      <c r="H78" s="10"/>
      <c r="I78" s="11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7"/>
      <c r="B79" s="7"/>
      <c r="C79" s="5"/>
      <c r="D79" s="8"/>
      <c r="E79" s="9"/>
      <c r="F79" s="9"/>
      <c r="G79" s="10"/>
      <c r="H79" s="10"/>
      <c r="I79" s="11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7"/>
      <c r="B80" s="7"/>
      <c r="C80" s="5"/>
      <c r="D80" s="8"/>
      <c r="E80" s="9"/>
      <c r="F80" s="9"/>
      <c r="G80" s="10"/>
      <c r="H80" s="10"/>
      <c r="I80" s="11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7"/>
      <c r="B81" s="7"/>
      <c r="C81" s="5"/>
      <c r="D81" s="8"/>
      <c r="E81" s="9"/>
      <c r="F81" s="9"/>
      <c r="G81" s="10"/>
      <c r="H81" s="10"/>
      <c r="I81" s="11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7"/>
      <c r="B82" s="7"/>
      <c r="C82" s="5"/>
      <c r="D82" s="8"/>
      <c r="E82" s="9"/>
      <c r="F82" s="9"/>
      <c r="G82" s="10"/>
      <c r="H82" s="10"/>
      <c r="I82" s="11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7"/>
      <c r="B83" s="7"/>
      <c r="C83" s="5"/>
      <c r="D83" s="8"/>
      <c r="E83" s="9"/>
      <c r="F83" s="9"/>
      <c r="G83" s="10"/>
      <c r="H83" s="10"/>
      <c r="I83" s="11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7"/>
      <c r="B84" s="7"/>
      <c r="C84" s="5"/>
      <c r="D84" s="8"/>
      <c r="E84" s="9"/>
      <c r="F84" s="9"/>
      <c r="G84" s="10"/>
      <c r="H84" s="10"/>
      <c r="I84" s="11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7"/>
      <c r="B85" s="7"/>
      <c r="C85" s="5"/>
      <c r="D85" s="8"/>
      <c r="E85" s="9"/>
      <c r="F85" s="9"/>
      <c r="G85" s="10"/>
      <c r="H85" s="10"/>
      <c r="I85" s="11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7"/>
      <c r="B86" s="7"/>
      <c r="C86" s="5"/>
      <c r="D86" s="8"/>
      <c r="E86" s="9"/>
      <c r="F86" s="9"/>
      <c r="G86" s="10"/>
      <c r="H86" s="10"/>
      <c r="I86" s="11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7"/>
      <c r="B87" s="7"/>
      <c r="C87" s="5"/>
      <c r="D87" s="8"/>
      <c r="E87" s="9"/>
      <c r="F87" s="9"/>
      <c r="G87" s="10"/>
      <c r="H87" s="10"/>
      <c r="I87" s="11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7"/>
      <c r="B88" s="7"/>
      <c r="C88" s="5"/>
      <c r="D88" s="8"/>
      <c r="E88" s="9"/>
      <c r="F88" s="9"/>
      <c r="G88" s="10"/>
      <c r="H88" s="10"/>
      <c r="I88" s="11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7"/>
      <c r="B89" s="7"/>
      <c r="C89" s="5"/>
      <c r="D89" s="8"/>
      <c r="E89" s="9"/>
      <c r="F89" s="9"/>
      <c r="G89" s="10"/>
      <c r="H89" s="10"/>
      <c r="I89" s="11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7"/>
      <c r="B90" s="7"/>
      <c r="C90" s="5"/>
      <c r="D90" s="8"/>
      <c r="E90" s="9"/>
      <c r="F90" s="9"/>
      <c r="G90" s="10"/>
      <c r="H90" s="10"/>
      <c r="I90" s="11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7"/>
      <c r="B91" s="7"/>
      <c r="C91" s="5"/>
      <c r="D91" s="8"/>
      <c r="E91" s="9"/>
      <c r="F91" s="9"/>
      <c r="G91" s="10"/>
      <c r="H91" s="10"/>
      <c r="I91" s="11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7"/>
      <c r="B92" s="7"/>
      <c r="C92" s="5"/>
      <c r="D92" s="8"/>
      <c r="E92" s="9"/>
      <c r="F92" s="9"/>
      <c r="G92" s="10"/>
      <c r="H92" s="10"/>
      <c r="I92" s="11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7"/>
      <c r="B93" s="7"/>
      <c r="C93" s="5"/>
      <c r="D93" s="8"/>
      <c r="E93" s="9"/>
      <c r="F93" s="9"/>
      <c r="G93" s="10"/>
      <c r="H93" s="10"/>
      <c r="I93" s="11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7"/>
      <c r="B94" s="7"/>
      <c r="C94" s="5"/>
      <c r="D94" s="8"/>
      <c r="E94" s="9"/>
      <c r="F94" s="9"/>
      <c r="G94" s="10"/>
      <c r="H94" s="10"/>
      <c r="I94" s="11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7"/>
      <c r="B95" s="7"/>
      <c r="C95" s="5"/>
      <c r="D95" s="8"/>
      <c r="E95" s="9"/>
      <c r="F95" s="9"/>
      <c r="G95" s="10"/>
      <c r="H95" s="10"/>
      <c r="I95" s="11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7"/>
      <c r="B96" s="7"/>
      <c r="C96" s="5"/>
      <c r="D96" s="8"/>
      <c r="E96" s="9"/>
      <c r="F96" s="9"/>
      <c r="G96" s="10"/>
      <c r="H96" s="10"/>
      <c r="I96" s="11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7"/>
      <c r="B97" s="7"/>
      <c r="C97" s="5"/>
      <c r="D97" s="8"/>
      <c r="E97" s="9"/>
      <c r="F97" s="9"/>
      <c r="G97" s="10"/>
      <c r="H97" s="10"/>
      <c r="I97" s="11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7"/>
      <c r="B98" s="7"/>
      <c r="C98" s="5"/>
      <c r="D98" s="8"/>
      <c r="E98" s="9"/>
      <c r="F98" s="9"/>
      <c r="G98" s="10"/>
      <c r="H98" s="10"/>
      <c r="I98" s="11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7"/>
      <c r="B99" s="7"/>
      <c r="C99" s="5"/>
      <c r="D99" s="8"/>
      <c r="E99" s="9"/>
      <c r="F99" s="9"/>
      <c r="G99" s="10"/>
      <c r="H99" s="10"/>
      <c r="I99" s="11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7"/>
      <c r="B100" s="7"/>
      <c r="C100" s="5"/>
      <c r="D100" s="8"/>
      <c r="E100" s="9"/>
      <c r="F100" s="9"/>
      <c r="G100" s="10"/>
      <c r="H100" s="10"/>
      <c r="I100" s="11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7"/>
      <c r="B101" s="7"/>
      <c r="C101" s="5"/>
      <c r="D101" s="8"/>
      <c r="E101" s="9"/>
      <c r="F101" s="9"/>
      <c r="G101" s="10"/>
      <c r="H101" s="10"/>
      <c r="I101" s="11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7"/>
      <c r="B102" s="7"/>
      <c r="C102" s="5"/>
      <c r="D102" s="8"/>
      <c r="E102" s="9"/>
      <c r="F102" s="9"/>
      <c r="G102" s="10"/>
      <c r="H102" s="10"/>
      <c r="I102" s="11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7"/>
      <c r="B103" s="7"/>
      <c r="C103" s="5"/>
      <c r="D103" s="8"/>
      <c r="E103" s="9"/>
      <c r="F103" s="9"/>
      <c r="G103" s="10"/>
      <c r="H103" s="10"/>
      <c r="I103" s="11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7"/>
      <c r="B104" s="7"/>
      <c r="C104" s="5"/>
      <c r="D104" s="8"/>
      <c r="E104" s="9"/>
      <c r="F104" s="9"/>
      <c r="G104" s="10"/>
      <c r="H104" s="10"/>
      <c r="I104" s="11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7"/>
      <c r="B105" s="7"/>
      <c r="C105" s="5"/>
      <c r="D105" s="8"/>
      <c r="E105" s="9"/>
      <c r="F105" s="9"/>
      <c r="G105" s="10"/>
      <c r="H105" s="10"/>
      <c r="I105" s="11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7"/>
      <c r="B106" s="7"/>
      <c r="C106" s="5"/>
      <c r="D106" s="8"/>
      <c r="E106" s="9"/>
      <c r="F106" s="9"/>
      <c r="G106" s="10"/>
      <c r="H106" s="10"/>
      <c r="I106" s="11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7"/>
      <c r="B107" s="7"/>
      <c r="C107" s="5"/>
      <c r="D107" s="8"/>
      <c r="E107" s="9"/>
      <c r="F107" s="9"/>
      <c r="G107" s="10"/>
      <c r="H107" s="10"/>
      <c r="I107" s="11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7"/>
      <c r="B108" s="7"/>
      <c r="C108" s="5"/>
      <c r="D108" s="8"/>
      <c r="E108" s="9"/>
      <c r="F108" s="9"/>
      <c r="G108" s="10"/>
      <c r="H108" s="10"/>
      <c r="I108" s="11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7"/>
      <c r="B109" s="7"/>
      <c r="C109" s="5"/>
      <c r="D109" s="8"/>
      <c r="E109" s="9"/>
      <c r="F109" s="9"/>
      <c r="G109" s="10"/>
      <c r="H109" s="10"/>
      <c r="I109" s="11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7"/>
      <c r="B110" s="7"/>
      <c r="C110" s="5"/>
      <c r="D110" s="8"/>
      <c r="E110" s="9"/>
      <c r="F110" s="9"/>
      <c r="G110" s="10"/>
      <c r="H110" s="10"/>
      <c r="I110" s="11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7"/>
      <c r="B111" s="7"/>
      <c r="C111" s="5"/>
      <c r="D111" s="8"/>
      <c r="E111" s="9"/>
      <c r="F111" s="9"/>
      <c r="G111" s="10"/>
      <c r="H111" s="10"/>
      <c r="I111" s="11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7"/>
      <c r="B112" s="7"/>
      <c r="C112" s="5"/>
      <c r="D112" s="8"/>
      <c r="E112" s="9"/>
      <c r="F112" s="9"/>
      <c r="G112" s="10"/>
      <c r="H112" s="10"/>
      <c r="I112" s="11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7"/>
      <c r="B113" s="7"/>
      <c r="C113" s="5"/>
      <c r="D113" s="8"/>
      <c r="E113" s="9"/>
      <c r="F113" s="9"/>
      <c r="G113" s="10"/>
      <c r="H113" s="10"/>
      <c r="I113" s="11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7"/>
      <c r="B114" s="7"/>
      <c r="C114" s="5"/>
      <c r="D114" s="8"/>
      <c r="E114" s="9"/>
      <c r="F114" s="9"/>
      <c r="G114" s="10"/>
      <c r="H114" s="10"/>
      <c r="I114" s="11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7"/>
      <c r="B115" s="7"/>
      <c r="C115" s="5"/>
      <c r="D115" s="8"/>
      <c r="E115" s="9"/>
      <c r="F115" s="9"/>
      <c r="G115" s="10"/>
      <c r="H115" s="10"/>
      <c r="I115" s="11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7"/>
      <c r="B116" s="7"/>
      <c r="C116" s="5"/>
      <c r="D116" s="8"/>
      <c r="E116" s="9"/>
      <c r="F116" s="9"/>
      <c r="G116" s="10"/>
      <c r="H116" s="10"/>
      <c r="I116" s="11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7"/>
      <c r="B117" s="7"/>
      <c r="C117" s="5"/>
      <c r="D117" s="8"/>
      <c r="E117" s="9"/>
      <c r="F117" s="9"/>
      <c r="G117" s="10"/>
      <c r="H117" s="10"/>
      <c r="I117" s="11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7"/>
      <c r="B118" s="7"/>
      <c r="C118" s="5"/>
      <c r="D118" s="8"/>
      <c r="E118" s="9"/>
      <c r="F118" s="9"/>
      <c r="G118" s="10"/>
      <c r="H118" s="10"/>
      <c r="I118" s="11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7"/>
      <c r="B119" s="7"/>
      <c r="C119" s="5"/>
      <c r="D119" s="8"/>
      <c r="E119" s="9"/>
      <c r="F119" s="9"/>
      <c r="G119" s="10"/>
      <c r="H119" s="10"/>
      <c r="I119" s="11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7"/>
      <c r="B120" s="7"/>
      <c r="C120" s="5"/>
      <c r="D120" s="8"/>
      <c r="E120" s="9"/>
      <c r="F120" s="9"/>
      <c r="G120" s="10"/>
      <c r="H120" s="10"/>
      <c r="I120" s="11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7"/>
      <c r="B121" s="7"/>
      <c r="C121" s="5"/>
      <c r="D121" s="8"/>
      <c r="E121" s="9"/>
      <c r="F121" s="9"/>
      <c r="G121" s="10"/>
      <c r="H121" s="10"/>
      <c r="I121" s="11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7"/>
      <c r="B122" s="7"/>
      <c r="C122" s="5"/>
      <c r="D122" s="8"/>
      <c r="E122" s="9"/>
      <c r="F122" s="9"/>
      <c r="G122" s="10"/>
      <c r="H122" s="10"/>
      <c r="I122" s="11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7"/>
      <c r="B123" s="7"/>
      <c r="C123" s="5"/>
      <c r="D123" s="8"/>
      <c r="E123" s="9"/>
      <c r="F123" s="9"/>
      <c r="G123" s="10"/>
      <c r="H123" s="10"/>
      <c r="I123" s="11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7"/>
      <c r="B124" s="7"/>
      <c r="C124" s="5"/>
      <c r="D124" s="8"/>
      <c r="E124" s="9"/>
      <c r="F124" s="9"/>
      <c r="G124" s="10"/>
      <c r="H124" s="10"/>
      <c r="I124" s="11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7"/>
      <c r="B125" s="7"/>
      <c r="C125" s="5"/>
      <c r="D125" s="8"/>
      <c r="E125" s="9"/>
      <c r="F125" s="9"/>
      <c r="G125" s="10"/>
      <c r="H125" s="10"/>
      <c r="I125" s="11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7"/>
      <c r="B126" s="7"/>
      <c r="C126" s="5"/>
      <c r="D126" s="8"/>
      <c r="E126" s="9"/>
      <c r="F126" s="9"/>
      <c r="G126" s="10"/>
      <c r="H126" s="10"/>
      <c r="I126" s="11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7"/>
      <c r="B127" s="7"/>
      <c r="C127" s="5"/>
      <c r="D127" s="8"/>
      <c r="E127" s="9"/>
      <c r="F127" s="9"/>
      <c r="G127" s="10"/>
      <c r="H127" s="10"/>
      <c r="I127" s="11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7"/>
      <c r="B128" s="7"/>
      <c r="C128" s="5"/>
      <c r="D128" s="8"/>
      <c r="E128" s="9"/>
      <c r="F128" s="9"/>
      <c r="G128" s="10"/>
      <c r="H128" s="10"/>
      <c r="I128" s="11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7"/>
      <c r="B129" s="7"/>
      <c r="C129" s="5"/>
      <c r="D129" s="8"/>
      <c r="E129" s="9"/>
      <c r="F129" s="9"/>
      <c r="G129" s="10"/>
      <c r="H129" s="10"/>
      <c r="I129" s="11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7"/>
      <c r="B130" s="7"/>
      <c r="C130" s="5"/>
      <c r="D130" s="8"/>
      <c r="E130" s="9"/>
      <c r="F130" s="9"/>
      <c r="G130" s="10"/>
      <c r="H130" s="10"/>
      <c r="I130" s="11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7"/>
      <c r="B131" s="7"/>
      <c r="C131" s="5"/>
      <c r="D131" s="8"/>
      <c r="E131" s="9"/>
      <c r="F131" s="9"/>
      <c r="G131" s="10"/>
      <c r="H131" s="10"/>
      <c r="I131" s="11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7"/>
      <c r="B132" s="7"/>
      <c r="C132" s="5"/>
      <c r="D132" s="8"/>
      <c r="E132" s="9"/>
      <c r="F132" s="9"/>
      <c r="G132" s="10"/>
      <c r="H132" s="10"/>
      <c r="I132" s="11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7"/>
      <c r="B133" s="7"/>
      <c r="C133" s="5"/>
      <c r="D133" s="8"/>
      <c r="E133" s="9"/>
      <c r="F133" s="9"/>
      <c r="G133" s="10"/>
      <c r="H133" s="10"/>
      <c r="I133" s="11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7"/>
      <c r="B134" s="7"/>
      <c r="C134" s="5"/>
      <c r="D134" s="8"/>
      <c r="E134" s="9"/>
      <c r="F134" s="9"/>
      <c r="G134" s="10"/>
      <c r="H134" s="10"/>
      <c r="I134" s="11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7"/>
      <c r="B135" s="7"/>
      <c r="C135" s="5"/>
      <c r="D135" s="8"/>
      <c r="E135" s="9"/>
      <c r="F135" s="9"/>
      <c r="G135" s="10"/>
      <c r="H135" s="10"/>
      <c r="I135" s="11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7"/>
      <c r="B136" s="7"/>
      <c r="C136" s="5"/>
      <c r="D136" s="8"/>
      <c r="E136" s="9"/>
      <c r="F136" s="9"/>
      <c r="G136" s="10"/>
      <c r="H136" s="10"/>
      <c r="I136" s="11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7"/>
      <c r="B137" s="7"/>
      <c r="C137" s="5"/>
      <c r="D137" s="8"/>
      <c r="E137" s="9"/>
      <c r="F137" s="9"/>
      <c r="G137" s="10"/>
      <c r="H137" s="10"/>
      <c r="I137" s="11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7"/>
      <c r="B138" s="7"/>
      <c r="C138" s="5"/>
      <c r="D138" s="8"/>
      <c r="E138" s="9"/>
      <c r="F138" s="9"/>
      <c r="G138" s="10"/>
      <c r="H138" s="10"/>
      <c r="I138" s="11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7"/>
      <c r="B139" s="7"/>
      <c r="C139" s="5"/>
      <c r="D139" s="8"/>
      <c r="E139" s="9"/>
      <c r="F139" s="9"/>
      <c r="G139" s="10"/>
      <c r="H139" s="10"/>
      <c r="I139" s="11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7"/>
      <c r="B140" s="7"/>
      <c r="C140" s="5"/>
      <c r="D140" s="8"/>
      <c r="E140" s="9"/>
      <c r="F140" s="9"/>
      <c r="G140" s="10"/>
      <c r="H140" s="10"/>
      <c r="I140" s="11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7"/>
      <c r="B141" s="7"/>
      <c r="C141" s="5"/>
      <c r="D141" s="8"/>
      <c r="E141" s="9"/>
      <c r="F141" s="9"/>
      <c r="G141" s="10"/>
      <c r="H141" s="10"/>
      <c r="I141" s="11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7"/>
      <c r="B142" s="7"/>
      <c r="C142" s="5"/>
      <c r="D142" s="8"/>
      <c r="E142" s="9"/>
      <c r="F142" s="9"/>
      <c r="G142" s="10"/>
      <c r="H142" s="10"/>
      <c r="I142" s="11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7"/>
      <c r="B143" s="7"/>
      <c r="C143" s="5"/>
      <c r="D143" s="8"/>
      <c r="E143" s="9"/>
      <c r="F143" s="9"/>
      <c r="G143" s="10"/>
      <c r="H143" s="10"/>
      <c r="I143" s="11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7"/>
      <c r="B144" s="7"/>
      <c r="C144" s="5"/>
      <c r="D144" s="8"/>
      <c r="E144" s="9"/>
      <c r="F144" s="9"/>
      <c r="G144" s="10"/>
      <c r="H144" s="10"/>
      <c r="I144" s="11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7"/>
      <c r="B145" s="7"/>
      <c r="C145" s="5"/>
      <c r="D145" s="8"/>
      <c r="E145" s="9"/>
      <c r="F145" s="9"/>
      <c r="G145" s="10"/>
      <c r="H145" s="10"/>
      <c r="I145" s="11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7"/>
      <c r="B146" s="7"/>
      <c r="C146" s="5"/>
      <c r="D146" s="8"/>
      <c r="E146" s="9"/>
      <c r="F146" s="9"/>
      <c r="G146" s="10"/>
      <c r="H146" s="10"/>
      <c r="I146" s="11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7"/>
      <c r="B147" s="7"/>
      <c r="C147" s="5"/>
      <c r="D147" s="8"/>
      <c r="E147" s="9"/>
      <c r="F147" s="9"/>
      <c r="G147" s="10"/>
      <c r="H147" s="10"/>
      <c r="I147" s="11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7"/>
      <c r="B148" s="7"/>
      <c r="C148" s="5"/>
      <c r="D148" s="8"/>
      <c r="E148" s="9"/>
      <c r="F148" s="9"/>
      <c r="G148" s="10"/>
      <c r="H148" s="10"/>
      <c r="I148" s="11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7"/>
      <c r="B149" s="7"/>
      <c r="C149" s="5"/>
      <c r="D149" s="8"/>
      <c r="E149" s="9"/>
      <c r="F149" s="9"/>
      <c r="G149" s="10"/>
      <c r="H149" s="10"/>
      <c r="I149" s="11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7"/>
      <c r="B150" s="7"/>
      <c r="C150" s="5"/>
      <c r="D150" s="8"/>
      <c r="E150" s="9"/>
      <c r="F150" s="9"/>
      <c r="G150" s="10"/>
      <c r="H150" s="10"/>
      <c r="I150" s="11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7"/>
      <c r="B151" s="7"/>
      <c r="C151" s="5"/>
      <c r="D151" s="8"/>
      <c r="E151" s="9"/>
      <c r="F151" s="9"/>
      <c r="G151" s="10"/>
      <c r="H151" s="10"/>
      <c r="I151" s="11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7"/>
      <c r="B152" s="7"/>
      <c r="C152" s="5"/>
      <c r="D152" s="8"/>
      <c r="E152" s="9"/>
      <c r="F152" s="9"/>
      <c r="G152" s="10"/>
      <c r="H152" s="10"/>
      <c r="I152" s="11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7"/>
      <c r="B153" s="7"/>
      <c r="C153" s="5"/>
      <c r="D153" s="8"/>
      <c r="E153" s="9"/>
      <c r="F153" s="9"/>
      <c r="G153" s="10"/>
      <c r="H153" s="10"/>
      <c r="I153" s="11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7"/>
      <c r="B154" s="7"/>
      <c r="C154" s="5"/>
      <c r="D154" s="8"/>
      <c r="E154" s="9"/>
      <c r="F154" s="9"/>
      <c r="G154" s="10"/>
      <c r="H154" s="10"/>
      <c r="I154" s="11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7"/>
      <c r="B155" s="7"/>
      <c r="C155" s="5"/>
      <c r="D155" s="8"/>
      <c r="E155" s="9"/>
      <c r="F155" s="9"/>
      <c r="G155" s="10"/>
      <c r="H155" s="10"/>
      <c r="I155" s="11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7"/>
      <c r="B156" s="7"/>
      <c r="C156" s="5"/>
      <c r="D156" s="8"/>
      <c r="E156" s="9"/>
      <c r="F156" s="9"/>
      <c r="G156" s="10"/>
      <c r="H156" s="10"/>
      <c r="I156" s="11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7"/>
      <c r="B157" s="7"/>
      <c r="C157" s="5"/>
      <c r="D157" s="8"/>
      <c r="E157" s="9"/>
      <c r="F157" s="9"/>
      <c r="G157" s="10"/>
      <c r="H157" s="10"/>
      <c r="I157" s="11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7"/>
      <c r="B158" s="7"/>
      <c r="C158" s="5"/>
      <c r="D158" s="8"/>
      <c r="E158" s="9"/>
      <c r="F158" s="9"/>
      <c r="G158" s="10"/>
      <c r="H158" s="10"/>
      <c r="I158" s="11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7"/>
      <c r="B159" s="7"/>
      <c r="C159" s="5"/>
      <c r="D159" s="8"/>
      <c r="E159" s="9"/>
      <c r="F159" s="9"/>
      <c r="G159" s="10"/>
      <c r="H159" s="10"/>
      <c r="I159" s="11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7"/>
      <c r="B160" s="7"/>
      <c r="C160" s="5"/>
      <c r="D160" s="8"/>
      <c r="E160" s="9"/>
      <c r="F160" s="9"/>
      <c r="G160" s="10"/>
      <c r="H160" s="10"/>
      <c r="I160" s="11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7"/>
      <c r="B161" s="7"/>
      <c r="C161" s="5"/>
      <c r="D161" s="8"/>
      <c r="E161" s="9"/>
      <c r="F161" s="9"/>
      <c r="G161" s="10"/>
      <c r="H161" s="10"/>
      <c r="I161" s="11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7"/>
      <c r="B162" s="7"/>
      <c r="C162" s="5"/>
      <c r="D162" s="8"/>
      <c r="E162" s="9"/>
      <c r="F162" s="9"/>
      <c r="G162" s="10"/>
      <c r="H162" s="10"/>
      <c r="I162" s="11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7"/>
      <c r="B163" s="7"/>
      <c r="C163" s="5"/>
      <c r="D163" s="8"/>
      <c r="E163" s="9"/>
      <c r="F163" s="9"/>
      <c r="G163" s="10"/>
      <c r="H163" s="10"/>
      <c r="I163" s="11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7"/>
      <c r="B164" s="7"/>
      <c r="C164" s="5"/>
      <c r="D164" s="8"/>
      <c r="E164" s="9"/>
      <c r="F164" s="9"/>
      <c r="G164" s="10"/>
      <c r="H164" s="10"/>
      <c r="I164" s="11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7"/>
      <c r="B165" s="7"/>
      <c r="C165" s="5"/>
      <c r="D165" s="8"/>
      <c r="E165" s="9"/>
      <c r="F165" s="9"/>
      <c r="G165" s="10"/>
      <c r="H165" s="10"/>
      <c r="I165" s="11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7"/>
      <c r="B166" s="7"/>
      <c r="C166" s="5"/>
      <c r="D166" s="8"/>
      <c r="E166" s="9"/>
      <c r="F166" s="9"/>
      <c r="G166" s="10"/>
      <c r="H166" s="10"/>
      <c r="I166" s="11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7"/>
      <c r="B167" s="7"/>
      <c r="C167" s="5"/>
      <c r="D167" s="8"/>
      <c r="E167" s="9"/>
      <c r="F167" s="9"/>
      <c r="G167" s="10"/>
      <c r="H167" s="10"/>
      <c r="I167" s="11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7"/>
      <c r="B168" s="7"/>
      <c r="C168" s="5"/>
      <c r="D168" s="8"/>
      <c r="E168" s="9"/>
      <c r="F168" s="9"/>
      <c r="G168" s="10"/>
      <c r="H168" s="10"/>
      <c r="I168" s="11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7"/>
      <c r="B169" s="7"/>
      <c r="C169" s="5"/>
      <c r="D169" s="8"/>
      <c r="E169" s="9"/>
      <c r="F169" s="9"/>
      <c r="G169" s="10"/>
      <c r="H169" s="10"/>
      <c r="I169" s="11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7"/>
      <c r="B170" s="7"/>
      <c r="C170" s="5"/>
      <c r="D170" s="8"/>
      <c r="E170" s="9"/>
      <c r="F170" s="9"/>
      <c r="G170" s="10"/>
      <c r="H170" s="10"/>
      <c r="I170" s="11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7"/>
      <c r="B171" s="7"/>
      <c r="C171" s="5"/>
      <c r="D171" s="8"/>
      <c r="E171" s="9"/>
      <c r="F171" s="9"/>
      <c r="G171" s="10"/>
      <c r="H171" s="10"/>
      <c r="I171" s="11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7"/>
      <c r="B172" s="7"/>
      <c r="C172" s="5"/>
      <c r="D172" s="8"/>
      <c r="E172" s="9"/>
      <c r="F172" s="9"/>
      <c r="G172" s="10"/>
      <c r="H172" s="10"/>
      <c r="I172" s="11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7"/>
      <c r="B173" s="7"/>
      <c r="C173" s="5"/>
      <c r="D173" s="8"/>
      <c r="E173" s="9"/>
      <c r="F173" s="9"/>
      <c r="G173" s="10"/>
      <c r="H173" s="10"/>
      <c r="I173" s="11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7"/>
      <c r="B174" s="7"/>
      <c r="C174" s="5"/>
      <c r="D174" s="8"/>
      <c r="E174" s="9"/>
      <c r="F174" s="9"/>
      <c r="G174" s="10"/>
      <c r="H174" s="10"/>
      <c r="I174" s="11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7"/>
      <c r="B175" s="7"/>
      <c r="C175" s="5"/>
      <c r="D175" s="8"/>
      <c r="E175" s="9"/>
      <c r="F175" s="9"/>
      <c r="G175" s="10"/>
      <c r="H175" s="10"/>
      <c r="I175" s="11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7"/>
      <c r="B176" s="7"/>
      <c r="C176" s="5"/>
      <c r="D176" s="8"/>
      <c r="E176" s="9"/>
      <c r="F176" s="9"/>
      <c r="G176" s="10"/>
      <c r="H176" s="10"/>
      <c r="I176" s="11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7"/>
      <c r="B177" s="7"/>
      <c r="C177" s="5"/>
      <c r="D177" s="8"/>
      <c r="E177" s="9"/>
      <c r="F177" s="9"/>
      <c r="G177" s="10"/>
      <c r="H177" s="10"/>
      <c r="I177" s="11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7"/>
      <c r="B178" s="7"/>
      <c r="C178" s="5"/>
      <c r="D178" s="8"/>
      <c r="E178" s="9"/>
      <c r="F178" s="9"/>
      <c r="G178" s="10"/>
      <c r="H178" s="10"/>
      <c r="I178" s="11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7"/>
      <c r="B179" s="7"/>
      <c r="C179" s="5"/>
      <c r="D179" s="8"/>
      <c r="E179" s="9"/>
      <c r="F179" s="9"/>
      <c r="G179" s="10"/>
      <c r="H179" s="10"/>
      <c r="I179" s="11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7"/>
      <c r="B180" s="7"/>
      <c r="C180" s="5"/>
      <c r="D180" s="8"/>
      <c r="E180" s="9"/>
      <c r="F180" s="9"/>
      <c r="G180" s="10"/>
      <c r="H180" s="10"/>
      <c r="I180" s="11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7"/>
      <c r="B181" s="7"/>
      <c r="C181" s="5"/>
      <c r="D181" s="8"/>
      <c r="E181" s="9"/>
      <c r="F181" s="9"/>
      <c r="G181" s="10"/>
      <c r="H181" s="10"/>
      <c r="I181" s="11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7"/>
      <c r="B182" s="7"/>
      <c r="C182" s="5"/>
      <c r="D182" s="8"/>
      <c r="E182" s="9"/>
      <c r="F182" s="9"/>
      <c r="G182" s="10"/>
      <c r="H182" s="10"/>
      <c r="I182" s="11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7"/>
      <c r="B183" s="7"/>
      <c r="C183" s="5"/>
      <c r="D183" s="8"/>
      <c r="E183" s="9"/>
      <c r="F183" s="9"/>
      <c r="G183" s="10"/>
      <c r="H183" s="10"/>
      <c r="I183" s="11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7"/>
      <c r="B184" s="7"/>
      <c r="C184" s="5"/>
      <c r="D184" s="8"/>
      <c r="E184" s="9"/>
      <c r="F184" s="9"/>
      <c r="G184" s="10"/>
      <c r="H184" s="10"/>
      <c r="I184" s="11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7"/>
      <c r="B185" s="7"/>
      <c r="C185" s="5"/>
      <c r="D185" s="8"/>
      <c r="E185" s="9"/>
      <c r="F185" s="9"/>
      <c r="G185" s="10"/>
      <c r="H185" s="10"/>
      <c r="I185" s="11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7"/>
      <c r="B186" s="7"/>
      <c r="C186" s="5"/>
      <c r="D186" s="8"/>
      <c r="E186" s="9"/>
      <c r="F186" s="9"/>
      <c r="G186" s="10"/>
      <c r="H186" s="10"/>
      <c r="I186" s="11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7"/>
      <c r="B187" s="7"/>
      <c r="C187" s="5"/>
      <c r="D187" s="8"/>
      <c r="E187" s="9"/>
      <c r="F187" s="9"/>
      <c r="G187" s="10"/>
      <c r="H187" s="10"/>
      <c r="I187" s="11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7"/>
      <c r="B188" s="7"/>
      <c r="C188" s="5"/>
      <c r="D188" s="8"/>
      <c r="E188" s="9"/>
      <c r="F188" s="9"/>
      <c r="G188" s="10"/>
      <c r="H188" s="10"/>
      <c r="I188" s="11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7"/>
      <c r="B189" s="7"/>
      <c r="C189" s="5"/>
      <c r="D189" s="8"/>
      <c r="E189" s="9"/>
      <c r="F189" s="9"/>
      <c r="G189" s="10"/>
      <c r="H189" s="10"/>
      <c r="I189" s="11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7"/>
      <c r="B190" s="7"/>
      <c r="C190" s="5"/>
      <c r="D190" s="8"/>
      <c r="E190" s="9"/>
      <c r="F190" s="9"/>
      <c r="G190" s="10"/>
      <c r="H190" s="10"/>
      <c r="I190" s="11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7"/>
      <c r="B191" s="7"/>
      <c r="C191" s="5"/>
      <c r="D191" s="8"/>
      <c r="E191" s="9"/>
      <c r="F191" s="9"/>
      <c r="G191" s="10"/>
      <c r="H191" s="10"/>
      <c r="I191" s="11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7"/>
      <c r="B192" s="7"/>
      <c r="C192" s="5"/>
      <c r="D192" s="8"/>
      <c r="E192" s="9"/>
      <c r="F192" s="9"/>
      <c r="G192" s="10"/>
      <c r="H192" s="10"/>
      <c r="I192" s="11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7"/>
      <c r="B193" s="7"/>
      <c r="C193" s="5"/>
      <c r="D193" s="8"/>
      <c r="E193" s="9"/>
      <c r="F193" s="9"/>
      <c r="G193" s="10"/>
      <c r="H193" s="10"/>
      <c r="I193" s="11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7"/>
      <c r="B194" s="7"/>
      <c r="C194" s="5"/>
      <c r="D194" s="8"/>
      <c r="E194" s="9"/>
      <c r="F194" s="9"/>
      <c r="G194" s="10"/>
      <c r="H194" s="10"/>
      <c r="I194" s="11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7"/>
      <c r="B195" s="7"/>
      <c r="C195" s="5"/>
      <c r="D195" s="8"/>
      <c r="E195" s="9"/>
      <c r="F195" s="9"/>
      <c r="G195" s="10"/>
      <c r="H195" s="10"/>
      <c r="I195" s="11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7"/>
      <c r="B196" s="7"/>
      <c r="C196" s="5"/>
      <c r="D196" s="8"/>
      <c r="E196" s="9"/>
      <c r="F196" s="9"/>
      <c r="G196" s="10"/>
      <c r="H196" s="10"/>
      <c r="I196" s="11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7"/>
      <c r="B197" s="7"/>
      <c r="C197" s="5"/>
      <c r="D197" s="8"/>
      <c r="E197" s="9"/>
      <c r="F197" s="9"/>
      <c r="G197" s="10"/>
      <c r="H197" s="10"/>
      <c r="I197" s="11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7"/>
      <c r="B198" s="7"/>
      <c r="C198" s="5"/>
      <c r="D198" s="8"/>
      <c r="E198" s="9"/>
      <c r="F198" s="9"/>
      <c r="G198" s="10"/>
      <c r="H198" s="10"/>
      <c r="I198" s="11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7"/>
      <c r="B199" s="7"/>
      <c r="C199" s="5"/>
      <c r="D199" s="8"/>
      <c r="E199" s="9"/>
      <c r="F199" s="9"/>
      <c r="G199" s="10"/>
      <c r="H199" s="10"/>
      <c r="I199" s="11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7"/>
      <c r="B200" s="7"/>
      <c r="C200" s="5"/>
      <c r="D200" s="8"/>
      <c r="E200" s="9"/>
      <c r="F200" s="9"/>
      <c r="G200" s="10"/>
      <c r="H200" s="10"/>
      <c r="I200" s="11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7"/>
      <c r="B201" s="7"/>
      <c r="C201" s="5"/>
      <c r="D201" s="8"/>
      <c r="E201" s="9"/>
      <c r="F201" s="9"/>
      <c r="G201" s="10"/>
      <c r="H201" s="10"/>
      <c r="I201" s="11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7"/>
      <c r="B202" s="7"/>
      <c r="C202" s="5"/>
      <c r="D202" s="8"/>
      <c r="E202" s="9"/>
      <c r="F202" s="9"/>
      <c r="G202" s="10"/>
      <c r="H202" s="10"/>
      <c r="I202" s="11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7"/>
      <c r="B203" s="7"/>
      <c r="C203" s="5"/>
      <c r="D203" s="8"/>
      <c r="E203" s="9"/>
      <c r="F203" s="9"/>
      <c r="G203" s="10"/>
      <c r="H203" s="10"/>
      <c r="I203" s="11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7"/>
      <c r="B204" s="7"/>
      <c r="C204" s="5"/>
      <c r="D204" s="8"/>
      <c r="E204" s="9"/>
      <c r="F204" s="9"/>
      <c r="G204" s="10"/>
      <c r="H204" s="10"/>
      <c r="I204" s="11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7"/>
      <c r="B205" s="7"/>
      <c r="C205" s="5"/>
      <c r="D205" s="8"/>
      <c r="E205" s="9"/>
      <c r="F205" s="9"/>
      <c r="G205" s="10"/>
      <c r="H205" s="10"/>
      <c r="I205" s="11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7"/>
      <c r="B206" s="7"/>
      <c r="C206" s="5"/>
      <c r="D206" s="8"/>
      <c r="E206" s="9"/>
      <c r="F206" s="9"/>
      <c r="G206" s="10"/>
      <c r="H206" s="10"/>
      <c r="I206" s="11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7"/>
      <c r="B207" s="7"/>
      <c r="C207" s="5"/>
      <c r="D207" s="8"/>
      <c r="E207" s="9"/>
      <c r="F207" s="9"/>
      <c r="G207" s="10"/>
      <c r="H207" s="10"/>
      <c r="I207" s="11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7"/>
      <c r="B208" s="7"/>
      <c r="C208" s="5"/>
      <c r="D208" s="8"/>
      <c r="E208" s="9"/>
      <c r="F208" s="9"/>
      <c r="G208" s="10"/>
      <c r="H208" s="10"/>
      <c r="I208" s="11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7"/>
      <c r="B209" s="7"/>
      <c r="C209" s="5"/>
      <c r="D209" s="8"/>
      <c r="E209" s="9"/>
      <c r="F209" s="9"/>
      <c r="G209" s="10"/>
      <c r="H209" s="10"/>
      <c r="I209" s="11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7"/>
      <c r="B210" s="7"/>
      <c r="C210" s="5"/>
      <c r="D210" s="8"/>
      <c r="E210" s="9"/>
      <c r="F210" s="9"/>
      <c r="G210" s="10"/>
      <c r="H210" s="10"/>
      <c r="I210" s="11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7"/>
      <c r="B211" s="7"/>
      <c r="C211" s="5"/>
      <c r="D211" s="8"/>
      <c r="E211" s="9"/>
      <c r="F211" s="9"/>
      <c r="G211" s="10"/>
      <c r="H211" s="10"/>
      <c r="I211" s="11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7"/>
      <c r="B212" s="7"/>
      <c r="C212" s="5"/>
      <c r="D212" s="8"/>
      <c r="E212" s="9"/>
      <c r="F212" s="9"/>
      <c r="G212" s="10"/>
      <c r="H212" s="10"/>
      <c r="I212" s="11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7"/>
      <c r="B213" s="7"/>
      <c r="C213" s="5"/>
      <c r="D213" s="8"/>
      <c r="E213" s="9"/>
      <c r="F213" s="9"/>
      <c r="G213" s="10"/>
      <c r="H213" s="10"/>
      <c r="I213" s="11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7"/>
      <c r="B214" s="7"/>
      <c r="C214" s="5"/>
      <c r="D214" s="8"/>
      <c r="E214" s="9"/>
      <c r="F214" s="9"/>
      <c r="G214" s="10"/>
      <c r="H214" s="10"/>
      <c r="I214" s="11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7"/>
      <c r="B215" s="7"/>
      <c r="C215" s="5"/>
      <c r="D215" s="8"/>
      <c r="E215" s="9"/>
      <c r="F215" s="9"/>
      <c r="G215" s="10"/>
      <c r="H215" s="10"/>
      <c r="I215" s="11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7"/>
      <c r="B216" s="7"/>
      <c r="C216" s="5"/>
      <c r="D216" s="8"/>
      <c r="E216" s="9"/>
      <c r="F216" s="9"/>
      <c r="G216" s="10"/>
      <c r="H216" s="10"/>
      <c r="I216" s="11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7"/>
      <c r="B217" s="7"/>
      <c r="C217" s="5"/>
      <c r="D217" s="8"/>
      <c r="E217" s="9"/>
      <c r="F217" s="9"/>
      <c r="G217" s="10"/>
      <c r="H217" s="10"/>
      <c r="I217" s="11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7"/>
      <c r="B218" s="7"/>
      <c r="C218" s="5"/>
      <c r="D218" s="8"/>
      <c r="E218" s="9"/>
      <c r="F218" s="9"/>
      <c r="G218" s="10"/>
      <c r="H218" s="10"/>
      <c r="I218" s="11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7"/>
      <c r="B219" s="7"/>
      <c r="C219" s="5"/>
      <c r="D219" s="8"/>
      <c r="E219" s="9"/>
      <c r="F219" s="9"/>
      <c r="G219" s="10"/>
      <c r="H219" s="10"/>
      <c r="I219" s="11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7"/>
      <c r="B220" s="7"/>
      <c r="C220" s="5"/>
      <c r="D220" s="8"/>
      <c r="E220" s="9"/>
      <c r="F220" s="9"/>
      <c r="G220" s="10"/>
      <c r="H220" s="10"/>
      <c r="I220" s="11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7"/>
      <c r="B221" s="7"/>
      <c r="C221" s="5"/>
      <c r="D221" s="8"/>
      <c r="E221" s="9"/>
      <c r="F221" s="9"/>
      <c r="G221" s="10"/>
      <c r="H221" s="10"/>
      <c r="I221" s="11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7"/>
      <c r="B222" s="7"/>
      <c r="C222" s="5"/>
      <c r="D222" s="8"/>
      <c r="E222" s="9"/>
      <c r="F222" s="9"/>
      <c r="G222" s="10"/>
      <c r="H222" s="10"/>
      <c r="I222" s="11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7"/>
      <c r="B223" s="7"/>
      <c r="C223" s="5"/>
      <c r="D223" s="8"/>
      <c r="E223" s="9"/>
      <c r="F223" s="9"/>
      <c r="G223" s="10"/>
      <c r="H223" s="10"/>
      <c r="I223" s="11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7"/>
      <c r="B224" s="7"/>
      <c r="C224" s="5"/>
      <c r="D224" s="8"/>
      <c r="E224" s="9"/>
      <c r="F224" s="9"/>
      <c r="G224" s="10"/>
      <c r="H224" s="10"/>
      <c r="I224" s="11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7"/>
      <c r="B225" s="7"/>
      <c r="C225" s="5"/>
      <c r="D225" s="8"/>
      <c r="E225" s="9"/>
      <c r="F225" s="9"/>
      <c r="G225" s="10"/>
      <c r="H225" s="10"/>
      <c r="I225" s="11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7"/>
      <c r="B226" s="7"/>
      <c r="C226" s="5"/>
      <c r="D226" s="8"/>
      <c r="E226" s="9"/>
      <c r="F226" s="9"/>
      <c r="G226" s="10"/>
      <c r="H226" s="10"/>
      <c r="I226" s="11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7"/>
      <c r="B227" s="7"/>
      <c r="C227" s="5"/>
      <c r="D227" s="8"/>
      <c r="E227" s="9"/>
      <c r="F227" s="9"/>
      <c r="G227" s="10"/>
      <c r="H227" s="10"/>
      <c r="I227" s="11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7"/>
      <c r="B228" s="7"/>
      <c r="C228" s="5"/>
      <c r="D228" s="8"/>
      <c r="E228" s="9"/>
      <c r="F228" s="9"/>
      <c r="G228" s="10"/>
      <c r="H228" s="10"/>
      <c r="I228" s="11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7"/>
      <c r="B229" s="7"/>
      <c r="C229" s="5"/>
      <c r="D229" s="8"/>
      <c r="E229" s="9"/>
      <c r="F229" s="9"/>
      <c r="G229" s="10"/>
      <c r="H229" s="10"/>
      <c r="I229" s="11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7"/>
      <c r="B230" s="7"/>
      <c r="C230" s="5"/>
      <c r="D230" s="8"/>
      <c r="E230" s="9"/>
      <c r="F230" s="9"/>
      <c r="G230" s="10"/>
      <c r="H230" s="10"/>
      <c r="I230" s="11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7"/>
      <c r="B231" s="7"/>
      <c r="C231" s="5"/>
      <c r="D231" s="8"/>
      <c r="E231" s="9"/>
      <c r="F231" s="9"/>
      <c r="G231" s="10"/>
      <c r="H231" s="10"/>
      <c r="I231" s="11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7"/>
      <c r="B232" s="7"/>
      <c r="C232" s="5"/>
      <c r="D232" s="8"/>
      <c r="E232" s="9"/>
      <c r="F232" s="9"/>
      <c r="G232" s="10"/>
      <c r="H232" s="10"/>
      <c r="I232" s="11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7"/>
      <c r="B233" s="7"/>
      <c r="C233" s="5"/>
      <c r="D233" s="8"/>
      <c r="E233" s="9"/>
      <c r="F233" s="9"/>
      <c r="G233" s="10"/>
      <c r="H233" s="10"/>
      <c r="I233" s="11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7"/>
      <c r="B234" s="7"/>
      <c r="C234" s="5"/>
      <c r="D234" s="8"/>
      <c r="E234" s="9"/>
      <c r="F234" s="9"/>
      <c r="G234" s="10"/>
      <c r="H234" s="10"/>
      <c r="I234" s="11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7"/>
      <c r="B235" s="7"/>
      <c r="C235" s="5"/>
      <c r="D235" s="8"/>
      <c r="E235" s="9"/>
      <c r="F235" s="9"/>
      <c r="G235" s="10"/>
      <c r="H235" s="10"/>
      <c r="I235" s="11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7"/>
      <c r="B236" s="7"/>
      <c r="C236" s="5"/>
      <c r="D236" s="8"/>
      <c r="E236" s="9"/>
      <c r="F236" s="9"/>
      <c r="G236" s="10"/>
      <c r="H236" s="10"/>
      <c r="I236" s="11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7"/>
      <c r="B237" s="7"/>
      <c r="C237" s="5"/>
      <c r="D237" s="8"/>
      <c r="E237" s="9"/>
      <c r="F237" s="9"/>
      <c r="G237" s="10"/>
      <c r="H237" s="10"/>
      <c r="I237" s="11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7"/>
      <c r="B238" s="7"/>
      <c r="C238" s="5"/>
      <c r="D238" s="8"/>
      <c r="E238" s="9"/>
      <c r="F238" s="9"/>
      <c r="G238" s="10"/>
      <c r="H238" s="10"/>
      <c r="I238" s="11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7"/>
      <c r="B239" s="7"/>
      <c r="C239" s="5"/>
      <c r="D239" s="8"/>
      <c r="E239" s="9"/>
      <c r="F239" s="9"/>
      <c r="G239" s="10"/>
      <c r="H239" s="10"/>
      <c r="I239" s="11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7"/>
      <c r="B240" s="7"/>
      <c r="C240" s="5"/>
      <c r="D240" s="8"/>
      <c r="E240" s="9"/>
      <c r="F240" s="9"/>
      <c r="G240" s="10"/>
      <c r="H240" s="10"/>
      <c r="I240" s="11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7"/>
      <c r="B241" s="7"/>
      <c r="C241" s="5"/>
      <c r="D241" s="8"/>
      <c r="E241" s="9"/>
      <c r="F241" s="9"/>
      <c r="G241" s="10"/>
      <c r="H241" s="10"/>
      <c r="I241" s="11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7"/>
      <c r="B242" s="7"/>
      <c r="C242" s="5"/>
      <c r="D242" s="8"/>
      <c r="E242" s="9"/>
      <c r="F242" s="9"/>
      <c r="G242" s="10"/>
      <c r="H242" s="10"/>
      <c r="I242" s="11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7"/>
      <c r="B243" s="7"/>
      <c r="C243" s="5"/>
      <c r="D243" s="8"/>
      <c r="E243" s="9"/>
      <c r="F243" s="9"/>
      <c r="G243" s="10"/>
      <c r="H243" s="10"/>
      <c r="I243" s="11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7"/>
      <c r="B244" s="7"/>
      <c r="C244" s="5"/>
      <c r="D244" s="8"/>
      <c r="E244" s="9"/>
      <c r="F244" s="9"/>
      <c r="G244" s="10"/>
      <c r="H244" s="10"/>
      <c r="I244" s="11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7"/>
      <c r="B245" s="7"/>
      <c r="C245" s="5"/>
      <c r="D245" s="8"/>
      <c r="E245" s="9"/>
      <c r="F245" s="9"/>
      <c r="G245" s="10"/>
      <c r="H245" s="10"/>
      <c r="I245" s="11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7"/>
      <c r="B246" s="7"/>
      <c r="C246" s="5"/>
      <c r="D246" s="8"/>
      <c r="E246" s="9"/>
      <c r="F246" s="9"/>
      <c r="G246" s="10"/>
      <c r="H246" s="10"/>
      <c r="I246" s="11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7"/>
      <c r="B247" s="7"/>
      <c r="C247" s="5"/>
      <c r="D247" s="8"/>
      <c r="E247" s="9"/>
      <c r="F247" s="9"/>
      <c r="G247" s="10"/>
      <c r="H247" s="10"/>
      <c r="I247" s="11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7"/>
      <c r="B248" s="7"/>
      <c r="C248" s="5"/>
      <c r="D248" s="8"/>
      <c r="E248" s="9"/>
      <c r="F248" s="9"/>
      <c r="G248" s="10"/>
      <c r="H248" s="10"/>
      <c r="I248" s="11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7"/>
      <c r="B249" s="7"/>
      <c r="C249" s="5"/>
      <c r="D249" s="8"/>
      <c r="E249" s="9"/>
      <c r="F249" s="9"/>
      <c r="G249" s="10"/>
      <c r="H249" s="10"/>
      <c r="I249" s="11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7"/>
      <c r="B250" s="7"/>
      <c r="C250" s="5"/>
      <c r="D250" s="8"/>
      <c r="E250" s="9"/>
      <c r="F250" s="9"/>
      <c r="G250" s="10"/>
      <c r="H250" s="10"/>
      <c r="I250" s="11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7"/>
      <c r="B251" s="7"/>
      <c r="C251" s="5"/>
      <c r="D251" s="8"/>
      <c r="E251" s="9"/>
      <c r="F251" s="9"/>
      <c r="G251" s="10"/>
      <c r="H251" s="10"/>
      <c r="I251" s="11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7"/>
      <c r="B252" s="7"/>
      <c r="C252" s="5"/>
      <c r="D252" s="8"/>
      <c r="E252" s="9"/>
      <c r="F252" s="9"/>
      <c r="G252" s="10"/>
      <c r="H252" s="10"/>
      <c r="I252" s="11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7"/>
      <c r="B253" s="7"/>
      <c r="C253" s="5"/>
      <c r="D253" s="8"/>
      <c r="E253" s="9"/>
      <c r="F253" s="9"/>
      <c r="G253" s="10"/>
      <c r="H253" s="10"/>
      <c r="I253" s="11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7"/>
      <c r="B254" s="7"/>
      <c r="C254" s="5"/>
      <c r="D254" s="8"/>
      <c r="E254" s="9"/>
      <c r="F254" s="9"/>
      <c r="G254" s="10"/>
      <c r="H254" s="10"/>
      <c r="I254" s="11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7"/>
      <c r="B255" s="7"/>
      <c r="C255" s="5"/>
      <c r="D255" s="8"/>
      <c r="E255" s="9"/>
      <c r="F255" s="9"/>
      <c r="G255" s="10"/>
      <c r="H255" s="10"/>
      <c r="I255" s="11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7"/>
      <c r="B256" s="7"/>
      <c r="C256" s="5"/>
      <c r="D256" s="8"/>
      <c r="E256" s="9"/>
      <c r="F256" s="9"/>
      <c r="G256" s="10"/>
      <c r="H256" s="10"/>
      <c r="I256" s="11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7"/>
      <c r="B257" s="7"/>
      <c r="C257" s="5"/>
      <c r="D257" s="8"/>
      <c r="E257" s="9"/>
      <c r="F257" s="9"/>
      <c r="G257" s="10"/>
      <c r="H257" s="10"/>
      <c r="I257" s="11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7"/>
      <c r="B258" s="7"/>
      <c r="C258" s="5"/>
      <c r="D258" s="8"/>
      <c r="E258" s="9"/>
      <c r="F258" s="9"/>
      <c r="G258" s="10"/>
      <c r="H258" s="10"/>
      <c r="I258" s="11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7"/>
      <c r="B259" s="7"/>
      <c r="C259" s="5"/>
      <c r="D259" s="8"/>
      <c r="E259" s="9"/>
      <c r="F259" s="9"/>
      <c r="G259" s="10"/>
      <c r="H259" s="10"/>
      <c r="I259" s="11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7"/>
      <c r="B260" s="7"/>
      <c r="C260" s="5"/>
      <c r="D260" s="8"/>
      <c r="E260" s="9"/>
      <c r="F260" s="9"/>
      <c r="G260" s="10"/>
      <c r="H260" s="10"/>
      <c r="I260" s="11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7"/>
      <c r="B261" s="7"/>
      <c r="C261" s="5"/>
      <c r="D261" s="8"/>
      <c r="E261" s="9"/>
      <c r="F261" s="9"/>
      <c r="G261" s="10"/>
      <c r="H261" s="10"/>
      <c r="I261" s="11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7"/>
      <c r="B262" s="7"/>
      <c r="C262" s="5"/>
      <c r="D262" s="8"/>
      <c r="E262" s="9"/>
      <c r="F262" s="9"/>
      <c r="G262" s="10"/>
      <c r="H262" s="10"/>
      <c r="I262" s="11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7"/>
      <c r="B263" s="7"/>
      <c r="C263" s="5"/>
      <c r="D263" s="8"/>
      <c r="E263" s="9"/>
      <c r="F263" s="9"/>
      <c r="G263" s="10"/>
      <c r="H263" s="10"/>
      <c r="I263" s="11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7"/>
      <c r="B264" s="7"/>
      <c r="C264" s="5"/>
      <c r="D264" s="8"/>
      <c r="E264" s="9"/>
      <c r="F264" s="9"/>
      <c r="G264" s="10"/>
      <c r="H264" s="10"/>
      <c r="I264" s="11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7"/>
      <c r="B265" s="7"/>
      <c r="C265" s="5"/>
      <c r="D265" s="8"/>
      <c r="E265" s="9"/>
      <c r="F265" s="9"/>
      <c r="G265" s="10"/>
      <c r="H265" s="10"/>
      <c r="I265" s="11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7"/>
      <c r="B266" s="7"/>
      <c r="C266" s="5"/>
      <c r="D266" s="8"/>
      <c r="E266" s="9"/>
      <c r="F266" s="9"/>
      <c r="G266" s="10"/>
      <c r="H266" s="10"/>
      <c r="I266" s="11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7"/>
      <c r="B267" s="7"/>
      <c r="C267" s="5"/>
      <c r="D267" s="8"/>
      <c r="E267" s="9"/>
      <c r="F267" s="9"/>
      <c r="G267" s="10"/>
      <c r="H267" s="10"/>
      <c r="I267" s="11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7"/>
      <c r="B268" s="7"/>
      <c r="C268" s="5"/>
      <c r="D268" s="8"/>
      <c r="E268" s="9"/>
      <c r="F268" s="9"/>
      <c r="G268" s="10"/>
      <c r="H268" s="10"/>
      <c r="I268" s="11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7"/>
      <c r="B269" s="7"/>
      <c r="C269" s="5"/>
      <c r="D269" s="8"/>
      <c r="E269" s="9"/>
      <c r="F269" s="9"/>
      <c r="G269" s="10"/>
      <c r="H269" s="10"/>
      <c r="I269" s="11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7"/>
      <c r="B270" s="7"/>
      <c r="C270" s="5"/>
      <c r="D270" s="8"/>
      <c r="E270" s="9"/>
      <c r="F270" s="9"/>
      <c r="G270" s="10"/>
      <c r="H270" s="10"/>
      <c r="I270" s="11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7"/>
      <c r="B271" s="7"/>
      <c r="C271" s="5"/>
      <c r="D271" s="8"/>
      <c r="E271" s="9"/>
      <c r="F271" s="9"/>
      <c r="G271" s="10"/>
      <c r="H271" s="10"/>
      <c r="I271" s="11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7"/>
      <c r="B272" s="7"/>
      <c r="C272" s="5"/>
      <c r="D272" s="8"/>
      <c r="E272" s="9"/>
      <c r="F272" s="9"/>
      <c r="G272" s="10"/>
      <c r="H272" s="10"/>
      <c r="I272" s="11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7"/>
      <c r="B273" s="7"/>
      <c r="C273" s="5"/>
      <c r="D273" s="8"/>
      <c r="E273" s="9"/>
      <c r="F273" s="9"/>
      <c r="G273" s="10"/>
      <c r="H273" s="10"/>
      <c r="I273" s="11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7"/>
      <c r="B274" s="7"/>
      <c r="C274" s="5"/>
      <c r="D274" s="8"/>
      <c r="E274" s="9"/>
      <c r="F274" s="9"/>
      <c r="G274" s="10"/>
      <c r="H274" s="10"/>
      <c r="I274" s="11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7"/>
      <c r="B275" s="7"/>
      <c r="C275" s="5"/>
      <c r="D275" s="8"/>
      <c r="E275" s="9"/>
      <c r="F275" s="9"/>
      <c r="G275" s="10"/>
      <c r="H275" s="10"/>
      <c r="I275" s="11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7"/>
      <c r="B276" s="7"/>
      <c r="C276" s="5"/>
      <c r="D276" s="8"/>
      <c r="E276" s="9"/>
      <c r="F276" s="9"/>
      <c r="G276" s="10"/>
      <c r="H276" s="10"/>
      <c r="I276" s="11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7"/>
      <c r="B277" s="7"/>
      <c r="C277" s="5"/>
      <c r="D277" s="8"/>
      <c r="E277" s="9"/>
      <c r="F277" s="9"/>
      <c r="G277" s="10"/>
      <c r="H277" s="10"/>
      <c r="I277" s="11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7"/>
      <c r="B278" s="7"/>
      <c r="C278" s="5"/>
      <c r="D278" s="8"/>
      <c r="E278" s="9"/>
      <c r="F278" s="9"/>
      <c r="G278" s="10"/>
      <c r="H278" s="10"/>
      <c r="I278" s="11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7"/>
      <c r="B279" s="7"/>
      <c r="C279" s="5"/>
      <c r="D279" s="8"/>
      <c r="E279" s="9"/>
      <c r="F279" s="9"/>
      <c r="G279" s="10"/>
      <c r="H279" s="10"/>
      <c r="I279" s="11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7"/>
      <c r="B280" s="7"/>
      <c r="C280" s="5"/>
      <c r="D280" s="8"/>
      <c r="E280" s="9"/>
      <c r="F280" s="9"/>
      <c r="G280" s="10"/>
      <c r="H280" s="10"/>
      <c r="I280" s="11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7"/>
      <c r="B281" s="7"/>
      <c r="C281" s="5"/>
      <c r="D281" s="8"/>
      <c r="E281" s="9"/>
      <c r="F281" s="9"/>
      <c r="G281" s="10"/>
      <c r="H281" s="10"/>
      <c r="I281" s="11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7"/>
      <c r="B282" s="7"/>
      <c r="C282" s="5"/>
      <c r="D282" s="8"/>
      <c r="E282" s="9"/>
      <c r="F282" s="9"/>
      <c r="G282" s="10"/>
      <c r="H282" s="10"/>
      <c r="I282" s="11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7"/>
      <c r="B283" s="7"/>
      <c r="C283" s="5"/>
      <c r="D283" s="8"/>
      <c r="E283" s="9"/>
      <c r="F283" s="9"/>
      <c r="G283" s="10"/>
      <c r="H283" s="10"/>
      <c r="I283" s="11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7"/>
      <c r="B284" s="7"/>
      <c r="C284" s="5"/>
      <c r="D284" s="8"/>
      <c r="E284" s="9"/>
      <c r="F284" s="9"/>
      <c r="G284" s="10"/>
      <c r="H284" s="10"/>
      <c r="I284" s="11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7"/>
      <c r="B285" s="7"/>
      <c r="C285" s="5"/>
      <c r="D285" s="8"/>
      <c r="E285" s="9"/>
      <c r="F285" s="9"/>
      <c r="G285" s="10"/>
      <c r="H285" s="10"/>
      <c r="I285" s="11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7"/>
      <c r="B286" s="7"/>
      <c r="C286" s="5"/>
      <c r="D286" s="8"/>
      <c r="E286" s="9"/>
      <c r="F286" s="9"/>
      <c r="G286" s="10"/>
      <c r="H286" s="10"/>
      <c r="I286" s="11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7"/>
      <c r="B287" s="7"/>
      <c r="C287" s="5"/>
      <c r="D287" s="8"/>
      <c r="E287" s="9"/>
      <c r="F287" s="9"/>
      <c r="G287" s="10"/>
      <c r="H287" s="10"/>
      <c r="I287" s="11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7"/>
      <c r="B288" s="7"/>
      <c r="C288" s="5"/>
      <c r="D288" s="8"/>
      <c r="E288" s="9"/>
      <c r="F288" s="9"/>
      <c r="G288" s="10"/>
      <c r="H288" s="10"/>
      <c r="I288" s="11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7"/>
      <c r="B289" s="7"/>
      <c r="C289" s="5"/>
      <c r="D289" s="8"/>
      <c r="E289" s="9"/>
      <c r="F289" s="9"/>
      <c r="G289" s="10"/>
      <c r="H289" s="10"/>
      <c r="I289" s="11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7"/>
      <c r="B290" s="7"/>
      <c r="C290" s="5"/>
      <c r="D290" s="8"/>
      <c r="E290" s="9"/>
      <c r="F290" s="9"/>
      <c r="G290" s="10"/>
      <c r="H290" s="10"/>
      <c r="I290" s="11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7"/>
      <c r="B291" s="7"/>
      <c r="C291" s="5"/>
      <c r="D291" s="8"/>
      <c r="E291" s="9"/>
      <c r="F291" s="9"/>
      <c r="G291" s="10"/>
      <c r="H291" s="10"/>
      <c r="I291" s="11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7"/>
      <c r="B292" s="7"/>
      <c r="C292" s="5"/>
      <c r="D292" s="8"/>
      <c r="E292" s="9"/>
      <c r="F292" s="9"/>
      <c r="G292" s="10"/>
      <c r="H292" s="10"/>
      <c r="I292" s="11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7"/>
      <c r="B293" s="7"/>
      <c r="C293" s="5"/>
      <c r="D293" s="8"/>
      <c r="E293" s="9"/>
      <c r="F293" s="9"/>
      <c r="G293" s="10"/>
      <c r="H293" s="10"/>
      <c r="I293" s="11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7"/>
      <c r="B294" s="7"/>
      <c r="C294" s="5"/>
      <c r="D294" s="8"/>
      <c r="E294" s="9"/>
      <c r="F294" s="9"/>
      <c r="G294" s="10"/>
      <c r="H294" s="10"/>
      <c r="I294" s="11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7"/>
      <c r="B295" s="7"/>
      <c r="C295" s="5"/>
      <c r="D295" s="8"/>
      <c r="E295" s="9"/>
      <c r="F295" s="9"/>
      <c r="G295" s="10"/>
      <c r="H295" s="10"/>
      <c r="I295" s="11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7"/>
      <c r="B296" s="7"/>
      <c r="C296" s="5"/>
      <c r="D296" s="8"/>
      <c r="E296" s="9"/>
      <c r="F296" s="9"/>
      <c r="G296" s="10"/>
      <c r="H296" s="10"/>
      <c r="I296" s="11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7"/>
      <c r="B297" s="7"/>
      <c r="C297" s="5"/>
      <c r="D297" s="8"/>
      <c r="E297" s="9"/>
      <c r="F297" s="9"/>
      <c r="G297" s="10"/>
      <c r="H297" s="10"/>
      <c r="I297" s="11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7"/>
      <c r="B298" s="7"/>
      <c r="C298" s="5"/>
      <c r="D298" s="8"/>
      <c r="E298" s="9"/>
      <c r="F298" s="9"/>
      <c r="G298" s="10"/>
      <c r="H298" s="10"/>
      <c r="I298" s="11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7"/>
      <c r="B299" s="7"/>
      <c r="C299" s="5"/>
      <c r="D299" s="8"/>
      <c r="E299" s="9"/>
      <c r="F299" s="9"/>
      <c r="G299" s="10"/>
      <c r="H299" s="10"/>
      <c r="I299" s="11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7"/>
      <c r="B300" s="7"/>
      <c r="C300" s="5"/>
      <c r="D300" s="8"/>
      <c r="E300" s="9"/>
      <c r="F300" s="9"/>
      <c r="G300" s="10"/>
      <c r="H300" s="10"/>
      <c r="I300" s="11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7"/>
      <c r="B301" s="7"/>
      <c r="C301" s="5"/>
      <c r="D301" s="8"/>
      <c r="E301" s="9"/>
      <c r="F301" s="9"/>
      <c r="G301" s="10"/>
      <c r="H301" s="10"/>
      <c r="I301" s="11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7"/>
      <c r="B302" s="7"/>
      <c r="C302" s="5"/>
      <c r="D302" s="8"/>
      <c r="E302" s="9"/>
      <c r="F302" s="9"/>
      <c r="G302" s="10"/>
      <c r="H302" s="10"/>
      <c r="I302" s="11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7"/>
      <c r="B303" s="7"/>
      <c r="C303" s="5"/>
      <c r="D303" s="8"/>
      <c r="E303" s="9"/>
      <c r="F303" s="9"/>
      <c r="G303" s="10"/>
      <c r="H303" s="10"/>
      <c r="I303" s="11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7"/>
      <c r="B304" s="7"/>
      <c r="C304" s="5"/>
      <c r="D304" s="8"/>
      <c r="E304" s="9"/>
      <c r="F304" s="9"/>
      <c r="G304" s="10"/>
      <c r="H304" s="10"/>
      <c r="I304" s="11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7"/>
      <c r="B305" s="7"/>
      <c r="C305" s="5"/>
      <c r="D305" s="8"/>
      <c r="E305" s="9"/>
      <c r="F305" s="9"/>
      <c r="G305" s="10"/>
      <c r="H305" s="10"/>
      <c r="I305" s="11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7"/>
      <c r="B306" s="7"/>
      <c r="C306" s="5"/>
      <c r="D306" s="8"/>
      <c r="E306" s="9"/>
      <c r="F306" s="9"/>
      <c r="G306" s="10"/>
      <c r="H306" s="10"/>
      <c r="I306" s="11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7"/>
      <c r="B307" s="7"/>
      <c r="C307" s="5"/>
      <c r="D307" s="8"/>
      <c r="E307" s="9"/>
      <c r="F307" s="9"/>
      <c r="G307" s="10"/>
      <c r="H307" s="10"/>
      <c r="I307" s="11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7"/>
      <c r="B308" s="7"/>
      <c r="C308" s="5"/>
      <c r="D308" s="8"/>
      <c r="E308" s="9"/>
      <c r="F308" s="9"/>
      <c r="G308" s="10"/>
      <c r="H308" s="10"/>
      <c r="I308" s="11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7"/>
      <c r="B309" s="7"/>
      <c r="C309" s="5"/>
      <c r="D309" s="8"/>
      <c r="E309" s="9"/>
      <c r="F309" s="9"/>
      <c r="G309" s="10"/>
      <c r="H309" s="10"/>
      <c r="I309" s="11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7"/>
      <c r="B310" s="7"/>
      <c r="C310" s="5"/>
      <c r="D310" s="8"/>
      <c r="E310" s="9"/>
      <c r="F310" s="9"/>
      <c r="G310" s="10"/>
      <c r="H310" s="10"/>
      <c r="I310" s="11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7"/>
      <c r="B311" s="7"/>
      <c r="C311" s="5"/>
      <c r="D311" s="8"/>
      <c r="E311" s="9"/>
      <c r="F311" s="9"/>
      <c r="G311" s="10"/>
      <c r="H311" s="10"/>
      <c r="I311" s="11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7"/>
      <c r="B312" s="7"/>
      <c r="C312" s="5"/>
      <c r="D312" s="8"/>
      <c r="E312" s="9"/>
      <c r="F312" s="9"/>
      <c r="G312" s="10"/>
      <c r="H312" s="10"/>
      <c r="I312" s="11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7"/>
      <c r="B313" s="7"/>
      <c r="C313" s="5"/>
      <c r="D313" s="8"/>
      <c r="E313" s="9"/>
      <c r="F313" s="9"/>
      <c r="G313" s="10"/>
      <c r="H313" s="10"/>
      <c r="I313" s="11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7"/>
      <c r="B314" s="7"/>
      <c r="C314" s="5"/>
      <c r="D314" s="8"/>
      <c r="E314" s="9"/>
      <c r="F314" s="9"/>
      <c r="G314" s="10"/>
      <c r="H314" s="10"/>
      <c r="I314" s="11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7"/>
      <c r="B315" s="7"/>
      <c r="C315" s="5"/>
      <c r="D315" s="8"/>
      <c r="E315" s="9"/>
      <c r="F315" s="9"/>
      <c r="G315" s="10"/>
      <c r="H315" s="10"/>
      <c r="I315" s="11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7"/>
      <c r="B316" s="7"/>
      <c r="C316" s="5"/>
      <c r="D316" s="8"/>
      <c r="E316" s="9"/>
      <c r="F316" s="9"/>
      <c r="G316" s="10"/>
      <c r="H316" s="10"/>
      <c r="I316" s="11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7"/>
      <c r="B317" s="7"/>
      <c r="C317" s="5"/>
      <c r="D317" s="8"/>
      <c r="E317" s="9"/>
      <c r="F317" s="9"/>
      <c r="G317" s="10"/>
      <c r="H317" s="10"/>
      <c r="I317" s="11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7"/>
      <c r="B318" s="7"/>
      <c r="C318" s="5"/>
      <c r="D318" s="8"/>
      <c r="E318" s="9"/>
      <c r="F318" s="9"/>
      <c r="G318" s="10"/>
      <c r="H318" s="10"/>
      <c r="I318" s="11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7"/>
      <c r="B319" s="7"/>
      <c r="C319" s="5"/>
      <c r="D319" s="8"/>
      <c r="E319" s="9"/>
      <c r="F319" s="9"/>
      <c r="G319" s="10"/>
      <c r="H319" s="10"/>
      <c r="I319" s="11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7"/>
      <c r="B320" s="7"/>
      <c r="C320" s="5"/>
      <c r="D320" s="8"/>
      <c r="E320" s="9"/>
      <c r="F320" s="9"/>
      <c r="G320" s="10"/>
      <c r="H320" s="10"/>
      <c r="I320" s="11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7"/>
      <c r="B321" s="7"/>
      <c r="C321" s="5"/>
      <c r="D321" s="8"/>
      <c r="E321" s="9"/>
      <c r="F321" s="9"/>
      <c r="G321" s="10"/>
      <c r="H321" s="10"/>
      <c r="I321" s="11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7"/>
      <c r="B322" s="7"/>
      <c r="C322" s="5"/>
      <c r="D322" s="8"/>
      <c r="E322" s="9"/>
      <c r="F322" s="9"/>
      <c r="G322" s="10"/>
      <c r="H322" s="10"/>
      <c r="I322" s="11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7"/>
      <c r="B323" s="7"/>
      <c r="C323" s="5"/>
      <c r="D323" s="8"/>
      <c r="E323" s="9"/>
      <c r="F323" s="9"/>
      <c r="G323" s="10"/>
      <c r="H323" s="10"/>
      <c r="I323" s="11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7"/>
      <c r="B324" s="7"/>
      <c r="C324" s="5"/>
      <c r="D324" s="8"/>
      <c r="E324" s="9"/>
      <c r="F324" s="9"/>
      <c r="G324" s="10"/>
      <c r="H324" s="10"/>
      <c r="I324" s="11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7"/>
      <c r="B325" s="7"/>
      <c r="C325" s="5"/>
      <c r="D325" s="8"/>
      <c r="E325" s="9"/>
      <c r="F325" s="9"/>
      <c r="G325" s="10"/>
      <c r="H325" s="10"/>
      <c r="I325" s="11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7"/>
      <c r="B326" s="7"/>
      <c r="C326" s="5"/>
      <c r="D326" s="8"/>
      <c r="E326" s="9"/>
      <c r="F326" s="9"/>
      <c r="G326" s="10"/>
      <c r="H326" s="10"/>
      <c r="I326" s="11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7"/>
      <c r="B327" s="7"/>
      <c r="C327" s="5"/>
      <c r="D327" s="8"/>
      <c r="E327" s="9"/>
      <c r="F327" s="9"/>
      <c r="G327" s="10"/>
      <c r="H327" s="10"/>
      <c r="I327" s="11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7"/>
      <c r="B328" s="7"/>
      <c r="C328" s="5"/>
      <c r="D328" s="8"/>
      <c r="E328" s="9"/>
      <c r="F328" s="9"/>
      <c r="G328" s="10"/>
      <c r="H328" s="10"/>
      <c r="I328" s="11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7"/>
      <c r="B329" s="7"/>
      <c r="C329" s="5"/>
      <c r="D329" s="8"/>
      <c r="E329" s="9"/>
      <c r="F329" s="9"/>
      <c r="G329" s="10"/>
      <c r="H329" s="10"/>
      <c r="I329" s="11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7"/>
      <c r="B330" s="7"/>
      <c r="C330" s="5"/>
      <c r="D330" s="8"/>
      <c r="E330" s="9"/>
      <c r="F330" s="9"/>
      <c r="G330" s="10"/>
      <c r="H330" s="10"/>
      <c r="I330" s="11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7"/>
      <c r="B331" s="7"/>
      <c r="C331" s="5"/>
      <c r="D331" s="8"/>
      <c r="E331" s="9"/>
      <c r="F331" s="9"/>
      <c r="G331" s="10"/>
      <c r="H331" s="10"/>
      <c r="I331" s="11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7"/>
      <c r="B332" s="7"/>
      <c r="C332" s="5"/>
      <c r="D332" s="8"/>
      <c r="E332" s="9"/>
      <c r="F332" s="9"/>
      <c r="G332" s="10"/>
      <c r="H332" s="10"/>
      <c r="I332" s="11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7"/>
      <c r="B333" s="7"/>
      <c r="C333" s="5"/>
      <c r="D333" s="8"/>
      <c r="E333" s="9"/>
      <c r="F333" s="9"/>
      <c r="G333" s="10"/>
      <c r="H333" s="10"/>
      <c r="I333" s="11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7"/>
      <c r="B334" s="7"/>
      <c r="C334" s="5"/>
      <c r="D334" s="8"/>
      <c r="E334" s="9"/>
      <c r="F334" s="9"/>
      <c r="G334" s="10"/>
      <c r="H334" s="10"/>
      <c r="I334" s="11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7"/>
      <c r="B335" s="7"/>
      <c r="C335" s="5"/>
      <c r="D335" s="8"/>
      <c r="E335" s="9"/>
      <c r="F335" s="9"/>
      <c r="G335" s="10"/>
      <c r="H335" s="10"/>
      <c r="I335" s="11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7"/>
      <c r="B336" s="7"/>
      <c r="C336" s="5"/>
      <c r="D336" s="8"/>
      <c r="E336" s="9"/>
      <c r="F336" s="9"/>
      <c r="G336" s="10"/>
      <c r="H336" s="10"/>
      <c r="I336" s="11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7"/>
      <c r="B337" s="7"/>
      <c r="C337" s="5"/>
      <c r="D337" s="8"/>
      <c r="E337" s="9"/>
      <c r="F337" s="9"/>
      <c r="G337" s="10"/>
      <c r="H337" s="10"/>
      <c r="I337" s="11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7"/>
      <c r="B338" s="7"/>
      <c r="C338" s="5"/>
      <c r="D338" s="8"/>
      <c r="E338" s="9"/>
      <c r="F338" s="9"/>
      <c r="G338" s="10"/>
      <c r="H338" s="10"/>
      <c r="I338" s="11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7"/>
      <c r="B339" s="7"/>
      <c r="C339" s="5"/>
      <c r="D339" s="8"/>
      <c r="E339" s="9"/>
      <c r="F339" s="9"/>
      <c r="G339" s="10"/>
      <c r="H339" s="10"/>
      <c r="I339" s="11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7"/>
      <c r="B340" s="7"/>
      <c r="C340" s="5"/>
      <c r="D340" s="8"/>
      <c r="E340" s="9"/>
      <c r="F340" s="9"/>
      <c r="G340" s="10"/>
      <c r="H340" s="10"/>
      <c r="I340" s="11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7"/>
      <c r="B341" s="7"/>
      <c r="C341" s="5"/>
      <c r="D341" s="8"/>
      <c r="E341" s="9"/>
      <c r="F341" s="9"/>
      <c r="G341" s="10"/>
      <c r="H341" s="10"/>
      <c r="I341" s="11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7"/>
      <c r="B342" s="7"/>
      <c r="C342" s="5"/>
      <c r="D342" s="8"/>
      <c r="E342" s="9"/>
      <c r="F342" s="9"/>
      <c r="G342" s="10"/>
      <c r="H342" s="10"/>
      <c r="I342" s="11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7"/>
      <c r="B343" s="7"/>
      <c r="C343" s="5"/>
      <c r="D343" s="8"/>
      <c r="E343" s="9"/>
      <c r="F343" s="9"/>
      <c r="G343" s="10"/>
      <c r="H343" s="10"/>
      <c r="I343" s="11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7"/>
      <c r="B344" s="7"/>
      <c r="C344" s="5"/>
      <c r="D344" s="8"/>
      <c r="E344" s="9"/>
      <c r="F344" s="9"/>
      <c r="G344" s="10"/>
      <c r="H344" s="10"/>
      <c r="I344" s="11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7"/>
      <c r="B345" s="7"/>
      <c r="C345" s="5"/>
      <c r="D345" s="8"/>
      <c r="E345" s="9"/>
      <c r="F345" s="9"/>
      <c r="G345" s="10"/>
      <c r="H345" s="10"/>
      <c r="I345" s="11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7"/>
      <c r="B346" s="7"/>
      <c r="C346" s="5"/>
      <c r="D346" s="8"/>
      <c r="E346" s="9"/>
      <c r="F346" s="9"/>
      <c r="G346" s="10"/>
      <c r="H346" s="10"/>
      <c r="I346" s="11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7"/>
      <c r="B347" s="7"/>
      <c r="C347" s="5"/>
      <c r="D347" s="8"/>
      <c r="E347" s="9"/>
      <c r="F347" s="9"/>
      <c r="G347" s="10"/>
      <c r="H347" s="10"/>
      <c r="I347" s="11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7"/>
      <c r="B348" s="7"/>
      <c r="C348" s="5"/>
      <c r="D348" s="8"/>
      <c r="E348" s="9"/>
      <c r="F348" s="9"/>
      <c r="G348" s="10"/>
      <c r="H348" s="10"/>
      <c r="I348" s="11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7"/>
      <c r="B349" s="7"/>
      <c r="C349" s="5"/>
      <c r="D349" s="8"/>
      <c r="E349" s="9"/>
      <c r="F349" s="9"/>
      <c r="G349" s="10"/>
      <c r="H349" s="10"/>
      <c r="I349" s="11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7"/>
      <c r="B350" s="7"/>
      <c r="C350" s="5"/>
      <c r="D350" s="8"/>
      <c r="E350" s="9"/>
      <c r="F350" s="9"/>
      <c r="G350" s="10"/>
      <c r="H350" s="10"/>
      <c r="I350" s="11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7"/>
      <c r="B351" s="7"/>
      <c r="C351" s="5"/>
      <c r="D351" s="8"/>
      <c r="E351" s="9"/>
      <c r="F351" s="9"/>
      <c r="G351" s="10"/>
      <c r="H351" s="10"/>
      <c r="I351" s="11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7"/>
      <c r="B352" s="7"/>
      <c r="C352" s="5"/>
      <c r="D352" s="8"/>
      <c r="E352" s="9"/>
      <c r="F352" s="9"/>
      <c r="G352" s="10"/>
      <c r="H352" s="10"/>
      <c r="I352" s="11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7"/>
      <c r="B353" s="7"/>
      <c r="C353" s="5"/>
      <c r="D353" s="8"/>
      <c r="E353" s="9"/>
      <c r="F353" s="9"/>
      <c r="G353" s="10"/>
      <c r="H353" s="10"/>
      <c r="I353" s="11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7"/>
      <c r="B354" s="7"/>
      <c r="C354" s="5"/>
      <c r="D354" s="8"/>
      <c r="E354" s="9"/>
      <c r="F354" s="9"/>
      <c r="G354" s="10"/>
      <c r="H354" s="10"/>
      <c r="I354" s="11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7"/>
      <c r="B355" s="7"/>
      <c r="C355" s="5"/>
      <c r="D355" s="8"/>
      <c r="E355" s="9"/>
      <c r="F355" s="9"/>
      <c r="G355" s="10"/>
      <c r="H355" s="10"/>
      <c r="I355" s="11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7"/>
      <c r="B356" s="7"/>
      <c r="C356" s="5"/>
      <c r="D356" s="8"/>
      <c r="E356" s="9"/>
      <c r="F356" s="9"/>
      <c r="G356" s="10"/>
      <c r="H356" s="10"/>
      <c r="I356" s="11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7"/>
      <c r="B357" s="7"/>
      <c r="C357" s="5"/>
      <c r="D357" s="8"/>
      <c r="E357" s="9"/>
      <c r="F357" s="9"/>
      <c r="G357" s="10"/>
      <c r="H357" s="10"/>
      <c r="I357" s="11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7"/>
      <c r="B358" s="7"/>
      <c r="C358" s="5"/>
      <c r="D358" s="8"/>
      <c r="E358" s="9"/>
      <c r="F358" s="9"/>
      <c r="G358" s="10"/>
      <c r="H358" s="10"/>
      <c r="I358" s="11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7"/>
      <c r="B359" s="7"/>
      <c r="C359" s="5"/>
      <c r="D359" s="8"/>
      <c r="E359" s="9"/>
      <c r="F359" s="9"/>
      <c r="G359" s="10"/>
      <c r="H359" s="10"/>
      <c r="I359" s="11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7"/>
      <c r="B360" s="7"/>
      <c r="C360" s="5"/>
      <c r="D360" s="8"/>
      <c r="E360" s="9"/>
      <c r="F360" s="9"/>
      <c r="G360" s="10"/>
      <c r="H360" s="10"/>
      <c r="I360" s="11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7"/>
      <c r="B361" s="7"/>
      <c r="C361" s="5"/>
      <c r="D361" s="8"/>
      <c r="E361" s="9"/>
      <c r="F361" s="9"/>
      <c r="G361" s="10"/>
      <c r="H361" s="10"/>
      <c r="I361" s="11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7"/>
      <c r="B362" s="7"/>
      <c r="C362" s="5"/>
      <c r="D362" s="8"/>
      <c r="E362" s="9"/>
      <c r="F362" s="9"/>
      <c r="G362" s="10"/>
      <c r="H362" s="10"/>
      <c r="I362" s="11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7"/>
      <c r="B363" s="7"/>
      <c r="C363" s="5"/>
      <c r="D363" s="8"/>
      <c r="E363" s="9"/>
      <c r="F363" s="9"/>
      <c r="G363" s="10"/>
      <c r="H363" s="10"/>
      <c r="I363" s="11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7"/>
      <c r="B364" s="7"/>
      <c r="C364" s="5"/>
      <c r="D364" s="8"/>
      <c r="E364" s="9"/>
      <c r="F364" s="9"/>
      <c r="G364" s="10"/>
      <c r="H364" s="10"/>
      <c r="I364" s="11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7"/>
      <c r="B365" s="7"/>
      <c r="C365" s="5"/>
      <c r="D365" s="8"/>
      <c r="E365" s="9"/>
      <c r="F365" s="9"/>
      <c r="G365" s="10"/>
      <c r="H365" s="10"/>
      <c r="I365" s="11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7"/>
      <c r="B366" s="7"/>
      <c r="C366" s="5"/>
      <c r="D366" s="8"/>
      <c r="E366" s="9"/>
      <c r="F366" s="9"/>
      <c r="G366" s="10"/>
      <c r="H366" s="10"/>
      <c r="I366" s="11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7"/>
      <c r="B367" s="7"/>
      <c r="C367" s="5"/>
      <c r="D367" s="8"/>
      <c r="E367" s="9"/>
      <c r="F367" s="9"/>
      <c r="G367" s="10"/>
      <c r="H367" s="10"/>
      <c r="I367" s="11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7"/>
      <c r="B368" s="7"/>
      <c r="C368" s="5"/>
      <c r="D368" s="8"/>
      <c r="E368" s="9"/>
      <c r="F368" s="9"/>
      <c r="G368" s="10"/>
      <c r="H368" s="10"/>
      <c r="I368" s="11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7"/>
      <c r="B369" s="7"/>
      <c r="C369" s="5"/>
      <c r="D369" s="8"/>
      <c r="E369" s="9"/>
      <c r="F369" s="9"/>
      <c r="G369" s="10"/>
      <c r="H369" s="10"/>
      <c r="I369" s="11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7"/>
      <c r="B370" s="7"/>
      <c r="C370" s="5"/>
      <c r="D370" s="8"/>
      <c r="E370" s="9"/>
      <c r="F370" s="9"/>
      <c r="G370" s="10"/>
      <c r="H370" s="10"/>
      <c r="I370" s="11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7"/>
      <c r="B371" s="7"/>
      <c r="C371" s="5"/>
      <c r="D371" s="8"/>
      <c r="E371" s="9"/>
      <c r="F371" s="9"/>
      <c r="G371" s="10"/>
      <c r="H371" s="10"/>
      <c r="I371" s="11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7"/>
      <c r="B372" s="7"/>
      <c r="C372" s="5"/>
      <c r="D372" s="8"/>
      <c r="E372" s="9"/>
      <c r="F372" s="9"/>
      <c r="G372" s="10"/>
      <c r="H372" s="10"/>
      <c r="I372" s="11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7"/>
      <c r="B373" s="7"/>
      <c r="C373" s="5"/>
      <c r="D373" s="8"/>
      <c r="E373" s="9"/>
      <c r="F373" s="9"/>
      <c r="G373" s="10"/>
      <c r="H373" s="10"/>
      <c r="I373" s="11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7"/>
      <c r="B374" s="7"/>
      <c r="C374" s="5"/>
      <c r="D374" s="8"/>
      <c r="E374" s="9"/>
      <c r="F374" s="9"/>
      <c r="G374" s="10"/>
      <c r="H374" s="10"/>
      <c r="I374" s="11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7"/>
      <c r="B375" s="7"/>
      <c r="C375" s="5"/>
      <c r="D375" s="8"/>
      <c r="E375" s="9"/>
      <c r="F375" s="9"/>
      <c r="G375" s="10"/>
      <c r="H375" s="10"/>
      <c r="I375" s="11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7"/>
      <c r="B376" s="7"/>
      <c r="C376" s="5"/>
      <c r="D376" s="8"/>
      <c r="E376" s="9"/>
      <c r="F376" s="9"/>
      <c r="G376" s="10"/>
      <c r="H376" s="10"/>
      <c r="I376" s="11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7"/>
      <c r="B377" s="7"/>
      <c r="C377" s="5"/>
      <c r="D377" s="8"/>
      <c r="E377" s="9"/>
      <c r="F377" s="9"/>
      <c r="G377" s="10"/>
      <c r="H377" s="10"/>
      <c r="I377" s="11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7"/>
      <c r="B378" s="7"/>
      <c r="C378" s="5"/>
      <c r="D378" s="8"/>
      <c r="E378" s="9"/>
      <c r="F378" s="9"/>
      <c r="G378" s="10"/>
      <c r="H378" s="10"/>
      <c r="I378" s="11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7"/>
      <c r="B379" s="7"/>
      <c r="C379" s="5"/>
      <c r="D379" s="8"/>
      <c r="E379" s="9"/>
      <c r="F379" s="9"/>
      <c r="G379" s="10"/>
      <c r="H379" s="10"/>
      <c r="I379" s="11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7"/>
      <c r="B380" s="7"/>
      <c r="C380" s="5"/>
      <c r="D380" s="8"/>
      <c r="E380" s="9"/>
      <c r="F380" s="9"/>
      <c r="G380" s="10"/>
      <c r="H380" s="10"/>
      <c r="I380" s="11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7"/>
      <c r="B381" s="7"/>
      <c r="C381" s="5"/>
      <c r="D381" s="8"/>
      <c r="E381" s="9"/>
      <c r="F381" s="9"/>
      <c r="G381" s="10"/>
      <c r="H381" s="10"/>
      <c r="I381" s="11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7"/>
      <c r="B382" s="7"/>
      <c r="C382" s="5"/>
      <c r="D382" s="8"/>
      <c r="E382" s="9"/>
      <c r="F382" s="9"/>
      <c r="G382" s="10"/>
      <c r="H382" s="10"/>
      <c r="I382" s="11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7"/>
      <c r="B383" s="7"/>
      <c r="C383" s="5"/>
      <c r="D383" s="8"/>
      <c r="E383" s="9"/>
      <c r="F383" s="9"/>
      <c r="G383" s="10"/>
      <c r="H383" s="10"/>
      <c r="I383" s="11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7"/>
      <c r="B384" s="7"/>
      <c r="C384" s="5"/>
      <c r="D384" s="8"/>
      <c r="E384" s="9"/>
      <c r="F384" s="9"/>
      <c r="G384" s="10"/>
      <c r="H384" s="10"/>
      <c r="I384" s="11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7"/>
      <c r="B385" s="7"/>
      <c r="C385" s="5"/>
      <c r="D385" s="8"/>
      <c r="E385" s="9"/>
      <c r="F385" s="9"/>
      <c r="G385" s="10"/>
      <c r="H385" s="10"/>
      <c r="I385" s="11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7"/>
      <c r="B386" s="7"/>
      <c r="C386" s="5"/>
      <c r="D386" s="8"/>
      <c r="E386" s="9"/>
      <c r="F386" s="9"/>
      <c r="G386" s="10"/>
      <c r="H386" s="10"/>
      <c r="I386" s="11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7"/>
      <c r="B387" s="7"/>
      <c r="C387" s="5"/>
      <c r="D387" s="8"/>
      <c r="E387" s="9"/>
      <c r="F387" s="9"/>
      <c r="G387" s="10"/>
      <c r="H387" s="10"/>
      <c r="I387" s="11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7"/>
      <c r="B388" s="7"/>
      <c r="C388" s="5"/>
      <c r="D388" s="8"/>
      <c r="E388" s="9"/>
      <c r="F388" s="9"/>
      <c r="G388" s="10"/>
      <c r="H388" s="10"/>
      <c r="I388" s="11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7"/>
      <c r="B389" s="7"/>
      <c r="C389" s="5"/>
      <c r="D389" s="8"/>
      <c r="E389" s="9"/>
      <c r="F389" s="9"/>
      <c r="G389" s="10"/>
      <c r="H389" s="10"/>
      <c r="I389" s="11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7"/>
      <c r="B390" s="7"/>
      <c r="C390" s="5"/>
      <c r="D390" s="8"/>
      <c r="E390" s="9"/>
      <c r="F390" s="9"/>
      <c r="G390" s="10"/>
      <c r="H390" s="10"/>
      <c r="I390" s="11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7"/>
      <c r="B391" s="7"/>
      <c r="C391" s="5"/>
      <c r="D391" s="8"/>
      <c r="E391" s="9"/>
      <c r="F391" s="9"/>
      <c r="G391" s="10"/>
      <c r="H391" s="10"/>
      <c r="I391" s="11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7"/>
      <c r="B392" s="7"/>
      <c r="C392" s="5"/>
      <c r="D392" s="8"/>
      <c r="E392" s="9"/>
      <c r="F392" s="9"/>
      <c r="G392" s="10"/>
      <c r="H392" s="10"/>
      <c r="I392" s="11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7"/>
      <c r="B393" s="7"/>
      <c r="C393" s="5"/>
      <c r="D393" s="8"/>
      <c r="E393" s="9"/>
      <c r="F393" s="9"/>
      <c r="G393" s="10"/>
      <c r="H393" s="10"/>
      <c r="I393" s="11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7"/>
      <c r="B394" s="7"/>
      <c r="C394" s="5"/>
      <c r="D394" s="8"/>
      <c r="E394" s="9"/>
      <c r="F394" s="9"/>
      <c r="G394" s="10"/>
      <c r="H394" s="10"/>
      <c r="I394" s="11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7"/>
      <c r="B395" s="7"/>
      <c r="C395" s="5"/>
      <c r="D395" s="8"/>
      <c r="E395" s="9"/>
      <c r="F395" s="9"/>
      <c r="G395" s="10"/>
      <c r="H395" s="10"/>
      <c r="I395" s="11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7"/>
      <c r="B396" s="7"/>
      <c r="C396" s="5"/>
      <c r="D396" s="8"/>
      <c r="E396" s="9"/>
      <c r="F396" s="9"/>
      <c r="G396" s="10"/>
      <c r="H396" s="10"/>
      <c r="I396" s="11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7"/>
      <c r="B397" s="7"/>
      <c r="C397" s="5"/>
      <c r="D397" s="8"/>
      <c r="E397" s="9"/>
      <c r="F397" s="9"/>
      <c r="G397" s="10"/>
      <c r="H397" s="10"/>
      <c r="I397" s="11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7"/>
      <c r="B398" s="7"/>
      <c r="C398" s="5"/>
      <c r="D398" s="8"/>
      <c r="E398" s="9"/>
      <c r="F398" s="9"/>
      <c r="G398" s="10"/>
      <c r="H398" s="10"/>
      <c r="I398" s="11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7"/>
      <c r="B399" s="7"/>
      <c r="C399" s="5"/>
      <c r="D399" s="8"/>
      <c r="E399" s="9"/>
      <c r="F399" s="9"/>
      <c r="G399" s="10"/>
      <c r="H399" s="10"/>
      <c r="I399" s="11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7"/>
      <c r="B400" s="7"/>
      <c r="C400" s="5"/>
      <c r="D400" s="8"/>
      <c r="E400" s="9"/>
      <c r="F400" s="9"/>
      <c r="G400" s="10"/>
      <c r="H400" s="10"/>
      <c r="I400" s="11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7"/>
      <c r="B401" s="7"/>
      <c r="C401" s="5"/>
      <c r="D401" s="8"/>
      <c r="E401" s="9"/>
      <c r="F401" s="9"/>
      <c r="G401" s="10"/>
      <c r="H401" s="10"/>
      <c r="I401" s="11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7"/>
      <c r="B402" s="7"/>
      <c r="C402" s="5"/>
      <c r="D402" s="8"/>
      <c r="E402" s="9"/>
      <c r="F402" s="9"/>
      <c r="G402" s="10"/>
      <c r="H402" s="10"/>
      <c r="I402" s="11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7"/>
      <c r="B403" s="7"/>
      <c r="C403" s="5"/>
      <c r="D403" s="8"/>
      <c r="E403" s="9"/>
      <c r="F403" s="9"/>
      <c r="G403" s="10"/>
      <c r="H403" s="10"/>
      <c r="I403" s="11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7"/>
      <c r="B404" s="7"/>
      <c r="C404" s="5"/>
      <c r="D404" s="8"/>
      <c r="E404" s="9"/>
      <c r="F404" s="9"/>
      <c r="G404" s="10"/>
      <c r="H404" s="10"/>
      <c r="I404" s="11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7"/>
      <c r="B405" s="7"/>
      <c r="C405" s="5"/>
      <c r="D405" s="8"/>
      <c r="E405" s="9"/>
      <c r="F405" s="9"/>
      <c r="G405" s="10"/>
      <c r="H405" s="10"/>
      <c r="I405" s="11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7"/>
      <c r="B406" s="7"/>
      <c r="C406" s="5"/>
      <c r="D406" s="8"/>
      <c r="E406" s="9"/>
      <c r="F406" s="9"/>
      <c r="G406" s="10"/>
      <c r="H406" s="10"/>
      <c r="I406" s="11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7"/>
      <c r="B407" s="7"/>
      <c r="C407" s="5"/>
      <c r="D407" s="8"/>
      <c r="E407" s="9"/>
      <c r="F407" s="9"/>
      <c r="G407" s="10"/>
      <c r="H407" s="10"/>
      <c r="I407" s="11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7"/>
      <c r="B408" s="7"/>
      <c r="C408" s="5"/>
      <c r="D408" s="8"/>
      <c r="E408" s="9"/>
      <c r="F408" s="9"/>
      <c r="G408" s="10"/>
      <c r="H408" s="10"/>
      <c r="I408" s="11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7"/>
      <c r="B409" s="7"/>
      <c r="C409" s="5"/>
      <c r="D409" s="8"/>
      <c r="E409" s="9"/>
      <c r="F409" s="9"/>
      <c r="G409" s="10"/>
      <c r="H409" s="10"/>
      <c r="I409" s="11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7"/>
      <c r="B410" s="7"/>
      <c r="C410" s="5"/>
      <c r="D410" s="8"/>
      <c r="E410" s="9"/>
      <c r="F410" s="9"/>
      <c r="G410" s="10"/>
      <c r="H410" s="10"/>
      <c r="I410" s="11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7"/>
      <c r="B411" s="7"/>
      <c r="C411" s="5"/>
      <c r="D411" s="8"/>
      <c r="E411" s="9"/>
      <c r="F411" s="9"/>
      <c r="G411" s="10"/>
      <c r="H411" s="10"/>
      <c r="I411" s="11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7"/>
      <c r="B412" s="7"/>
      <c r="C412" s="5"/>
      <c r="D412" s="8"/>
      <c r="E412" s="9"/>
      <c r="F412" s="9"/>
      <c r="G412" s="10"/>
      <c r="H412" s="10"/>
      <c r="I412" s="11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7"/>
      <c r="B413" s="7"/>
      <c r="C413" s="5"/>
      <c r="D413" s="8"/>
      <c r="E413" s="9"/>
      <c r="F413" s="9"/>
      <c r="G413" s="10"/>
      <c r="H413" s="10"/>
      <c r="I413" s="11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7"/>
      <c r="B414" s="7"/>
      <c r="C414" s="5"/>
      <c r="D414" s="8"/>
      <c r="E414" s="9"/>
      <c r="F414" s="9"/>
      <c r="G414" s="10"/>
      <c r="H414" s="10"/>
      <c r="I414" s="11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7"/>
      <c r="B415" s="7"/>
      <c r="C415" s="5"/>
      <c r="D415" s="8"/>
      <c r="E415" s="9"/>
      <c r="F415" s="9"/>
      <c r="G415" s="10"/>
      <c r="H415" s="10"/>
      <c r="I415" s="11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7"/>
      <c r="B416" s="7"/>
      <c r="C416" s="5"/>
      <c r="D416" s="8"/>
      <c r="E416" s="9"/>
      <c r="F416" s="9"/>
      <c r="G416" s="10"/>
      <c r="H416" s="10"/>
      <c r="I416" s="11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7"/>
      <c r="B417" s="7"/>
      <c r="C417" s="5"/>
      <c r="D417" s="8"/>
      <c r="E417" s="9"/>
      <c r="F417" s="9"/>
      <c r="G417" s="10"/>
      <c r="H417" s="10"/>
      <c r="I417" s="11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7"/>
      <c r="B418" s="7"/>
      <c r="C418" s="5"/>
      <c r="D418" s="8"/>
      <c r="E418" s="9"/>
      <c r="F418" s="9"/>
      <c r="G418" s="10"/>
      <c r="H418" s="10"/>
      <c r="I418" s="11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7"/>
      <c r="B419" s="7"/>
      <c r="C419" s="5"/>
      <c r="D419" s="8"/>
      <c r="E419" s="9"/>
      <c r="F419" s="9"/>
      <c r="G419" s="10"/>
      <c r="H419" s="10"/>
      <c r="I419" s="11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7"/>
      <c r="B420" s="7"/>
      <c r="C420" s="5"/>
      <c r="D420" s="8"/>
      <c r="E420" s="9"/>
      <c r="F420" s="9"/>
      <c r="G420" s="10"/>
      <c r="H420" s="10"/>
      <c r="I420" s="11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7"/>
      <c r="B421" s="7"/>
      <c r="C421" s="5"/>
      <c r="D421" s="8"/>
      <c r="E421" s="9"/>
      <c r="F421" s="9"/>
      <c r="G421" s="10"/>
      <c r="H421" s="10"/>
      <c r="I421" s="11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7"/>
      <c r="B422" s="7"/>
      <c r="C422" s="5"/>
      <c r="D422" s="8"/>
      <c r="E422" s="9"/>
      <c r="F422" s="9"/>
      <c r="G422" s="10"/>
      <c r="H422" s="10"/>
      <c r="I422" s="11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7"/>
      <c r="B423" s="7"/>
      <c r="C423" s="5"/>
      <c r="D423" s="8"/>
      <c r="E423" s="9"/>
      <c r="F423" s="9"/>
      <c r="G423" s="10"/>
      <c r="H423" s="10"/>
      <c r="I423" s="11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7"/>
      <c r="B424" s="7"/>
      <c r="C424" s="5"/>
      <c r="D424" s="8"/>
      <c r="E424" s="9"/>
      <c r="F424" s="9"/>
      <c r="G424" s="10"/>
      <c r="H424" s="10"/>
      <c r="I424" s="11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7"/>
      <c r="B425" s="7"/>
      <c r="C425" s="5"/>
      <c r="D425" s="8"/>
      <c r="E425" s="9"/>
      <c r="F425" s="9"/>
      <c r="G425" s="10"/>
      <c r="H425" s="10"/>
      <c r="I425" s="11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7"/>
      <c r="B426" s="7"/>
      <c r="C426" s="5"/>
      <c r="D426" s="8"/>
      <c r="E426" s="9"/>
      <c r="F426" s="9"/>
      <c r="G426" s="10"/>
      <c r="H426" s="10"/>
      <c r="I426" s="11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7"/>
      <c r="B427" s="7"/>
      <c r="C427" s="5"/>
      <c r="D427" s="8"/>
      <c r="E427" s="9"/>
      <c r="F427" s="9"/>
      <c r="G427" s="10"/>
      <c r="H427" s="10"/>
      <c r="I427" s="11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7"/>
      <c r="B428" s="7"/>
      <c r="C428" s="5"/>
      <c r="D428" s="8"/>
      <c r="E428" s="9"/>
      <c r="F428" s="9"/>
      <c r="G428" s="10"/>
      <c r="H428" s="10"/>
      <c r="I428" s="11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7"/>
      <c r="B429" s="7"/>
      <c r="C429" s="5"/>
      <c r="D429" s="8"/>
      <c r="E429" s="9"/>
      <c r="F429" s="9"/>
      <c r="G429" s="10"/>
      <c r="H429" s="10"/>
      <c r="I429" s="11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7"/>
      <c r="B430" s="7"/>
      <c r="C430" s="5"/>
      <c r="D430" s="8"/>
      <c r="E430" s="9"/>
      <c r="F430" s="9"/>
      <c r="G430" s="10"/>
      <c r="H430" s="10"/>
      <c r="I430" s="11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7"/>
      <c r="B431" s="7"/>
      <c r="C431" s="5"/>
      <c r="D431" s="8"/>
      <c r="E431" s="9"/>
      <c r="F431" s="9"/>
      <c r="G431" s="10"/>
      <c r="H431" s="10"/>
      <c r="I431" s="11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7"/>
      <c r="B432" s="7"/>
      <c r="C432" s="5"/>
      <c r="D432" s="8"/>
      <c r="E432" s="9"/>
      <c r="F432" s="9"/>
      <c r="G432" s="10"/>
      <c r="H432" s="10"/>
      <c r="I432" s="11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7"/>
      <c r="B433" s="7"/>
      <c r="C433" s="5"/>
      <c r="D433" s="8"/>
      <c r="E433" s="9"/>
      <c r="F433" s="9"/>
      <c r="G433" s="10"/>
      <c r="H433" s="10"/>
      <c r="I433" s="11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7"/>
      <c r="B434" s="7"/>
      <c r="C434" s="5"/>
      <c r="D434" s="8"/>
      <c r="E434" s="9"/>
      <c r="F434" s="9"/>
      <c r="G434" s="10"/>
      <c r="H434" s="10"/>
      <c r="I434" s="11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7"/>
      <c r="B435" s="7"/>
      <c r="C435" s="5"/>
      <c r="D435" s="8"/>
      <c r="E435" s="9"/>
      <c r="F435" s="9"/>
      <c r="G435" s="10"/>
      <c r="H435" s="10"/>
      <c r="I435" s="11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7"/>
      <c r="B436" s="7"/>
      <c r="C436" s="5"/>
      <c r="D436" s="8"/>
      <c r="E436" s="9"/>
      <c r="F436" s="9"/>
      <c r="G436" s="10"/>
      <c r="H436" s="10"/>
      <c r="I436" s="11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7"/>
      <c r="B437" s="7"/>
      <c r="C437" s="5"/>
      <c r="D437" s="8"/>
      <c r="E437" s="9"/>
      <c r="F437" s="9"/>
      <c r="G437" s="10"/>
      <c r="H437" s="10"/>
      <c r="I437" s="11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7"/>
      <c r="B438" s="7"/>
      <c r="C438" s="5"/>
      <c r="D438" s="8"/>
      <c r="E438" s="9"/>
      <c r="F438" s="9"/>
      <c r="G438" s="10"/>
      <c r="H438" s="10"/>
      <c r="I438" s="11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7"/>
      <c r="B439" s="7"/>
      <c r="C439" s="5"/>
      <c r="D439" s="8"/>
      <c r="E439" s="9"/>
      <c r="F439" s="9"/>
      <c r="G439" s="10"/>
      <c r="H439" s="10"/>
      <c r="I439" s="11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7"/>
      <c r="B440" s="7"/>
      <c r="C440" s="5"/>
      <c r="D440" s="8"/>
      <c r="E440" s="9"/>
      <c r="F440" s="9"/>
      <c r="G440" s="10"/>
      <c r="H440" s="10"/>
      <c r="I440" s="11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7"/>
      <c r="B441" s="7"/>
      <c r="C441" s="5"/>
      <c r="D441" s="8"/>
      <c r="E441" s="9"/>
      <c r="F441" s="9"/>
      <c r="G441" s="10"/>
      <c r="H441" s="10"/>
      <c r="I441" s="11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7"/>
      <c r="B442" s="7"/>
      <c r="C442" s="5"/>
      <c r="D442" s="8"/>
      <c r="E442" s="9"/>
      <c r="F442" s="9"/>
      <c r="G442" s="10"/>
      <c r="H442" s="10"/>
      <c r="I442" s="11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7"/>
      <c r="B443" s="7"/>
      <c r="C443" s="5"/>
      <c r="D443" s="8"/>
      <c r="E443" s="9"/>
      <c r="F443" s="9"/>
      <c r="G443" s="10"/>
      <c r="H443" s="10"/>
      <c r="I443" s="11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7"/>
      <c r="B444" s="7"/>
      <c r="C444" s="5"/>
      <c r="D444" s="8"/>
      <c r="E444" s="9"/>
      <c r="F444" s="9"/>
      <c r="G444" s="10"/>
      <c r="H444" s="10"/>
      <c r="I444" s="11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7"/>
      <c r="B445" s="7"/>
      <c r="C445" s="5"/>
      <c r="D445" s="8"/>
      <c r="E445" s="9"/>
      <c r="F445" s="9"/>
      <c r="G445" s="10"/>
      <c r="H445" s="10"/>
      <c r="I445" s="11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7"/>
      <c r="B446" s="7"/>
      <c r="C446" s="5"/>
      <c r="D446" s="8"/>
      <c r="E446" s="9"/>
      <c r="F446" s="9"/>
      <c r="G446" s="10"/>
      <c r="H446" s="10"/>
      <c r="I446" s="11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7"/>
      <c r="B447" s="7"/>
      <c r="C447" s="5"/>
      <c r="D447" s="8"/>
      <c r="E447" s="9"/>
      <c r="F447" s="9"/>
      <c r="G447" s="10"/>
      <c r="H447" s="10"/>
      <c r="I447" s="11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7"/>
      <c r="B448" s="7"/>
      <c r="C448" s="5"/>
      <c r="D448" s="8"/>
      <c r="E448" s="9"/>
      <c r="F448" s="9"/>
      <c r="G448" s="10"/>
      <c r="H448" s="10"/>
      <c r="I448" s="11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7"/>
      <c r="B449" s="7"/>
      <c r="C449" s="5"/>
      <c r="D449" s="8"/>
      <c r="E449" s="9"/>
      <c r="F449" s="9"/>
      <c r="G449" s="10"/>
      <c r="H449" s="10"/>
      <c r="I449" s="11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7"/>
      <c r="B450" s="7"/>
      <c r="C450" s="5"/>
      <c r="D450" s="8"/>
      <c r="E450" s="9"/>
      <c r="F450" s="9"/>
      <c r="G450" s="10"/>
      <c r="H450" s="10"/>
      <c r="I450" s="11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7"/>
      <c r="B451" s="7"/>
      <c r="C451" s="5"/>
      <c r="D451" s="8"/>
      <c r="E451" s="9"/>
      <c r="F451" s="9"/>
      <c r="G451" s="10"/>
      <c r="H451" s="10"/>
      <c r="I451" s="11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7"/>
      <c r="B452" s="7"/>
      <c r="C452" s="5"/>
      <c r="D452" s="8"/>
      <c r="E452" s="9"/>
      <c r="F452" s="9"/>
      <c r="G452" s="10"/>
      <c r="H452" s="10"/>
      <c r="I452" s="11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7"/>
      <c r="B453" s="7"/>
      <c r="C453" s="5"/>
      <c r="D453" s="8"/>
      <c r="E453" s="9"/>
      <c r="F453" s="9"/>
      <c r="G453" s="10"/>
      <c r="H453" s="10"/>
      <c r="I453" s="11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7"/>
      <c r="B454" s="7"/>
      <c r="C454" s="5"/>
      <c r="D454" s="8"/>
      <c r="E454" s="9"/>
      <c r="F454" s="9"/>
      <c r="G454" s="10"/>
      <c r="H454" s="10"/>
      <c r="I454" s="11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7"/>
      <c r="B455" s="7"/>
      <c r="C455" s="5"/>
      <c r="D455" s="8"/>
      <c r="E455" s="9"/>
      <c r="F455" s="9"/>
      <c r="G455" s="10"/>
      <c r="H455" s="10"/>
      <c r="I455" s="11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7"/>
      <c r="B456" s="7"/>
      <c r="C456" s="5"/>
      <c r="D456" s="8"/>
      <c r="E456" s="9"/>
      <c r="F456" s="9"/>
      <c r="G456" s="10"/>
      <c r="H456" s="10"/>
      <c r="I456" s="11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7"/>
      <c r="B457" s="7"/>
      <c r="C457" s="5"/>
      <c r="D457" s="8"/>
      <c r="E457" s="9"/>
      <c r="F457" s="9"/>
      <c r="G457" s="10"/>
      <c r="H457" s="10"/>
      <c r="I457" s="11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7"/>
      <c r="B458" s="7"/>
      <c r="C458" s="5"/>
      <c r="D458" s="8"/>
      <c r="E458" s="9"/>
      <c r="F458" s="9"/>
      <c r="G458" s="10"/>
      <c r="H458" s="10"/>
      <c r="I458" s="11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7"/>
      <c r="B459" s="7"/>
      <c r="C459" s="5"/>
      <c r="D459" s="8"/>
      <c r="E459" s="9"/>
      <c r="F459" s="9"/>
      <c r="G459" s="10"/>
      <c r="H459" s="10"/>
      <c r="I459" s="11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7"/>
      <c r="B460" s="7"/>
      <c r="C460" s="5"/>
      <c r="D460" s="8"/>
      <c r="E460" s="9"/>
      <c r="F460" s="9"/>
      <c r="G460" s="10"/>
      <c r="H460" s="10"/>
      <c r="I460" s="11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7"/>
      <c r="B461" s="7"/>
      <c r="C461" s="5"/>
      <c r="D461" s="8"/>
      <c r="E461" s="9"/>
      <c r="F461" s="9"/>
      <c r="G461" s="10"/>
      <c r="H461" s="10"/>
      <c r="I461" s="11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7"/>
      <c r="B462" s="7"/>
      <c r="C462" s="5"/>
      <c r="D462" s="8"/>
      <c r="E462" s="9"/>
      <c r="F462" s="9"/>
      <c r="G462" s="10"/>
      <c r="H462" s="10"/>
      <c r="I462" s="11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7"/>
      <c r="B463" s="7"/>
      <c r="C463" s="5"/>
      <c r="D463" s="8"/>
      <c r="E463" s="9"/>
      <c r="F463" s="9"/>
      <c r="G463" s="10"/>
      <c r="H463" s="10"/>
      <c r="I463" s="11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7"/>
      <c r="B464" s="7"/>
      <c r="C464" s="5"/>
      <c r="D464" s="8"/>
      <c r="E464" s="9"/>
      <c r="F464" s="9"/>
      <c r="G464" s="10"/>
      <c r="H464" s="10"/>
      <c r="I464" s="11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7"/>
      <c r="B465" s="7"/>
      <c r="C465" s="5"/>
      <c r="D465" s="8"/>
      <c r="E465" s="9"/>
      <c r="F465" s="9"/>
      <c r="G465" s="10"/>
      <c r="H465" s="10"/>
      <c r="I465" s="11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7"/>
      <c r="B466" s="7"/>
      <c r="C466" s="5"/>
      <c r="D466" s="8"/>
      <c r="E466" s="9"/>
      <c r="F466" s="9"/>
      <c r="G466" s="10"/>
      <c r="H466" s="10"/>
      <c r="I466" s="11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7"/>
      <c r="B467" s="7"/>
      <c r="C467" s="5"/>
      <c r="D467" s="8"/>
      <c r="E467" s="9"/>
      <c r="F467" s="9"/>
      <c r="G467" s="10"/>
      <c r="H467" s="10"/>
      <c r="I467" s="11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7"/>
      <c r="B468" s="7"/>
      <c r="C468" s="5"/>
      <c r="D468" s="8"/>
      <c r="E468" s="9"/>
      <c r="F468" s="9"/>
      <c r="G468" s="10"/>
      <c r="H468" s="10"/>
      <c r="I468" s="11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7"/>
      <c r="B469" s="7"/>
      <c r="C469" s="5"/>
      <c r="D469" s="8"/>
      <c r="E469" s="9"/>
      <c r="F469" s="9"/>
      <c r="G469" s="10"/>
      <c r="H469" s="10"/>
      <c r="I469" s="11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7"/>
      <c r="B470" s="7"/>
      <c r="C470" s="5"/>
      <c r="D470" s="8"/>
      <c r="E470" s="9"/>
      <c r="F470" s="9"/>
      <c r="G470" s="10"/>
      <c r="H470" s="10"/>
      <c r="I470" s="11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7"/>
      <c r="B471" s="7"/>
      <c r="C471" s="5"/>
      <c r="D471" s="8"/>
      <c r="E471" s="9"/>
      <c r="F471" s="9"/>
      <c r="G471" s="10"/>
      <c r="H471" s="10"/>
      <c r="I471" s="11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7"/>
      <c r="B472" s="7"/>
      <c r="C472" s="5"/>
      <c r="D472" s="8"/>
      <c r="E472" s="9"/>
      <c r="F472" s="9"/>
      <c r="G472" s="10"/>
      <c r="H472" s="10"/>
      <c r="I472" s="11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7"/>
      <c r="B473" s="7"/>
      <c r="C473" s="5"/>
      <c r="D473" s="8"/>
      <c r="E473" s="9"/>
      <c r="F473" s="9"/>
      <c r="G473" s="10"/>
      <c r="H473" s="10"/>
      <c r="I473" s="11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7"/>
      <c r="B474" s="7"/>
      <c r="C474" s="5"/>
      <c r="D474" s="8"/>
      <c r="E474" s="9"/>
      <c r="F474" s="9"/>
      <c r="G474" s="10"/>
      <c r="H474" s="10"/>
      <c r="I474" s="11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7"/>
      <c r="B475" s="7"/>
      <c r="C475" s="5"/>
      <c r="D475" s="8"/>
      <c r="E475" s="9"/>
      <c r="F475" s="9"/>
      <c r="G475" s="10"/>
      <c r="H475" s="10"/>
      <c r="I475" s="11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7"/>
      <c r="B476" s="7"/>
      <c r="C476" s="5"/>
      <c r="D476" s="8"/>
      <c r="E476" s="9"/>
      <c r="F476" s="9"/>
      <c r="G476" s="10"/>
      <c r="H476" s="10"/>
      <c r="I476" s="11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7"/>
      <c r="B477" s="7"/>
      <c r="C477" s="5"/>
      <c r="D477" s="8"/>
      <c r="E477" s="9"/>
      <c r="F477" s="9"/>
      <c r="G477" s="10"/>
      <c r="H477" s="10"/>
      <c r="I477" s="11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7"/>
      <c r="B478" s="7"/>
      <c r="C478" s="5"/>
      <c r="D478" s="8"/>
      <c r="E478" s="9"/>
      <c r="F478" s="9"/>
      <c r="G478" s="10"/>
      <c r="H478" s="10"/>
      <c r="I478" s="11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7"/>
      <c r="B479" s="7"/>
      <c r="C479" s="5"/>
      <c r="D479" s="8"/>
      <c r="E479" s="9"/>
      <c r="F479" s="9"/>
      <c r="G479" s="10"/>
      <c r="H479" s="10"/>
      <c r="I479" s="11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7"/>
      <c r="B480" s="7"/>
      <c r="C480" s="5"/>
      <c r="D480" s="8"/>
      <c r="E480" s="9"/>
      <c r="F480" s="9"/>
      <c r="G480" s="10"/>
      <c r="H480" s="10"/>
      <c r="I480" s="11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7"/>
      <c r="B481" s="7"/>
      <c r="C481" s="5"/>
      <c r="D481" s="8"/>
      <c r="E481" s="9"/>
      <c r="F481" s="9"/>
      <c r="G481" s="10"/>
      <c r="H481" s="10"/>
      <c r="I481" s="11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7"/>
      <c r="B482" s="7"/>
      <c r="C482" s="5"/>
      <c r="D482" s="8"/>
      <c r="E482" s="9"/>
      <c r="F482" s="9"/>
      <c r="G482" s="10"/>
      <c r="H482" s="10"/>
      <c r="I482" s="11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7"/>
      <c r="B483" s="7"/>
      <c r="C483" s="5"/>
      <c r="D483" s="8"/>
      <c r="E483" s="9"/>
      <c r="F483" s="9"/>
      <c r="G483" s="10"/>
      <c r="H483" s="10"/>
      <c r="I483" s="11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7"/>
      <c r="B484" s="7"/>
      <c r="C484" s="5"/>
      <c r="D484" s="8"/>
      <c r="E484" s="9"/>
      <c r="F484" s="9"/>
      <c r="G484" s="10"/>
      <c r="H484" s="10"/>
      <c r="I484" s="11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7"/>
      <c r="B485" s="7"/>
      <c r="C485" s="5"/>
      <c r="D485" s="8"/>
      <c r="E485" s="9"/>
      <c r="F485" s="9"/>
      <c r="G485" s="10"/>
      <c r="H485" s="10"/>
      <c r="I485" s="11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7"/>
      <c r="B486" s="7"/>
      <c r="C486" s="5"/>
      <c r="D486" s="8"/>
      <c r="E486" s="9"/>
      <c r="F486" s="9"/>
      <c r="G486" s="10"/>
      <c r="H486" s="10"/>
      <c r="I486" s="11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7"/>
      <c r="B487" s="7"/>
      <c r="C487" s="5"/>
      <c r="D487" s="8"/>
      <c r="E487" s="9"/>
      <c r="F487" s="9"/>
      <c r="G487" s="10"/>
      <c r="H487" s="10"/>
      <c r="I487" s="11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7"/>
      <c r="B488" s="7"/>
      <c r="C488" s="5"/>
      <c r="D488" s="8"/>
      <c r="E488" s="9"/>
      <c r="F488" s="9"/>
      <c r="G488" s="10"/>
      <c r="H488" s="10"/>
      <c r="I488" s="11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7"/>
      <c r="B489" s="7"/>
      <c r="C489" s="5"/>
      <c r="D489" s="8"/>
      <c r="E489" s="9"/>
      <c r="F489" s="9"/>
      <c r="G489" s="10"/>
      <c r="H489" s="10"/>
      <c r="I489" s="11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7"/>
      <c r="B490" s="7"/>
      <c r="C490" s="5"/>
      <c r="D490" s="8"/>
      <c r="E490" s="9"/>
      <c r="F490" s="9"/>
      <c r="G490" s="10"/>
      <c r="H490" s="10"/>
      <c r="I490" s="11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7"/>
      <c r="B491" s="7"/>
      <c r="C491" s="5"/>
      <c r="D491" s="8"/>
      <c r="E491" s="9"/>
      <c r="F491" s="9"/>
      <c r="G491" s="10"/>
      <c r="H491" s="10"/>
      <c r="I491" s="11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7"/>
      <c r="B492" s="7"/>
      <c r="C492" s="5"/>
      <c r="D492" s="8"/>
      <c r="E492" s="9"/>
      <c r="F492" s="9"/>
      <c r="G492" s="10"/>
      <c r="H492" s="10"/>
      <c r="I492" s="11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7"/>
      <c r="B493" s="7"/>
      <c r="C493" s="5"/>
      <c r="D493" s="8"/>
      <c r="E493" s="9"/>
      <c r="F493" s="9"/>
      <c r="G493" s="10"/>
      <c r="H493" s="10"/>
      <c r="I493" s="11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7"/>
      <c r="B494" s="7"/>
      <c r="C494" s="5"/>
      <c r="D494" s="8"/>
      <c r="E494" s="9"/>
      <c r="F494" s="9"/>
      <c r="G494" s="10"/>
      <c r="H494" s="10"/>
      <c r="I494" s="11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7"/>
      <c r="B495" s="7"/>
      <c r="C495" s="5"/>
      <c r="D495" s="8"/>
      <c r="E495" s="9"/>
      <c r="F495" s="9"/>
      <c r="G495" s="10"/>
      <c r="H495" s="10"/>
      <c r="I495" s="11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7"/>
      <c r="B496" s="7"/>
      <c r="C496" s="5"/>
      <c r="D496" s="8"/>
      <c r="E496" s="9"/>
      <c r="F496" s="9"/>
      <c r="G496" s="10"/>
      <c r="H496" s="10"/>
      <c r="I496" s="11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7"/>
      <c r="B497" s="7"/>
      <c r="C497" s="5"/>
      <c r="D497" s="8"/>
      <c r="E497" s="9"/>
      <c r="F497" s="9"/>
      <c r="G497" s="10"/>
      <c r="H497" s="10"/>
      <c r="I497" s="11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7"/>
      <c r="B498" s="7"/>
      <c r="C498" s="5"/>
      <c r="D498" s="8"/>
      <c r="E498" s="9"/>
      <c r="F498" s="9"/>
      <c r="G498" s="10"/>
      <c r="H498" s="10"/>
      <c r="I498" s="11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7"/>
      <c r="B499" s="7"/>
      <c r="C499" s="5"/>
      <c r="D499" s="8"/>
      <c r="E499" s="9"/>
      <c r="F499" s="9"/>
      <c r="G499" s="10"/>
      <c r="H499" s="10"/>
      <c r="I499" s="11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7"/>
      <c r="B500" s="7"/>
      <c r="C500" s="5"/>
      <c r="D500" s="8"/>
      <c r="E500" s="9"/>
      <c r="F500" s="9"/>
      <c r="G500" s="10"/>
      <c r="H500" s="10"/>
      <c r="I500" s="11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7"/>
      <c r="B501" s="7"/>
      <c r="C501" s="5"/>
      <c r="D501" s="8"/>
      <c r="E501" s="9"/>
      <c r="F501" s="9"/>
      <c r="G501" s="10"/>
      <c r="H501" s="10"/>
      <c r="I501" s="11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7"/>
      <c r="B502" s="7"/>
      <c r="C502" s="5"/>
      <c r="D502" s="8"/>
      <c r="E502" s="9"/>
      <c r="F502" s="9"/>
      <c r="G502" s="10"/>
      <c r="H502" s="10"/>
      <c r="I502" s="11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7"/>
      <c r="B503" s="7"/>
      <c r="C503" s="5"/>
      <c r="D503" s="8"/>
      <c r="E503" s="9"/>
      <c r="F503" s="9"/>
      <c r="G503" s="10"/>
      <c r="H503" s="10"/>
      <c r="I503" s="11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7"/>
      <c r="B504" s="7"/>
      <c r="C504" s="5"/>
      <c r="D504" s="8"/>
      <c r="E504" s="9"/>
      <c r="F504" s="9"/>
      <c r="G504" s="10"/>
      <c r="H504" s="10"/>
      <c r="I504" s="11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7"/>
      <c r="B505" s="7"/>
      <c r="C505" s="5"/>
      <c r="D505" s="8"/>
      <c r="E505" s="9"/>
      <c r="F505" s="9"/>
      <c r="G505" s="10"/>
      <c r="H505" s="10"/>
      <c r="I505" s="11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7"/>
      <c r="B506" s="7"/>
      <c r="C506" s="5"/>
      <c r="D506" s="8"/>
      <c r="E506" s="9"/>
      <c r="F506" s="9"/>
      <c r="G506" s="10"/>
      <c r="H506" s="10"/>
      <c r="I506" s="11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7"/>
      <c r="B507" s="7"/>
      <c r="C507" s="5"/>
      <c r="D507" s="8"/>
      <c r="E507" s="9"/>
      <c r="F507" s="9"/>
      <c r="G507" s="10"/>
      <c r="H507" s="10"/>
      <c r="I507" s="11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7"/>
      <c r="B508" s="7"/>
      <c r="C508" s="5"/>
      <c r="D508" s="8"/>
      <c r="E508" s="9"/>
      <c r="F508" s="9"/>
      <c r="G508" s="10"/>
      <c r="H508" s="10"/>
      <c r="I508" s="11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7"/>
      <c r="B509" s="7"/>
      <c r="C509" s="5"/>
      <c r="D509" s="8"/>
      <c r="E509" s="9"/>
      <c r="F509" s="9"/>
      <c r="G509" s="10"/>
      <c r="H509" s="10"/>
      <c r="I509" s="11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7"/>
      <c r="B510" s="7"/>
      <c r="C510" s="5"/>
      <c r="D510" s="8"/>
      <c r="E510" s="9"/>
      <c r="F510" s="9"/>
      <c r="G510" s="10"/>
      <c r="H510" s="10"/>
      <c r="I510" s="11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7"/>
      <c r="B511" s="7"/>
      <c r="C511" s="5"/>
      <c r="D511" s="8"/>
      <c r="E511" s="9"/>
      <c r="F511" s="9"/>
      <c r="G511" s="10"/>
      <c r="H511" s="10"/>
      <c r="I511" s="11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7"/>
      <c r="B512" s="7"/>
      <c r="C512" s="5"/>
      <c r="D512" s="8"/>
      <c r="E512" s="9"/>
      <c r="F512" s="9"/>
      <c r="G512" s="10"/>
      <c r="H512" s="10"/>
      <c r="I512" s="11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7"/>
      <c r="B513" s="7"/>
      <c r="C513" s="5"/>
      <c r="D513" s="8"/>
      <c r="E513" s="9"/>
      <c r="F513" s="9"/>
      <c r="G513" s="10"/>
      <c r="H513" s="10"/>
      <c r="I513" s="11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7"/>
      <c r="B514" s="7"/>
      <c r="C514" s="5"/>
      <c r="D514" s="8"/>
      <c r="E514" s="9"/>
      <c r="F514" s="9"/>
      <c r="G514" s="10"/>
      <c r="H514" s="10"/>
      <c r="I514" s="11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7"/>
      <c r="B515" s="7"/>
      <c r="C515" s="5"/>
      <c r="D515" s="8"/>
      <c r="E515" s="9"/>
      <c r="F515" s="9"/>
      <c r="G515" s="10"/>
      <c r="H515" s="10"/>
      <c r="I515" s="11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7"/>
      <c r="B516" s="7"/>
      <c r="C516" s="5"/>
      <c r="D516" s="8"/>
      <c r="E516" s="9"/>
      <c r="F516" s="9"/>
      <c r="G516" s="10"/>
      <c r="H516" s="10"/>
      <c r="I516" s="11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7"/>
      <c r="B517" s="7"/>
      <c r="C517" s="5"/>
      <c r="D517" s="8"/>
      <c r="E517" s="9"/>
      <c r="F517" s="9"/>
      <c r="G517" s="10"/>
      <c r="H517" s="10"/>
      <c r="I517" s="11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7"/>
      <c r="B518" s="7"/>
      <c r="C518" s="5"/>
      <c r="D518" s="8"/>
      <c r="E518" s="9"/>
      <c r="F518" s="9"/>
      <c r="G518" s="10"/>
      <c r="H518" s="10"/>
      <c r="I518" s="11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7"/>
      <c r="B519" s="7"/>
      <c r="C519" s="5"/>
      <c r="D519" s="8"/>
      <c r="E519" s="9"/>
      <c r="F519" s="9"/>
      <c r="G519" s="10"/>
      <c r="H519" s="10"/>
      <c r="I519" s="11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7"/>
      <c r="B520" s="7"/>
      <c r="C520" s="5"/>
      <c r="D520" s="8"/>
      <c r="E520" s="9"/>
      <c r="F520" s="9"/>
      <c r="G520" s="10"/>
      <c r="H520" s="10"/>
      <c r="I520" s="11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7"/>
      <c r="B521" s="7"/>
      <c r="C521" s="5"/>
      <c r="D521" s="8"/>
      <c r="E521" s="9"/>
      <c r="F521" s="9"/>
      <c r="G521" s="10"/>
      <c r="H521" s="10"/>
      <c r="I521" s="11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7"/>
      <c r="B522" s="7"/>
      <c r="C522" s="5"/>
      <c r="D522" s="8"/>
      <c r="E522" s="9"/>
      <c r="F522" s="9"/>
      <c r="G522" s="10"/>
      <c r="H522" s="10"/>
      <c r="I522" s="11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7"/>
      <c r="B523" s="7"/>
      <c r="C523" s="5"/>
      <c r="D523" s="8"/>
      <c r="E523" s="9"/>
      <c r="F523" s="9"/>
      <c r="G523" s="10"/>
      <c r="H523" s="10"/>
      <c r="I523" s="11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7"/>
      <c r="B524" s="7"/>
      <c r="C524" s="5"/>
      <c r="D524" s="8"/>
      <c r="E524" s="9"/>
      <c r="F524" s="9"/>
      <c r="G524" s="10"/>
      <c r="H524" s="10"/>
      <c r="I524" s="11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7"/>
      <c r="B525" s="7"/>
      <c r="C525" s="5"/>
      <c r="D525" s="8"/>
      <c r="E525" s="9"/>
      <c r="F525" s="9"/>
      <c r="G525" s="10"/>
      <c r="H525" s="10"/>
      <c r="I525" s="11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7"/>
      <c r="B526" s="7"/>
      <c r="C526" s="5"/>
      <c r="D526" s="8"/>
      <c r="E526" s="9"/>
      <c r="F526" s="9"/>
      <c r="G526" s="10"/>
      <c r="H526" s="10"/>
      <c r="I526" s="11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7"/>
      <c r="B527" s="7"/>
      <c r="C527" s="5"/>
      <c r="D527" s="8"/>
      <c r="E527" s="9"/>
      <c r="F527" s="9"/>
      <c r="G527" s="10"/>
      <c r="H527" s="10"/>
      <c r="I527" s="11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7"/>
      <c r="B528" s="7"/>
      <c r="C528" s="5"/>
      <c r="D528" s="8"/>
      <c r="E528" s="9"/>
      <c r="F528" s="9"/>
      <c r="G528" s="10"/>
      <c r="H528" s="10"/>
      <c r="I528" s="11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7"/>
      <c r="B529" s="7"/>
      <c r="C529" s="5"/>
      <c r="D529" s="8"/>
      <c r="E529" s="9"/>
      <c r="F529" s="9"/>
      <c r="G529" s="10"/>
      <c r="H529" s="10"/>
      <c r="I529" s="11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7"/>
      <c r="B530" s="7"/>
      <c r="C530" s="5"/>
      <c r="D530" s="8"/>
      <c r="E530" s="9"/>
      <c r="F530" s="9"/>
      <c r="G530" s="10"/>
      <c r="H530" s="10"/>
      <c r="I530" s="11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7"/>
      <c r="B531" s="7"/>
      <c r="C531" s="5"/>
      <c r="D531" s="8"/>
      <c r="E531" s="9"/>
      <c r="F531" s="9"/>
      <c r="G531" s="10"/>
      <c r="H531" s="10"/>
      <c r="I531" s="11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7"/>
      <c r="B532" s="7"/>
      <c r="C532" s="5"/>
      <c r="D532" s="8"/>
      <c r="E532" s="9"/>
      <c r="F532" s="9"/>
      <c r="G532" s="10"/>
      <c r="H532" s="10"/>
      <c r="I532" s="11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7"/>
      <c r="B533" s="7"/>
      <c r="C533" s="5"/>
      <c r="D533" s="8"/>
      <c r="E533" s="9"/>
      <c r="F533" s="9"/>
      <c r="G533" s="10"/>
      <c r="H533" s="10"/>
      <c r="I533" s="11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7"/>
      <c r="B534" s="7"/>
      <c r="C534" s="5"/>
      <c r="D534" s="8"/>
      <c r="E534" s="9"/>
      <c r="F534" s="9"/>
      <c r="G534" s="10"/>
      <c r="H534" s="10"/>
      <c r="I534" s="11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7"/>
      <c r="B535" s="7"/>
      <c r="C535" s="5"/>
      <c r="D535" s="8"/>
      <c r="E535" s="9"/>
      <c r="F535" s="9"/>
      <c r="G535" s="10"/>
      <c r="H535" s="10"/>
      <c r="I535" s="11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7"/>
      <c r="B536" s="7"/>
      <c r="C536" s="5"/>
      <c r="D536" s="8"/>
      <c r="E536" s="9"/>
      <c r="F536" s="9"/>
      <c r="G536" s="10"/>
      <c r="H536" s="10"/>
      <c r="I536" s="11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7"/>
      <c r="B537" s="7"/>
      <c r="C537" s="5"/>
      <c r="D537" s="8"/>
      <c r="E537" s="9"/>
      <c r="F537" s="9"/>
      <c r="G537" s="10"/>
      <c r="H537" s="10"/>
      <c r="I537" s="11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7"/>
      <c r="B538" s="7"/>
      <c r="C538" s="5"/>
      <c r="D538" s="8"/>
      <c r="E538" s="9"/>
      <c r="F538" s="9"/>
      <c r="G538" s="10"/>
      <c r="H538" s="10"/>
      <c r="I538" s="11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7"/>
      <c r="B539" s="7"/>
      <c r="C539" s="5"/>
      <c r="D539" s="8"/>
      <c r="E539" s="9"/>
      <c r="F539" s="9"/>
      <c r="G539" s="10"/>
      <c r="H539" s="10"/>
      <c r="I539" s="11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7"/>
      <c r="B540" s="7"/>
      <c r="C540" s="5"/>
      <c r="D540" s="8"/>
      <c r="E540" s="9"/>
      <c r="F540" s="9"/>
      <c r="G540" s="10"/>
      <c r="H540" s="10"/>
      <c r="I540" s="11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7"/>
      <c r="B541" s="7"/>
      <c r="C541" s="5"/>
      <c r="D541" s="8"/>
      <c r="E541" s="9"/>
      <c r="F541" s="9"/>
      <c r="G541" s="10"/>
      <c r="H541" s="10"/>
      <c r="I541" s="11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7"/>
      <c r="B542" s="7"/>
      <c r="C542" s="5"/>
      <c r="D542" s="8"/>
      <c r="E542" s="9"/>
      <c r="F542" s="9"/>
      <c r="G542" s="10"/>
      <c r="H542" s="10"/>
      <c r="I542" s="11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7"/>
      <c r="B543" s="7"/>
      <c r="C543" s="5"/>
      <c r="D543" s="8"/>
      <c r="E543" s="9"/>
      <c r="F543" s="9"/>
      <c r="G543" s="10"/>
      <c r="H543" s="10"/>
      <c r="I543" s="11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7"/>
      <c r="B544" s="7"/>
      <c r="C544" s="5"/>
      <c r="D544" s="8"/>
      <c r="E544" s="9"/>
      <c r="F544" s="9"/>
      <c r="G544" s="10"/>
      <c r="H544" s="10"/>
      <c r="I544" s="11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7"/>
      <c r="B545" s="7"/>
      <c r="C545" s="5"/>
      <c r="D545" s="8"/>
      <c r="E545" s="9"/>
      <c r="F545" s="9"/>
      <c r="G545" s="10"/>
      <c r="H545" s="10"/>
      <c r="I545" s="11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7"/>
      <c r="B546" s="7"/>
      <c r="C546" s="5"/>
      <c r="D546" s="8"/>
      <c r="E546" s="9"/>
      <c r="F546" s="9"/>
      <c r="G546" s="10"/>
      <c r="H546" s="10"/>
      <c r="I546" s="11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7"/>
      <c r="B547" s="7"/>
      <c r="C547" s="5"/>
      <c r="D547" s="8"/>
      <c r="E547" s="9"/>
      <c r="F547" s="9"/>
      <c r="G547" s="10"/>
      <c r="H547" s="10"/>
      <c r="I547" s="11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7"/>
      <c r="B548" s="7"/>
      <c r="C548" s="5"/>
      <c r="D548" s="8"/>
      <c r="E548" s="9"/>
      <c r="F548" s="9"/>
      <c r="G548" s="10"/>
      <c r="H548" s="10"/>
      <c r="I548" s="11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7"/>
      <c r="B549" s="7"/>
      <c r="C549" s="5"/>
      <c r="D549" s="8"/>
      <c r="E549" s="9"/>
      <c r="F549" s="9"/>
      <c r="G549" s="10"/>
      <c r="H549" s="10"/>
      <c r="I549" s="11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7"/>
      <c r="B550" s="7"/>
      <c r="C550" s="5"/>
      <c r="D550" s="8"/>
      <c r="E550" s="9"/>
      <c r="F550" s="9"/>
      <c r="G550" s="10"/>
      <c r="H550" s="10"/>
      <c r="I550" s="11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7"/>
      <c r="B551" s="7"/>
      <c r="C551" s="5"/>
      <c r="D551" s="8"/>
      <c r="E551" s="9"/>
      <c r="F551" s="9"/>
      <c r="G551" s="10"/>
      <c r="H551" s="10"/>
      <c r="I551" s="11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7"/>
      <c r="B552" s="7"/>
      <c r="C552" s="5"/>
      <c r="D552" s="8"/>
      <c r="E552" s="9"/>
      <c r="F552" s="9"/>
      <c r="G552" s="10"/>
      <c r="H552" s="10"/>
      <c r="I552" s="11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7"/>
      <c r="B553" s="7"/>
      <c r="C553" s="5"/>
      <c r="D553" s="8"/>
      <c r="E553" s="9"/>
      <c r="F553" s="9"/>
      <c r="G553" s="10"/>
      <c r="H553" s="10"/>
      <c r="I553" s="11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7"/>
      <c r="B554" s="7"/>
      <c r="C554" s="5"/>
      <c r="D554" s="8"/>
      <c r="E554" s="9"/>
      <c r="F554" s="9"/>
      <c r="G554" s="10"/>
      <c r="H554" s="10"/>
      <c r="I554" s="11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7"/>
      <c r="B555" s="7"/>
      <c r="C555" s="5"/>
      <c r="D555" s="8"/>
      <c r="E555" s="9"/>
      <c r="F555" s="9"/>
      <c r="G555" s="10"/>
      <c r="H555" s="10"/>
      <c r="I555" s="11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7"/>
      <c r="B556" s="7"/>
      <c r="C556" s="5"/>
      <c r="D556" s="8"/>
      <c r="E556" s="9"/>
      <c r="F556" s="9"/>
      <c r="G556" s="10"/>
      <c r="H556" s="10"/>
      <c r="I556" s="11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7"/>
      <c r="B557" s="7"/>
      <c r="C557" s="5"/>
      <c r="D557" s="8"/>
      <c r="E557" s="9"/>
      <c r="F557" s="9"/>
      <c r="G557" s="10"/>
      <c r="H557" s="10"/>
      <c r="I557" s="11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7"/>
      <c r="B558" s="7"/>
      <c r="C558" s="5"/>
      <c r="D558" s="8"/>
      <c r="E558" s="9"/>
      <c r="F558" s="9"/>
      <c r="G558" s="10"/>
      <c r="H558" s="10"/>
      <c r="I558" s="11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7"/>
      <c r="B559" s="7"/>
      <c r="C559" s="5"/>
      <c r="D559" s="8"/>
      <c r="E559" s="9"/>
      <c r="F559" s="9"/>
      <c r="G559" s="10"/>
      <c r="H559" s="10"/>
      <c r="I559" s="11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7"/>
      <c r="B560" s="7"/>
      <c r="C560" s="5"/>
      <c r="D560" s="8"/>
      <c r="E560" s="9"/>
      <c r="F560" s="9"/>
      <c r="G560" s="10"/>
      <c r="H560" s="10"/>
      <c r="I560" s="11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7"/>
      <c r="B561" s="7"/>
      <c r="C561" s="5"/>
      <c r="D561" s="8"/>
      <c r="E561" s="9"/>
      <c r="F561" s="9"/>
      <c r="G561" s="10"/>
      <c r="H561" s="10"/>
      <c r="I561" s="11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7"/>
      <c r="B562" s="7"/>
      <c r="C562" s="5"/>
      <c r="D562" s="8"/>
      <c r="E562" s="9"/>
      <c r="F562" s="9"/>
      <c r="G562" s="10"/>
      <c r="H562" s="10"/>
      <c r="I562" s="11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7"/>
      <c r="B563" s="7"/>
      <c r="C563" s="5"/>
      <c r="D563" s="8"/>
      <c r="E563" s="9"/>
      <c r="F563" s="9"/>
      <c r="G563" s="10"/>
      <c r="H563" s="10"/>
      <c r="I563" s="11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7"/>
      <c r="B564" s="7"/>
      <c r="C564" s="5"/>
      <c r="D564" s="8"/>
      <c r="E564" s="9"/>
      <c r="F564" s="9"/>
      <c r="G564" s="10"/>
      <c r="H564" s="10"/>
      <c r="I564" s="11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7"/>
      <c r="B565" s="7"/>
      <c r="C565" s="5"/>
      <c r="D565" s="8"/>
      <c r="E565" s="9"/>
      <c r="F565" s="9"/>
      <c r="G565" s="10"/>
      <c r="H565" s="10"/>
      <c r="I565" s="11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7"/>
      <c r="B566" s="7"/>
      <c r="C566" s="5"/>
      <c r="D566" s="8"/>
      <c r="E566" s="9"/>
      <c r="F566" s="9"/>
      <c r="G566" s="10"/>
      <c r="H566" s="10"/>
      <c r="I566" s="11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7"/>
      <c r="B567" s="7"/>
      <c r="C567" s="5"/>
      <c r="D567" s="8"/>
      <c r="E567" s="9"/>
      <c r="F567" s="9"/>
      <c r="G567" s="10"/>
      <c r="H567" s="10"/>
      <c r="I567" s="11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7"/>
      <c r="B568" s="7"/>
      <c r="C568" s="5"/>
      <c r="D568" s="8"/>
      <c r="E568" s="9"/>
      <c r="F568" s="9"/>
      <c r="G568" s="10"/>
      <c r="H568" s="10"/>
      <c r="I568" s="11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7"/>
      <c r="B569" s="7"/>
      <c r="C569" s="5"/>
      <c r="D569" s="8"/>
      <c r="E569" s="9"/>
      <c r="F569" s="9"/>
      <c r="G569" s="10"/>
      <c r="H569" s="10"/>
      <c r="I569" s="11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7"/>
      <c r="B570" s="7"/>
      <c r="C570" s="5"/>
      <c r="D570" s="8"/>
      <c r="E570" s="9"/>
      <c r="F570" s="9"/>
      <c r="G570" s="10"/>
      <c r="H570" s="10"/>
      <c r="I570" s="11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7"/>
      <c r="B571" s="7"/>
      <c r="C571" s="5"/>
      <c r="D571" s="8"/>
      <c r="E571" s="9"/>
      <c r="F571" s="9"/>
      <c r="G571" s="10"/>
      <c r="H571" s="10"/>
      <c r="I571" s="11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7"/>
      <c r="B572" s="7"/>
      <c r="C572" s="5"/>
      <c r="D572" s="8"/>
      <c r="E572" s="9"/>
      <c r="F572" s="9"/>
      <c r="G572" s="10"/>
      <c r="H572" s="10"/>
      <c r="I572" s="11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7"/>
      <c r="B573" s="7"/>
      <c r="C573" s="5"/>
      <c r="D573" s="8"/>
      <c r="E573" s="9"/>
      <c r="F573" s="9"/>
      <c r="G573" s="10"/>
      <c r="H573" s="10"/>
      <c r="I573" s="11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7"/>
      <c r="B574" s="7"/>
      <c r="C574" s="5"/>
      <c r="D574" s="8"/>
      <c r="E574" s="9"/>
      <c r="F574" s="9"/>
      <c r="G574" s="10"/>
      <c r="H574" s="10"/>
      <c r="I574" s="11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7"/>
      <c r="B575" s="7"/>
      <c r="C575" s="5"/>
      <c r="D575" s="8"/>
      <c r="E575" s="9"/>
      <c r="F575" s="9"/>
      <c r="G575" s="10"/>
      <c r="H575" s="10"/>
      <c r="I575" s="11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7"/>
      <c r="B576" s="7"/>
      <c r="C576" s="5"/>
      <c r="D576" s="8"/>
      <c r="E576" s="9"/>
      <c r="F576" s="9"/>
      <c r="G576" s="10"/>
      <c r="H576" s="10"/>
      <c r="I576" s="11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7"/>
      <c r="B577" s="7"/>
      <c r="C577" s="5"/>
      <c r="D577" s="8"/>
      <c r="E577" s="9"/>
      <c r="F577" s="9"/>
      <c r="G577" s="10"/>
      <c r="H577" s="10"/>
      <c r="I577" s="11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7"/>
      <c r="B578" s="7"/>
      <c r="C578" s="5"/>
      <c r="D578" s="8"/>
      <c r="E578" s="9"/>
      <c r="F578" s="9"/>
      <c r="G578" s="10"/>
      <c r="H578" s="10"/>
      <c r="I578" s="11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7"/>
      <c r="B579" s="7"/>
      <c r="C579" s="5"/>
      <c r="D579" s="8"/>
      <c r="E579" s="9"/>
      <c r="F579" s="9"/>
      <c r="G579" s="10"/>
      <c r="H579" s="10"/>
      <c r="I579" s="11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7"/>
      <c r="B580" s="7"/>
      <c r="C580" s="5"/>
      <c r="D580" s="8"/>
      <c r="E580" s="9"/>
      <c r="F580" s="9"/>
      <c r="G580" s="10"/>
      <c r="H580" s="10"/>
      <c r="I580" s="11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7"/>
      <c r="B581" s="7"/>
      <c r="C581" s="5"/>
      <c r="D581" s="8"/>
      <c r="E581" s="9"/>
      <c r="F581" s="9"/>
      <c r="G581" s="10"/>
      <c r="H581" s="10"/>
      <c r="I581" s="11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7"/>
      <c r="B582" s="7"/>
      <c r="C582" s="5"/>
      <c r="D582" s="8"/>
      <c r="E582" s="9"/>
      <c r="F582" s="9"/>
      <c r="G582" s="10"/>
      <c r="H582" s="10"/>
      <c r="I582" s="11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7"/>
      <c r="B583" s="7"/>
      <c r="C583" s="5"/>
      <c r="D583" s="8"/>
      <c r="E583" s="9"/>
      <c r="F583" s="9"/>
      <c r="G583" s="10"/>
      <c r="H583" s="10"/>
      <c r="I583" s="11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7"/>
      <c r="B584" s="7"/>
      <c r="C584" s="5"/>
      <c r="D584" s="8"/>
      <c r="E584" s="9"/>
      <c r="F584" s="9"/>
      <c r="G584" s="10"/>
      <c r="H584" s="10"/>
      <c r="I584" s="11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7"/>
      <c r="B585" s="7"/>
      <c r="C585" s="5"/>
      <c r="D585" s="8"/>
      <c r="E585" s="9"/>
      <c r="F585" s="9"/>
      <c r="G585" s="10"/>
      <c r="H585" s="10"/>
      <c r="I585" s="11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7"/>
      <c r="B586" s="7"/>
      <c r="C586" s="5"/>
      <c r="D586" s="8"/>
      <c r="E586" s="9"/>
      <c r="F586" s="9"/>
      <c r="G586" s="10"/>
      <c r="H586" s="10"/>
      <c r="I586" s="11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7"/>
      <c r="B587" s="7"/>
      <c r="C587" s="5"/>
      <c r="D587" s="8"/>
      <c r="E587" s="9"/>
      <c r="F587" s="9"/>
      <c r="G587" s="10"/>
      <c r="H587" s="10"/>
      <c r="I587" s="11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7"/>
      <c r="B588" s="7"/>
      <c r="C588" s="5"/>
      <c r="D588" s="8"/>
      <c r="E588" s="9"/>
      <c r="F588" s="9"/>
      <c r="G588" s="10"/>
      <c r="H588" s="10"/>
      <c r="I588" s="11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7"/>
      <c r="B589" s="7"/>
      <c r="C589" s="5"/>
      <c r="D589" s="8"/>
      <c r="E589" s="9"/>
      <c r="F589" s="9"/>
      <c r="G589" s="10"/>
      <c r="H589" s="10"/>
      <c r="I589" s="11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7"/>
      <c r="B590" s="7"/>
      <c r="C590" s="5"/>
      <c r="D590" s="8"/>
      <c r="E590" s="9"/>
      <c r="F590" s="9"/>
      <c r="G590" s="10"/>
      <c r="H590" s="10"/>
      <c r="I590" s="11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7"/>
      <c r="B591" s="7"/>
      <c r="C591" s="5"/>
      <c r="D591" s="8"/>
      <c r="E591" s="9"/>
      <c r="F591" s="9"/>
      <c r="G591" s="10"/>
      <c r="H591" s="10"/>
      <c r="I591" s="11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7"/>
      <c r="B592" s="7"/>
      <c r="C592" s="5"/>
      <c r="D592" s="8"/>
      <c r="E592" s="9"/>
      <c r="F592" s="9"/>
      <c r="G592" s="10"/>
      <c r="H592" s="10"/>
      <c r="I592" s="11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7"/>
      <c r="B593" s="7"/>
      <c r="C593" s="5"/>
      <c r="D593" s="8"/>
      <c r="E593" s="9"/>
      <c r="F593" s="9"/>
      <c r="G593" s="10"/>
      <c r="H593" s="10"/>
      <c r="I593" s="11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7"/>
      <c r="B594" s="7"/>
      <c r="C594" s="5"/>
      <c r="D594" s="8"/>
      <c r="E594" s="9"/>
      <c r="F594" s="9"/>
      <c r="G594" s="10"/>
      <c r="H594" s="10"/>
      <c r="I594" s="11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7"/>
      <c r="B595" s="7"/>
      <c r="C595" s="5"/>
      <c r="D595" s="8"/>
      <c r="E595" s="9"/>
      <c r="F595" s="9"/>
      <c r="G595" s="10"/>
      <c r="H595" s="10"/>
      <c r="I595" s="11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7"/>
      <c r="B596" s="7"/>
      <c r="C596" s="5"/>
      <c r="D596" s="8"/>
      <c r="E596" s="9"/>
      <c r="F596" s="9"/>
      <c r="G596" s="10"/>
      <c r="H596" s="10"/>
      <c r="I596" s="11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7"/>
      <c r="B597" s="7"/>
      <c r="C597" s="5"/>
      <c r="D597" s="8"/>
      <c r="E597" s="9"/>
      <c r="F597" s="9"/>
      <c r="G597" s="10"/>
      <c r="H597" s="10"/>
      <c r="I597" s="11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7"/>
      <c r="B598" s="7"/>
      <c r="C598" s="5"/>
      <c r="D598" s="8"/>
      <c r="E598" s="9"/>
      <c r="F598" s="9"/>
      <c r="G598" s="10"/>
      <c r="H598" s="10"/>
      <c r="I598" s="11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7"/>
      <c r="B599" s="7"/>
      <c r="C599" s="5"/>
      <c r="D599" s="8"/>
      <c r="E599" s="9"/>
      <c r="F599" s="9"/>
      <c r="G599" s="10"/>
      <c r="H599" s="10"/>
      <c r="I599" s="11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7"/>
      <c r="B600" s="7"/>
      <c r="C600" s="5"/>
      <c r="D600" s="8"/>
      <c r="E600" s="9"/>
      <c r="F600" s="9"/>
      <c r="G600" s="10"/>
      <c r="H600" s="10"/>
      <c r="I600" s="11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7"/>
      <c r="B601" s="7"/>
      <c r="C601" s="5"/>
      <c r="D601" s="8"/>
      <c r="E601" s="9"/>
      <c r="F601" s="9"/>
      <c r="G601" s="10"/>
      <c r="H601" s="10"/>
      <c r="I601" s="11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7"/>
      <c r="B602" s="7"/>
      <c r="C602" s="5"/>
      <c r="D602" s="8"/>
      <c r="E602" s="9"/>
      <c r="F602" s="9"/>
      <c r="G602" s="10"/>
      <c r="H602" s="10"/>
      <c r="I602" s="11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7"/>
      <c r="B603" s="7"/>
      <c r="C603" s="5"/>
      <c r="D603" s="8"/>
      <c r="E603" s="9"/>
      <c r="F603" s="9"/>
      <c r="G603" s="10"/>
      <c r="H603" s="10"/>
      <c r="I603" s="11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7"/>
      <c r="B604" s="7"/>
      <c r="C604" s="5"/>
      <c r="D604" s="8"/>
      <c r="E604" s="9"/>
      <c r="F604" s="9"/>
      <c r="G604" s="10"/>
      <c r="H604" s="10"/>
      <c r="I604" s="11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7"/>
      <c r="B605" s="7"/>
      <c r="C605" s="5"/>
      <c r="D605" s="8"/>
      <c r="E605" s="9"/>
      <c r="F605" s="9"/>
      <c r="G605" s="10"/>
      <c r="H605" s="10"/>
      <c r="I605" s="11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7"/>
      <c r="B606" s="7"/>
      <c r="C606" s="5"/>
      <c r="D606" s="8"/>
      <c r="E606" s="9"/>
      <c r="F606" s="9"/>
      <c r="G606" s="10"/>
      <c r="H606" s="10"/>
      <c r="I606" s="11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7"/>
      <c r="B607" s="7"/>
      <c r="C607" s="5"/>
      <c r="D607" s="8"/>
      <c r="E607" s="9"/>
      <c r="F607" s="9"/>
      <c r="G607" s="10"/>
      <c r="H607" s="10"/>
      <c r="I607" s="11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7"/>
      <c r="B608" s="7"/>
      <c r="C608" s="5"/>
      <c r="D608" s="8"/>
      <c r="E608" s="9"/>
      <c r="F608" s="9"/>
      <c r="G608" s="10"/>
      <c r="H608" s="10"/>
      <c r="I608" s="11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7"/>
      <c r="B609" s="7"/>
      <c r="C609" s="5"/>
      <c r="D609" s="8"/>
      <c r="E609" s="9"/>
      <c r="F609" s="9"/>
      <c r="G609" s="10"/>
      <c r="H609" s="10"/>
      <c r="I609" s="11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7"/>
      <c r="B610" s="7"/>
      <c r="C610" s="5"/>
      <c r="D610" s="8"/>
      <c r="E610" s="9"/>
      <c r="F610" s="9"/>
      <c r="G610" s="10"/>
      <c r="H610" s="10"/>
      <c r="I610" s="11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7"/>
      <c r="B611" s="7"/>
      <c r="C611" s="5"/>
      <c r="D611" s="8"/>
      <c r="E611" s="9"/>
      <c r="F611" s="9"/>
      <c r="G611" s="10"/>
      <c r="H611" s="10"/>
      <c r="I611" s="11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7"/>
      <c r="B612" s="7"/>
      <c r="C612" s="5"/>
      <c r="D612" s="8"/>
      <c r="E612" s="9"/>
      <c r="F612" s="9"/>
      <c r="G612" s="10"/>
      <c r="H612" s="10"/>
      <c r="I612" s="11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7"/>
      <c r="B613" s="7"/>
      <c r="C613" s="5"/>
      <c r="D613" s="8"/>
      <c r="E613" s="9"/>
      <c r="F613" s="9"/>
      <c r="G613" s="10"/>
      <c r="H613" s="10"/>
      <c r="I613" s="11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7"/>
      <c r="B614" s="7"/>
      <c r="C614" s="5"/>
      <c r="D614" s="8"/>
      <c r="E614" s="9"/>
      <c r="F614" s="9"/>
      <c r="G614" s="10"/>
      <c r="H614" s="10"/>
      <c r="I614" s="11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7"/>
      <c r="B615" s="7"/>
      <c r="C615" s="5"/>
      <c r="D615" s="8"/>
      <c r="E615" s="9"/>
      <c r="F615" s="9"/>
      <c r="G615" s="10"/>
      <c r="H615" s="10"/>
      <c r="I615" s="11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7"/>
      <c r="B616" s="7"/>
      <c r="C616" s="5"/>
      <c r="D616" s="8"/>
      <c r="E616" s="9"/>
      <c r="F616" s="9"/>
      <c r="G616" s="10"/>
      <c r="H616" s="10"/>
      <c r="I616" s="11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7"/>
      <c r="B617" s="7"/>
      <c r="C617" s="5"/>
      <c r="D617" s="8"/>
      <c r="E617" s="9"/>
      <c r="F617" s="9"/>
      <c r="G617" s="10"/>
      <c r="H617" s="10"/>
      <c r="I617" s="11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7"/>
      <c r="B618" s="7"/>
      <c r="C618" s="5"/>
      <c r="D618" s="8"/>
      <c r="E618" s="9"/>
      <c r="F618" s="9"/>
      <c r="G618" s="10"/>
      <c r="H618" s="10"/>
      <c r="I618" s="11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7"/>
      <c r="B619" s="7"/>
      <c r="C619" s="5"/>
      <c r="D619" s="8"/>
      <c r="E619" s="9"/>
      <c r="F619" s="9"/>
      <c r="G619" s="10"/>
      <c r="H619" s="10"/>
      <c r="I619" s="11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7"/>
      <c r="B620" s="7"/>
      <c r="C620" s="5"/>
      <c r="D620" s="8"/>
      <c r="E620" s="9"/>
      <c r="F620" s="9"/>
      <c r="G620" s="10"/>
      <c r="H620" s="10"/>
      <c r="I620" s="11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7"/>
      <c r="B621" s="7"/>
      <c r="C621" s="5"/>
      <c r="D621" s="8"/>
      <c r="E621" s="9"/>
      <c r="F621" s="9"/>
      <c r="G621" s="10"/>
      <c r="H621" s="10"/>
      <c r="I621" s="11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7"/>
      <c r="B622" s="7"/>
      <c r="C622" s="5"/>
      <c r="D622" s="8"/>
      <c r="E622" s="9"/>
      <c r="F622" s="9"/>
      <c r="G622" s="10"/>
      <c r="H622" s="10"/>
      <c r="I622" s="11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7"/>
      <c r="B623" s="7"/>
      <c r="C623" s="5"/>
      <c r="D623" s="8"/>
      <c r="E623" s="9"/>
      <c r="F623" s="9"/>
      <c r="G623" s="10"/>
      <c r="H623" s="10"/>
      <c r="I623" s="11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7"/>
      <c r="B624" s="7"/>
      <c r="C624" s="5"/>
      <c r="D624" s="8"/>
      <c r="E624" s="9"/>
      <c r="F624" s="9"/>
      <c r="G624" s="10"/>
      <c r="H624" s="10"/>
      <c r="I624" s="11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7"/>
      <c r="B625" s="7"/>
      <c r="C625" s="5"/>
      <c r="D625" s="8"/>
      <c r="E625" s="9"/>
      <c r="F625" s="9"/>
      <c r="G625" s="10"/>
      <c r="H625" s="10"/>
      <c r="I625" s="11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7"/>
      <c r="B626" s="7"/>
      <c r="C626" s="5"/>
      <c r="D626" s="8"/>
      <c r="E626" s="9"/>
      <c r="F626" s="9"/>
      <c r="G626" s="10"/>
      <c r="H626" s="10"/>
      <c r="I626" s="11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7"/>
      <c r="B627" s="7"/>
      <c r="C627" s="5"/>
      <c r="D627" s="8"/>
      <c r="E627" s="9"/>
      <c r="F627" s="9"/>
      <c r="G627" s="10"/>
      <c r="H627" s="10"/>
      <c r="I627" s="11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7"/>
      <c r="B628" s="7"/>
      <c r="C628" s="5"/>
      <c r="D628" s="8"/>
      <c r="E628" s="9"/>
      <c r="F628" s="9"/>
      <c r="G628" s="10"/>
      <c r="H628" s="10"/>
      <c r="I628" s="11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7"/>
      <c r="B629" s="7"/>
      <c r="C629" s="5"/>
      <c r="D629" s="8"/>
      <c r="E629" s="9"/>
      <c r="F629" s="9"/>
      <c r="G629" s="10"/>
      <c r="H629" s="10"/>
      <c r="I629" s="11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7"/>
      <c r="B630" s="7"/>
      <c r="C630" s="5"/>
      <c r="D630" s="8"/>
      <c r="E630" s="9"/>
      <c r="F630" s="9"/>
      <c r="G630" s="10"/>
      <c r="H630" s="10"/>
      <c r="I630" s="11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7"/>
      <c r="B631" s="7"/>
      <c r="C631" s="5"/>
      <c r="D631" s="8"/>
      <c r="E631" s="9"/>
      <c r="F631" s="9"/>
      <c r="G631" s="10"/>
      <c r="H631" s="10"/>
      <c r="I631" s="11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7"/>
      <c r="B632" s="7"/>
      <c r="C632" s="5"/>
      <c r="D632" s="8"/>
      <c r="E632" s="9"/>
      <c r="F632" s="9"/>
      <c r="G632" s="10"/>
      <c r="H632" s="10"/>
      <c r="I632" s="11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7"/>
      <c r="B633" s="7"/>
      <c r="C633" s="5"/>
      <c r="D633" s="8"/>
      <c r="E633" s="9"/>
      <c r="F633" s="9"/>
      <c r="G633" s="10"/>
      <c r="H633" s="10"/>
      <c r="I633" s="11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7"/>
      <c r="B634" s="7"/>
      <c r="C634" s="5"/>
      <c r="D634" s="8"/>
      <c r="E634" s="9"/>
      <c r="F634" s="9"/>
      <c r="G634" s="10"/>
      <c r="H634" s="10"/>
      <c r="I634" s="11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7"/>
      <c r="B635" s="7"/>
      <c r="C635" s="5"/>
      <c r="D635" s="8"/>
      <c r="E635" s="9"/>
      <c r="F635" s="9"/>
      <c r="G635" s="10"/>
      <c r="H635" s="10"/>
      <c r="I635" s="11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7"/>
      <c r="B636" s="7"/>
      <c r="C636" s="5"/>
      <c r="D636" s="8"/>
      <c r="E636" s="9"/>
      <c r="F636" s="9"/>
      <c r="G636" s="10"/>
      <c r="H636" s="10"/>
      <c r="I636" s="11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7"/>
      <c r="B637" s="7"/>
      <c r="C637" s="5"/>
      <c r="D637" s="8"/>
      <c r="E637" s="9"/>
      <c r="F637" s="9"/>
      <c r="G637" s="10"/>
      <c r="H637" s="10"/>
      <c r="I637" s="11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7"/>
      <c r="B638" s="7"/>
      <c r="C638" s="5"/>
      <c r="D638" s="8"/>
      <c r="E638" s="9"/>
      <c r="F638" s="9"/>
      <c r="G638" s="10"/>
      <c r="H638" s="10"/>
      <c r="I638" s="11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7"/>
      <c r="B639" s="7"/>
      <c r="C639" s="5"/>
      <c r="D639" s="8"/>
      <c r="E639" s="9"/>
      <c r="F639" s="9"/>
      <c r="G639" s="10"/>
      <c r="H639" s="10"/>
      <c r="I639" s="11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7"/>
      <c r="B640" s="7"/>
      <c r="C640" s="5"/>
      <c r="D640" s="8"/>
      <c r="E640" s="9"/>
      <c r="F640" s="9"/>
      <c r="G640" s="10"/>
      <c r="H640" s="10"/>
      <c r="I640" s="11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7"/>
      <c r="B641" s="7"/>
      <c r="C641" s="5"/>
      <c r="D641" s="8"/>
      <c r="E641" s="9"/>
      <c r="F641" s="9"/>
      <c r="G641" s="10"/>
      <c r="H641" s="10"/>
      <c r="I641" s="11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7"/>
      <c r="B642" s="7"/>
      <c r="C642" s="5"/>
      <c r="D642" s="8"/>
      <c r="E642" s="9"/>
      <c r="F642" s="9"/>
      <c r="G642" s="10"/>
      <c r="H642" s="10"/>
      <c r="I642" s="11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7"/>
      <c r="B643" s="7"/>
      <c r="C643" s="5"/>
      <c r="D643" s="8"/>
      <c r="E643" s="9"/>
      <c r="F643" s="9"/>
      <c r="G643" s="10"/>
      <c r="H643" s="10"/>
      <c r="I643" s="11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7"/>
      <c r="B644" s="7"/>
      <c r="C644" s="5"/>
      <c r="D644" s="8"/>
      <c r="E644" s="9"/>
      <c r="F644" s="9"/>
      <c r="G644" s="10"/>
      <c r="H644" s="10"/>
      <c r="I644" s="11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7"/>
      <c r="B645" s="7"/>
      <c r="C645" s="5"/>
      <c r="D645" s="8"/>
      <c r="E645" s="9"/>
      <c r="F645" s="9"/>
      <c r="G645" s="10"/>
      <c r="H645" s="10"/>
      <c r="I645" s="11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7"/>
      <c r="B646" s="7"/>
      <c r="C646" s="5"/>
      <c r="D646" s="8"/>
      <c r="E646" s="9"/>
      <c r="F646" s="9"/>
      <c r="G646" s="10"/>
      <c r="H646" s="10"/>
      <c r="I646" s="11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7"/>
      <c r="B647" s="7"/>
      <c r="C647" s="5"/>
      <c r="D647" s="8"/>
      <c r="E647" s="9"/>
      <c r="F647" s="9"/>
      <c r="G647" s="10"/>
      <c r="H647" s="10"/>
      <c r="I647" s="11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7"/>
      <c r="B648" s="7"/>
      <c r="C648" s="5"/>
      <c r="D648" s="8"/>
      <c r="E648" s="9"/>
      <c r="F648" s="9"/>
      <c r="G648" s="10"/>
      <c r="H648" s="10"/>
      <c r="I648" s="11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7"/>
      <c r="B649" s="7"/>
      <c r="C649" s="5"/>
      <c r="D649" s="8"/>
      <c r="E649" s="9"/>
      <c r="F649" s="9"/>
      <c r="G649" s="10"/>
      <c r="H649" s="10"/>
      <c r="I649" s="11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7"/>
      <c r="B650" s="7"/>
      <c r="C650" s="5"/>
      <c r="D650" s="8"/>
      <c r="E650" s="9"/>
      <c r="F650" s="9"/>
      <c r="G650" s="10"/>
      <c r="H650" s="10"/>
      <c r="I650" s="11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7"/>
      <c r="B651" s="7"/>
      <c r="C651" s="5"/>
      <c r="D651" s="8"/>
      <c r="E651" s="9"/>
      <c r="F651" s="9"/>
      <c r="G651" s="10"/>
      <c r="H651" s="10"/>
      <c r="I651" s="11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7"/>
      <c r="B652" s="7"/>
      <c r="C652" s="5"/>
      <c r="D652" s="8"/>
      <c r="E652" s="9"/>
      <c r="F652" s="9"/>
      <c r="G652" s="10"/>
      <c r="H652" s="10"/>
      <c r="I652" s="11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7"/>
      <c r="B653" s="7"/>
      <c r="C653" s="5"/>
      <c r="D653" s="8"/>
      <c r="E653" s="9"/>
      <c r="F653" s="9"/>
      <c r="G653" s="10"/>
      <c r="H653" s="10"/>
      <c r="I653" s="11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7"/>
      <c r="B654" s="7"/>
      <c r="C654" s="5"/>
      <c r="D654" s="8"/>
      <c r="E654" s="9"/>
      <c r="F654" s="9"/>
      <c r="G654" s="10"/>
      <c r="H654" s="10"/>
      <c r="I654" s="11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7"/>
      <c r="B655" s="7"/>
      <c r="C655" s="5"/>
      <c r="D655" s="8"/>
      <c r="E655" s="9"/>
      <c r="F655" s="9"/>
      <c r="G655" s="10"/>
      <c r="H655" s="10"/>
      <c r="I655" s="11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7"/>
      <c r="B656" s="7"/>
      <c r="C656" s="5"/>
      <c r="D656" s="8"/>
      <c r="E656" s="9"/>
      <c r="F656" s="9"/>
      <c r="G656" s="10"/>
      <c r="H656" s="10"/>
      <c r="I656" s="11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7"/>
      <c r="B657" s="7"/>
      <c r="C657" s="5"/>
      <c r="D657" s="8"/>
      <c r="E657" s="9"/>
      <c r="F657" s="9"/>
      <c r="G657" s="10"/>
      <c r="H657" s="10"/>
      <c r="I657" s="11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7"/>
      <c r="B658" s="7"/>
      <c r="C658" s="5"/>
      <c r="D658" s="8"/>
      <c r="E658" s="9"/>
      <c r="F658" s="9"/>
      <c r="G658" s="10"/>
      <c r="H658" s="10"/>
      <c r="I658" s="11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7"/>
      <c r="B659" s="7"/>
      <c r="C659" s="5"/>
      <c r="D659" s="8"/>
      <c r="E659" s="9"/>
      <c r="F659" s="9"/>
      <c r="G659" s="10"/>
      <c r="H659" s="10"/>
      <c r="I659" s="11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7"/>
      <c r="B660" s="7"/>
      <c r="C660" s="5"/>
      <c r="D660" s="8"/>
      <c r="E660" s="9"/>
      <c r="F660" s="9"/>
      <c r="G660" s="10"/>
      <c r="H660" s="10"/>
      <c r="I660" s="11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7"/>
      <c r="B661" s="7"/>
      <c r="C661" s="5"/>
      <c r="D661" s="8"/>
      <c r="E661" s="9"/>
      <c r="F661" s="9"/>
      <c r="G661" s="10"/>
      <c r="H661" s="10"/>
      <c r="I661" s="11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7"/>
      <c r="B662" s="7"/>
      <c r="C662" s="5"/>
      <c r="D662" s="8"/>
      <c r="E662" s="9"/>
      <c r="F662" s="9"/>
      <c r="G662" s="10"/>
      <c r="H662" s="10"/>
      <c r="I662" s="11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7"/>
      <c r="B663" s="7"/>
      <c r="C663" s="5"/>
      <c r="D663" s="8"/>
      <c r="E663" s="9"/>
      <c r="F663" s="9"/>
      <c r="G663" s="10"/>
      <c r="H663" s="10"/>
      <c r="I663" s="11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7"/>
      <c r="B664" s="7"/>
      <c r="C664" s="5"/>
      <c r="D664" s="8"/>
      <c r="E664" s="9"/>
      <c r="F664" s="9"/>
      <c r="G664" s="10"/>
      <c r="H664" s="10"/>
      <c r="I664" s="11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7"/>
      <c r="B665" s="7"/>
      <c r="C665" s="5"/>
      <c r="D665" s="8"/>
      <c r="E665" s="9"/>
      <c r="F665" s="9"/>
      <c r="G665" s="10"/>
      <c r="H665" s="10"/>
      <c r="I665" s="11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7"/>
      <c r="B666" s="7"/>
      <c r="C666" s="5"/>
      <c r="D666" s="8"/>
      <c r="E666" s="9"/>
      <c r="F666" s="9"/>
      <c r="G666" s="10"/>
      <c r="H666" s="10"/>
      <c r="I666" s="11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7"/>
      <c r="B667" s="7"/>
      <c r="C667" s="5"/>
      <c r="D667" s="8"/>
      <c r="E667" s="9"/>
      <c r="F667" s="9"/>
      <c r="G667" s="10"/>
      <c r="H667" s="10"/>
      <c r="I667" s="11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7"/>
      <c r="B668" s="7"/>
      <c r="C668" s="5"/>
      <c r="D668" s="8"/>
      <c r="E668" s="9"/>
      <c r="F668" s="9"/>
      <c r="G668" s="10"/>
      <c r="H668" s="10"/>
      <c r="I668" s="11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7"/>
      <c r="B669" s="7"/>
      <c r="C669" s="5"/>
      <c r="D669" s="8"/>
      <c r="E669" s="9"/>
      <c r="F669" s="9"/>
      <c r="G669" s="10"/>
      <c r="H669" s="10"/>
      <c r="I669" s="11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7"/>
      <c r="B670" s="7"/>
      <c r="C670" s="5"/>
      <c r="D670" s="8"/>
      <c r="E670" s="9"/>
      <c r="F670" s="9"/>
      <c r="G670" s="10"/>
      <c r="H670" s="10"/>
      <c r="I670" s="11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7"/>
      <c r="B671" s="7"/>
      <c r="C671" s="5"/>
      <c r="D671" s="8"/>
      <c r="E671" s="9"/>
      <c r="F671" s="9"/>
      <c r="G671" s="10"/>
      <c r="H671" s="10"/>
      <c r="I671" s="11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7"/>
      <c r="B672" s="7"/>
      <c r="C672" s="5"/>
      <c r="D672" s="8"/>
      <c r="E672" s="9"/>
      <c r="F672" s="9"/>
      <c r="G672" s="10"/>
      <c r="H672" s="10"/>
      <c r="I672" s="11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7"/>
      <c r="B673" s="7"/>
      <c r="C673" s="5"/>
      <c r="D673" s="8"/>
      <c r="E673" s="9"/>
      <c r="F673" s="9"/>
      <c r="G673" s="10"/>
      <c r="H673" s="10"/>
      <c r="I673" s="11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7"/>
      <c r="B674" s="7"/>
      <c r="C674" s="5"/>
      <c r="D674" s="8"/>
      <c r="E674" s="9"/>
      <c r="F674" s="9"/>
      <c r="G674" s="10"/>
      <c r="H674" s="10"/>
      <c r="I674" s="11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7"/>
      <c r="B675" s="7"/>
      <c r="C675" s="5"/>
      <c r="D675" s="8"/>
      <c r="E675" s="9"/>
      <c r="F675" s="9"/>
      <c r="G675" s="10"/>
      <c r="H675" s="10"/>
      <c r="I675" s="11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7"/>
      <c r="B676" s="7"/>
      <c r="C676" s="5"/>
      <c r="D676" s="8"/>
      <c r="E676" s="9"/>
      <c r="F676" s="9"/>
      <c r="G676" s="10"/>
      <c r="H676" s="10"/>
      <c r="I676" s="11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7"/>
      <c r="B677" s="7"/>
      <c r="C677" s="5"/>
      <c r="D677" s="8"/>
      <c r="E677" s="9"/>
      <c r="F677" s="9"/>
      <c r="G677" s="10"/>
      <c r="H677" s="10"/>
      <c r="I677" s="11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7"/>
      <c r="B678" s="7"/>
      <c r="C678" s="5"/>
      <c r="D678" s="8"/>
      <c r="E678" s="9"/>
      <c r="F678" s="9"/>
      <c r="G678" s="10"/>
      <c r="H678" s="10"/>
      <c r="I678" s="11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7"/>
      <c r="B679" s="7"/>
      <c r="C679" s="5"/>
      <c r="D679" s="8"/>
      <c r="E679" s="9"/>
      <c r="F679" s="9"/>
      <c r="G679" s="10"/>
      <c r="H679" s="10"/>
      <c r="I679" s="11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7"/>
      <c r="B680" s="7"/>
      <c r="C680" s="5"/>
      <c r="D680" s="8"/>
      <c r="E680" s="9"/>
      <c r="F680" s="9"/>
      <c r="G680" s="10"/>
      <c r="H680" s="10"/>
      <c r="I680" s="11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7"/>
      <c r="B681" s="7"/>
      <c r="C681" s="5"/>
      <c r="D681" s="8"/>
      <c r="E681" s="9"/>
      <c r="F681" s="9"/>
      <c r="G681" s="10"/>
      <c r="H681" s="10"/>
      <c r="I681" s="11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7"/>
      <c r="B682" s="7"/>
      <c r="C682" s="5"/>
      <c r="D682" s="8"/>
      <c r="E682" s="9"/>
      <c r="F682" s="9"/>
      <c r="G682" s="10"/>
      <c r="H682" s="10"/>
      <c r="I682" s="11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7"/>
      <c r="B683" s="7"/>
      <c r="C683" s="5"/>
      <c r="D683" s="8"/>
      <c r="E683" s="9"/>
      <c r="F683" s="9"/>
      <c r="G683" s="10"/>
      <c r="H683" s="10"/>
      <c r="I683" s="11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7"/>
      <c r="B684" s="7"/>
      <c r="C684" s="5"/>
      <c r="D684" s="8"/>
      <c r="E684" s="9"/>
      <c r="F684" s="9"/>
      <c r="G684" s="10"/>
      <c r="H684" s="10"/>
      <c r="I684" s="11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7"/>
      <c r="B685" s="7"/>
      <c r="C685" s="5"/>
      <c r="D685" s="8"/>
      <c r="E685" s="9"/>
      <c r="F685" s="9"/>
      <c r="G685" s="10"/>
      <c r="H685" s="10"/>
      <c r="I685" s="11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7"/>
      <c r="B686" s="7"/>
      <c r="C686" s="5"/>
      <c r="D686" s="8"/>
      <c r="E686" s="9"/>
      <c r="F686" s="9"/>
      <c r="G686" s="10"/>
      <c r="H686" s="10"/>
      <c r="I686" s="11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7"/>
      <c r="B687" s="7"/>
      <c r="C687" s="5"/>
      <c r="D687" s="8"/>
      <c r="E687" s="9"/>
      <c r="F687" s="9"/>
      <c r="G687" s="10"/>
      <c r="H687" s="10"/>
      <c r="I687" s="11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7"/>
      <c r="B688" s="7"/>
      <c r="C688" s="5"/>
      <c r="D688" s="8"/>
      <c r="E688" s="9"/>
      <c r="F688" s="9"/>
      <c r="G688" s="10"/>
      <c r="H688" s="10"/>
      <c r="I688" s="11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7"/>
      <c r="B689" s="7"/>
      <c r="C689" s="5"/>
      <c r="D689" s="8"/>
      <c r="E689" s="9"/>
      <c r="F689" s="9"/>
      <c r="G689" s="10"/>
      <c r="H689" s="10"/>
      <c r="I689" s="11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7"/>
      <c r="B690" s="7"/>
      <c r="C690" s="5"/>
      <c r="D690" s="8"/>
      <c r="E690" s="9"/>
      <c r="F690" s="9"/>
      <c r="G690" s="10"/>
      <c r="H690" s="10"/>
      <c r="I690" s="11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7"/>
      <c r="B691" s="7"/>
      <c r="C691" s="5"/>
      <c r="D691" s="8"/>
      <c r="E691" s="9"/>
      <c r="F691" s="9"/>
      <c r="G691" s="10"/>
      <c r="H691" s="10"/>
      <c r="I691" s="11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7"/>
      <c r="B692" s="7"/>
      <c r="C692" s="5"/>
      <c r="D692" s="8"/>
      <c r="E692" s="9"/>
      <c r="F692" s="9"/>
      <c r="G692" s="10"/>
      <c r="H692" s="10"/>
      <c r="I692" s="11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7"/>
      <c r="B693" s="7"/>
      <c r="C693" s="5"/>
      <c r="D693" s="8"/>
      <c r="E693" s="9"/>
      <c r="F693" s="9"/>
      <c r="G693" s="10"/>
      <c r="H693" s="10"/>
      <c r="I693" s="11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7"/>
      <c r="B694" s="7"/>
      <c r="C694" s="5"/>
      <c r="D694" s="8"/>
      <c r="E694" s="9"/>
      <c r="F694" s="9"/>
      <c r="G694" s="10"/>
      <c r="H694" s="10"/>
      <c r="I694" s="11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7"/>
      <c r="B695" s="7"/>
      <c r="C695" s="5"/>
      <c r="D695" s="8"/>
      <c r="E695" s="9"/>
      <c r="F695" s="9"/>
      <c r="G695" s="10"/>
      <c r="H695" s="10"/>
      <c r="I695" s="11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7"/>
      <c r="B696" s="7"/>
      <c r="C696" s="5"/>
      <c r="D696" s="8"/>
      <c r="E696" s="9"/>
      <c r="F696" s="9"/>
      <c r="G696" s="10"/>
      <c r="H696" s="10"/>
      <c r="I696" s="11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7"/>
      <c r="B697" s="7"/>
      <c r="C697" s="5"/>
      <c r="D697" s="8"/>
      <c r="E697" s="9"/>
      <c r="F697" s="9"/>
      <c r="G697" s="10"/>
      <c r="H697" s="10"/>
      <c r="I697" s="11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7"/>
      <c r="B698" s="7"/>
      <c r="C698" s="5"/>
      <c r="D698" s="8"/>
      <c r="E698" s="9"/>
      <c r="F698" s="9"/>
      <c r="G698" s="10"/>
      <c r="H698" s="10"/>
      <c r="I698" s="11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7"/>
      <c r="B699" s="7"/>
      <c r="C699" s="5"/>
      <c r="D699" s="8"/>
      <c r="E699" s="9"/>
      <c r="F699" s="9"/>
      <c r="G699" s="10"/>
      <c r="H699" s="10"/>
      <c r="I699" s="11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7"/>
      <c r="B700" s="7"/>
      <c r="C700" s="5"/>
      <c r="D700" s="8"/>
      <c r="E700" s="9"/>
      <c r="F700" s="9"/>
      <c r="G700" s="10"/>
      <c r="H700" s="10"/>
      <c r="I700" s="11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7"/>
      <c r="B701" s="7"/>
      <c r="C701" s="5"/>
      <c r="D701" s="8"/>
      <c r="E701" s="9"/>
      <c r="F701" s="9"/>
      <c r="G701" s="10"/>
      <c r="H701" s="10"/>
      <c r="I701" s="11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7"/>
      <c r="B702" s="7"/>
      <c r="C702" s="5"/>
      <c r="D702" s="8"/>
      <c r="E702" s="9"/>
      <c r="F702" s="9"/>
      <c r="G702" s="10"/>
      <c r="H702" s="10"/>
      <c r="I702" s="11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7"/>
      <c r="B703" s="7"/>
      <c r="C703" s="5"/>
      <c r="D703" s="8"/>
      <c r="E703" s="9"/>
      <c r="F703" s="9"/>
      <c r="G703" s="10"/>
      <c r="H703" s="10"/>
      <c r="I703" s="11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7"/>
      <c r="B704" s="7"/>
      <c r="C704" s="5"/>
      <c r="D704" s="8"/>
      <c r="E704" s="9"/>
      <c r="F704" s="9"/>
      <c r="G704" s="10"/>
      <c r="H704" s="10"/>
      <c r="I704" s="11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7"/>
      <c r="B705" s="7"/>
      <c r="C705" s="5"/>
      <c r="D705" s="8"/>
      <c r="E705" s="9"/>
      <c r="F705" s="9"/>
      <c r="G705" s="10"/>
      <c r="H705" s="10"/>
      <c r="I705" s="11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7"/>
      <c r="B706" s="7"/>
      <c r="C706" s="5"/>
      <c r="D706" s="8"/>
      <c r="E706" s="9"/>
      <c r="F706" s="9"/>
      <c r="G706" s="10"/>
      <c r="H706" s="10"/>
      <c r="I706" s="11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7"/>
      <c r="B707" s="7"/>
      <c r="C707" s="5"/>
      <c r="D707" s="8"/>
      <c r="E707" s="9"/>
      <c r="F707" s="9"/>
      <c r="G707" s="10"/>
      <c r="H707" s="10"/>
      <c r="I707" s="11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7"/>
      <c r="B708" s="7"/>
      <c r="C708" s="5"/>
      <c r="D708" s="8"/>
      <c r="E708" s="9"/>
      <c r="F708" s="9"/>
      <c r="G708" s="10"/>
      <c r="H708" s="10"/>
      <c r="I708" s="11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7"/>
      <c r="B709" s="7"/>
      <c r="C709" s="5"/>
      <c r="D709" s="8"/>
      <c r="E709" s="9"/>
      <c r="F709" s="9"/>
      <c r="G709" s="10"/>
      <c r="H709" s="10"/>
      <c r="I709" s="11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7"/>
      <c r="B710" s="7"/>
      <c r="C710" s="5"/>
      <c r="D710" s="8"/>
      <c r="E710" s="9"/>
      <c r="F710" s="9"/>
      <c r="G710" s="10"/>
      <c r="H710" s="10"/>
      <c r="I710" s="11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7"/>
      <c r="B711" s="7"/>
      <c r="C711" s="5"/>
      <c r="D711" s="8"/>
      <c r="E711" s="9"/>
      <c r="F711" s="9"/>
      <c r="G711" s="10"/>
      <c r="H711" s="10"/>
      <c r="I711" s="11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7"/>
      <c r="B712" s="7"/>
      <c r="C712" s="5"/>
      <c r="D712" s="8"/>
      <c r="E712" s="9"/>
      <c r="F712" s="9"/>
      <c r="G712" s="10"/>
      <c r="H712" s="10"/>
      <c r="I712" s="11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7"/>
      <c r="B713" s="7"/>
      <c r="C713" s="5"/>
      <c r="D713" s="8"/>
      <c r="E713" s="9"/>
      <c r="F713" s="9"/>
      <c r="G713" s="10"/>
      <c r="H713" s="10"/>
      <c r="I713" s="11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7"/>
      <c r="B714" s="7"/>
      <c r="C714" s="5"/>
      <c r="D714" s="8"/>
      <c r="E714" s="9"/>
      <c r="F714" s="9"/>
      <c r="G714" s="10"/>
      <c r="H714" s="10"/>
      <c r="I714" s="11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7"/>
      <c r="B715" s="7"/>
      <c r="C715" s="5"/>
      <c r="D715" s="8"/>
      <c r="E715" s="9"/>
      <c r="F715" s="9"/>
      <c r="G715" s="10"/>
      <c r="H715" s="10"/>
      <c r="I715" s="11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7"/>
      <c r="B716" s="7"/>
      <c r="C716" s="5"/>
      <c r="D716" s="8"/>
      <c r="E716" s="9"/>
      <c r="F716" s="9"/>
      <c r="G716" s="10"/>
      <c r="H716" s="10"/>
      <c r="I716" s="11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7"/>
      <c r="B717" s="7"/>
      <c r="C717" s="5"/>
      <c r="D717" s="8"/>
      <c r="E717" s="9"/>
      <c r="F717" s="9"/>
      <c r="G717" s="10"/>
      <c r="H717" s="10"/>
      <c r="I717" s="11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7"/>
      <c r="B718" s="7"/>
      <c r="C718" s="5"/>
      <c r="D718" s="8"/>
      <c r="E718" s="9"/>
      <c r="F718" s="9"/>
      <c r="G718" s="10"/>
      <c r="H718" s="10"/>
      <c r="I718" s="11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7"/>
      <c r="B719" s="7"/>
      <c r="C719" s="5"/>
      <c r="D719" s="8"/>
      <c r="E719" s="9"/>
      <c r="F719" s="9"/>
      <c r="G719" s="10"/>
      <c r="H719" s="10"/>
      <c r="I719" s="11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7"/>
      <c r="B720" s="7"/>
      <c r="C720" s="5"/>
      <c r="D720" s="8"/>
      <c r="E720" s="9"/>
      <c r="F720" s="9"/>
      <c r="G720" s="10"/>
      <c r="H720" s="10"/>
      <c r="I720" s="11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7"/>
      <c r="B721" s="7"/>
      <c r="C721" s="5"/>
      <c r="D721" s="8"/>
      <c r="E721" s="9"/>
      <c r="F721" s="9"/>
      <c r="G721" s="10"/>
      <c r="H721" s="10"/>
      <c r="I721" s="11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7"/>
      <c r="B722" s="7"/>
      <c r="C722" s="5"/>
      <c r="D722" s="8"/>
      <c r="E722" s="9"/>
      <c r="F722" s="9"/>
      <c r="G722" s="10"/>
      <c r="H722" s="10"/>
      <c r="I722" s="11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7"/>
      <c r="B723" s="7"/>
      <c r="C723" s="5"/>
      <c r="D723" s="8"/>
      <c r="E723" s="9"/>
      <c r="F723" s="9"/>
      <c r="G723" s="10"/>
      <c r="H723" s="10"/>
      <c r="I723" s="11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7"/>
      <c r="B724" s="7"/>
      <c r="C724" s="5"/>
      <c r="D724" s="8"/>
      <c r="E724" s="9"/>
      <c r="F724" s="9"/>
      <c r="G724" s="10"/>
      <c r="H724" s="10"/>
      <c r="I724" s="11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7"/>
      <c r="B725" s="7"/>
      <c r="C725" s="5"/>
      <c r="D725" s="8"/>
      <c r="E725" s="9"/>
      <c r="F725" s="9"/>
      <c r="G725" s="10"/>
      <c r="H725" s="10"/>
      <c r="I725" s="11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7"/>
      <c r="B726" s="7"/>
      <c r="C726" s="5"/>
      <c r="D726" s="8"/>
      <c r="E726" s="9"/>
      <c r="F726" s="9"/>
      <c r="G726" s="10"/>
      <c r="H726" s="10"/>
      <c r="I726" s="11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7"/>
      <c r="B727" s="7"/>
      <c r="C727" s="5"/>
      <c r="D727" s="8"/>
      <c r="E727" s="9"/>
      <c r="F727" s="9"/>
      <c r="G727" s="10"/>
      <c r="H727" s="10"/>
      <c r="I727" s="11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7"/>
      <c r="B728" s="7"/>
      <c r="C728" s="5"/>
      <c r="D728" s="8"/>
      <c r="E728" s="9"/>
      <c r="F728" s="9"/>
      <c r="G728" s="10"/>
      <c r="H728" s="10"/>
      <c r="I728" s="11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7"/>
      <c r="B729" s="7"/>
      <c r="C729" s="5"/>
      <c r="D729" s="8"/>
      <c r="E729" s="9"/>
      <c r="F729" s="9"/>
      <c r="G729" s="10"/>
      <c r="H729" s="10"/>
      <c r="I729" s="11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7"/>
      <c r="B730" s="7"/>
      <c r="C730" s="5"/>
      <c r="D730" s="8"/>
      <c r="E730" s="9"/>
      <c r="F730" s="9"/>
      <c r="G730" s="10"/>
      <c r="H730" s="10"/>
      <c r="I730" s="11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7"/>
      <c r="B731" s="7"/>
      <c r="C731" s="5"/>
      <c r="D731" s="8"/>
      <c r="E731" s="9"/>
      <c r="F731" s="9"/>
      <c r="G731" s="10"/>
      <c r="H731" s="10"/>
      <c r="I731" s="11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7"/>
      <c r="B732" s="7"/>
      <c r="C732" s="5"/>
      <c r="D732" s="8"/>
      <c r="E732" s="9"/>
      <c r="F732" s="9"/>
      <c r="G732" s="10"/>
      <c r="H732" s="10"/>
      <c r="I732" s="11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7"/>
      <c r="B733" s="7"/>
      <c r="C733" s="5"/>
      <c r="D733" s="8"/>
      <c r="E733" s="9"/>
      <c r="F733" s="9"/>
      <c r="G733" s="10"/>
      <c r="H733" s="10"/>
      <c r="I733" s="11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7"/>
      <c r="B734" s="7"/>
      <c r="C734" s="5"/>
      <c r="D734" s="8"/>
      <c r="E734" s="9"/>
      <c r="F734" s="9"/>
      <c r="G734" s="10"/>
      <c r="H734" s="10"/>
      <c r="I734" s="11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7"/>
      <c r="B735" s="7"/>
      <c r="C735" s="5"/>
      <c r="D735" s="8"/>
      <c r="E735" s="9"/>
      <c r="F735" s="9"/>
      <c r="G735" s="10"/>
      <c r="H735" s="10"/>
      <c r="I735" s="11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7"/>
      <c r="B736" s="7"/>
      <c r="C736" s="5"/>
      <c r="D736" s="8"/>
      <c r="E736" s="9"/>
      <c r="F736" s="9"/>
      <c r="G736" s="10"/>
      <c r="H736" s="10"/>
      <c r="I736" s="11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7"/>
      <c r="B737" s="7"/>
      <c r="C737" s="5"/>
      <c r="D737" s="8"/>
      <c r="E737" s="9"/>
      <c r="F737" s="9"/>
      <c r="G737" s="10"/>
      <c r="H737" s="10"/>
      <c r="I737" s="11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7"/>
      <c r="B738" s="7"/>
      <c r="C738" s="5"/>
      <c r="D738" s="8"/>
      <c r="E738" s="9"/>
      <c r="F738" s="9"/>
      <c r="G738" s="10"/>
      <c r="H738" s="10"/>
      <c r="I738" s="11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7"/>
      <c r="B739" s="7"/>
      <c r="C739" s="5"/>
      <c r="D739" s="8"/>
      <c r="E739" s="9"/>
      <c r="F739" s="9"/>
      <c r="G739" s="10"/>
      <c r="H739" s="10"/>
      <c r="I739" s="11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7"/>
      <c r="B740" s="7"/>
      <c r="C740" s="5"/>
      <c r="D740" s="8"/>
      <c r="E740" s="9"/>
      <c r="F740" s="9"/>
      <c r="G740" s="10"/>
      <c r="H740" s="10"/>
      <c r="I740" s="11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7"/>
      <c r="B741" s="7"/>
      <c r="C741" s="5"/>
      <c r="D741" s="8"/>
      <c r="E741" s="9"/>
      <c r="F741" s="9"/>
      <c r="G741" s="10"/>
      <c r="H741" s="10"/>
      <c r="I741" s="11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7"/>
      <c r="B742" s="7"/>
      <c r="C742" s="5"/>
      <c r="D742" s="8"/>
      <c r="E742" s="9"/>
      <c r="F742" s="9"/>
      <c r="G742" s="10"/>
      <c r="H742" s="10"/>
      <c r="I742" s="11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7"/>
      <c r="B743" s="7"/>
      <c r="C743" s="5"/>
      <c r="D743" s="8"/>
      <c r="E743" s="9"/>
      <c r="F743" s="9"/>
      <c r="G743" s="10"/>
      <c r="H743" s="10"/>
      <c r="I743" s="11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7"/>
      <c r="B744" s="7"/>
      <c r="C744" s="5"/>
      <c r="D744" s="8"/>
      <c r="E744" s="9"/>
      <c r="F744" s="9"/>
      <c r="G744" s="10"/>
      <c r="H744" s="10"/>
      <c r="I744" s="11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7"/>
      <c r="B745" s="7"/>
      <c r="C745" s="5"/>
      <c r="D745" s="8"/>
      <c r="E745" s="9"/>
      <c r="F745" s="9"/>
      <c r="G745" s="10"/>
      <c r="H745" s="10"/>
      <c r="I745" s="11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7"/>
      <c r="B746" s="7"/>
      <c r="C746" s="5"/>
      <c r="D746" s="8"/>
      <c r="E746" s="9"/>
      <c r="F746" s="9"/>
      <c r="G746" s="10"/>
      <c r="H746" s="10"/>
      <c r="I746" s="11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7"/>
      <c r="B747" s="7"/>
      <c r="C747" s="5"/>
      <c r="D747" s="8"/>
      <c r="E747" s="9"/>
      <c r="F747" s="9"/>
      <c r="G747" s="10"/>
      <c r="H747" s="10"/>
      <c r="I747" s="11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7"/>
      <c r="B748" s="7"/>
      <c r="C748" s="5"/>
      <c r="D748" s="8"/>
      <c r="E748" s="9"/>
      <c r="F748" s="9"/>
      <c r="G748" s="10"/>
      <c r="H748" s="10"/>
      <c r="I748" s="11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7"/>
      <c r="B749" s="7"/>
      <c r="C749" s="5"/>
      <c r="D749" s="8"/>
      <c r="E749" s="9"/>
      <c r="F749" s="9"/>
      <c r="G749" s="10"/>
      <c r="H749" s="10"/>
      <c r="I749" s="11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7"/>
      <c r="B750" s="7"/>
      <c r="C750" s="5"/>
      <c r="D750" s="8"/>
      <c r="E750" s="9"/>
      <c r="F750" s="9"/>
      <c r="G750" s="10"/>
      <c r="H750" s="10"/>
      <c r="I750" s="11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7"/>
      <c r="B751" s="7"/>
      <c r="C751" s="5"/>
      <c r="D751" s="8"/>
      <c r="E751" s="9"/>
      <c r="F751" s="9"/>
      <c r="G751" s="10"/>
      <c r="H751" s="10"/>
      <c r="I751" s="11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7"/>
      <c r="B752" s="7"/>
      <c r="C752" s="5"/>
      <c r="D752" s="8"/>
      <c r="E752" s="9"/>
      <c r="F752" s="9"/>
      <c r="G752" s="10"/>
      <c r="H752" s="10"/>
      <c r="I752" s="11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7"/>
      <c r="B753" s="7"/>
      <c r="C753" s="5"/>
      <c r="D753" s="8"/>
      <c r="E753" s="9"/>
      <c r="F753" s="9"/>
      <c r="G753" s="10"/>
      <c r="H753" s="10"/>
      <c r="I753" s="11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7"/>
      <c r="B754" s="7"/>
      <c r="C754" s="5"/>
      <c r="D754" s="8"/>
      <c r="E754" s="9"/>
      <c r="F754" s="9"/>
      <c r="G754" s="10"/>
      <c r="H754" s="10"/>
      <c r="I754" s="11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7"/>
      <c r="B755" s="7"/>
      <c r="C755" s="5"/>
      <c r="D755" s="8"/>
      <c r="E755" s="9"/>
      <c r="F755" s="9"/>
      <c r="G755" s="10"/>
      <c r="H755" s="10"/>
      <c r="I755" s="11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7"/>
      <c r="B756" s="7"/>
      <c r="C756" s="5"/>
      <c r="D756" s="8"/>
      <c r="E756" s="9"/>
      <c r="F756" s="9"/>
      <c r="G756" s="10"/>
      <c r="H756" s="10"/>
      <c r="I756" s="11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7"/>
      <c r="B757" s="7"/>
      <c r="C757" s="5"/>
      <c r="D757" s="8"/>
      <c r="E757" s="9"/>
      <c r="F757" s="9"/>
      <c r="G757" s="10"/>
      <c r="H757" s="10"/>
      <c r="I757" s="11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7"/>
      <c r="B758" s="7"/>
      <c r="C758" s="5"/>
      <c r="D758" s="8"/>
      <c r="E758" s="9"/>
      <c r="F758" s="9"/>
      <c r="G758" s="10"/>
      <c r="H758" s="10"/>
      <c r="I758" s="11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7"/>
      <c r="B759" s="7"/>
      <c r="C759" s="5"/>
      <c r="D759" s="8"/>
      <c r="E759" s="9"/>
      <c r="F759" s="9"/>
      <c r="G759" s="10"/>
      <c r="H759" s="10"/>
      <c r="I759" s="11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7"/>
      <c r="B760" s="7"/>
      <c r="C760" s="5"/>
      <c r="D760" s="8"/>
      <c r="E760" s="9"/>
      <c r="F760" s="9"/>
      <c r="G760" s="10"/>
      <c r="H760" s="10"/>
      <c r="I760" s="11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7"/>
      <c r="B761" s="7"/>
      <c r="C761" s="5"/>
      <c r="D761" s="8"/>
      <c r="E761" s="9"/>
      <c r="F761" s="9"/>
      <c r="G761" s="10"/>
      <c r="H761" s="10"/>
      <c r="I761" s="11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7"/>
      <c r="B762" s="7"/>
      <c r="C762" s="5"/>
      <c r="D762" s="8"/>
      <c r="E762" s="9"/>
      <c r="F762" s="9"/>
      <c r="G762" s="10"/>
      <c r="H762" s="10"/>
      <c r="I762" s="11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7"/>
      <c r="B763" s="7"/>
      <c r="C763" s="5"/>
      <c r="D763" s="8"/>
      <c r="E763" s="9"/>
      <c r="F763" s="9"/>
      <c r="G763" s="10"/>
      <c r="H763" s="10"/>
      <c r="I763" s="11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7"/>
      <c r="B764" s="7"/>
      <c r="C764" s="5"/>
      <c r="D764" s="8"/>
      <c r="E764" s="9"/>
      <c r="F764" s="9"/>
      <c r="G764" s="10"/>
      <c r="H764" s="10"/>
      <c r="I764" s="11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7"/>
      <c r="B765" s="7"/>
      <c r="C765" s="5"/>
      <c r="D765" s="8"/>
      <c r="E765" s="9"/>
      <c r="F765" s="9"/>
      <c r="G765" s="10"/>
      <c r="H765" s="10"/>
      <c r="I765" s="11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7"/>
      <c r="B766" s="7"/>
      <c r="C766" s="5"/>
      <c r="D766" s="8"/>
      <c r="E766" s="9"/>
      <c r="F766" s="9"/>
      <c r="G766" s="10"/>
      <c r="H766" s="10"/>
      <c r="I766" s="11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7"/>
      <c r="B767" s="7"/>
      <c r="C767" s="5"/>
      <c r="D767" s="8"/>
      <c r="E767" s="9"/>
      <c r="F767" s="9"/>
      <c r="G767" s="10"/>
      <c r="H767" s="10"/>
      <c r="I767" s="11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7"/>
      <c r="B768" s="7"/>
      <c r="C768" s="5"/>
      <c r="D768" s="8"/>
      <c r="E768" s="9"/>
      <c r="F768" s="9"/>
      <c r="G768" s="10"/>
      <c r="H768" s="10"/>
      <c r="I768" s="11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7"/>
      <c r="B769" s="7"/>
      <c r="C769" s="5"/>
      <c r="D769" s="8"/>
      <c r="E769" s="9"/>
      <c r="F769" s="9"/>
      <c r="G769" s="10"/>
      <c r="H769" s="10"/>
      <c r="I769" s="11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7"/>
      <c r="B770" s="7"/>
      <c r="C770" s="5"/>
      <c r="D770" s="8"/>
      <c r="E770" s="9"/>
      <c r="F770" s="9"/>
      <c r="G770" s="10"/>
      <c r="H770" s="10"/>
      <c r="I770" s="11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7"/>
      <c r="B771" s="7"/>
      <c r="C771" s="5"/>
      <c r="D771" s="8"/>
      <c r="E771" s="9"/>
      <c r="F771" s="9"/>
      <c r="G771" s="10"/>
      <c r="H771" s="10"/>
      <c r="I771" s="11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7"/>
      <c r="B772" s="7"/>
      <c r="C772" s="5"/>
      <c r="D772" s="8"/>
      <c r="E772" s="9"/>
      <c r="F772" s="9"/>
      <c r="G772" s="10"/>
      <c r="H772" s="10"/>
      <c r="I772" s="11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7"/>
      <c r="B773" s="7"/>
      <c r="C773" s="5"/>
      <c r="D773" s="8"/>
      <c r="E773" s="9"/>
      <c r="F773" s="9"/>
      <c r="G773" s="10"/>
      <c r="H773" s="10"/>
      <c r="I773" s="11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7"/>
      <c r="B774" s="7"/>
      <c r="C774" s="5"/>
      <c r="D774" s="8"/>
      <c r="E774" s="9"/>
      <c r="F774" s="9"/>
      <c r="G774" s="10"/>
      <c r="H774" s="10"/>
      <c r="I774" s="11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7"/>
      <c r="B775" s="7"/>
      <c r="C775" s="5"/>
      <c r="D775" s="8"/>
      <c r="E775" s="9"/>
      <c r="F775" s="9"/>
      <c r="G775" s="10"/>
      <c r="H775" s="10"/>
      <c r="I775" s="11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7"/>
      <c r="B776" s="7"/>
      <c r="C776" s="5"/>
      <c r="D776" s="8"/>
      <c r="E776" s="9"/>
      <c r="F776" s="9"/>
      <c r="G776" s="10"/>
      <c r="H776" s="10"/>
      <c r="I776" s="11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7"/>
      <c r="B777" s="7"/>
      <c r="C777" s="5"/>
      <c r="D777" s="8"/>
      <c r="E777" s="9"/>
      <c r="F777" s="9"/>
      <c r="G777" s="10"/>
      <c r="H777" s="10"/>
      <c r="I777" s="11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7"/>
      <c r="B778" s="7"/>
      <c r="C778" s="5"/>
      <c r="D778" s="8"/>
      <c r="E778" s="9"/>
      <c r="F778" s="9"/>
      <c r="G778" s="10"/>
      <c r="H778" s="10"/>
      <c r="I778" s="11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7"/>
      <c r="B779" s="7"/>
      <c r="C779" s="5"/>
      <c r="D779" s="8"/>
      <c r="E779" s="9"/>
      <c r="F779" s="9"/>
      <c r="G779" s="10"/>
      <c r="H779" s="10"/>
      <c r="I779" s="11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7"/>
      <c r="B780" s="7"/>
      <c r="C780" s="5"/>
      <c r="D780" s="8"/>
      <c r="E780" s="9"/>
      <c r="F780" s="9"/>
      <c r="G780" s="10"/>
      <c r="H780" s="10"/>
      <c r="I780" s="11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7"/>
      <c r="B781" s="7"/>
      <c r="C781" s="5"/>
      <c r="D781" s="8"/>
      <c r="E781" s="9"/>
      <c r="F781" s="9"/>
      <c r="G781" s="10"/>
      <c r="H781" s="10"/>
      <c r="I781" s="11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7"/>
      <c r="B782" s="7"/>
      <c r="C782" s="5"/>
      <c r="D782" s="8"/>
      <c r="E782" s="9"/>
      <c r="F782" s="9"/>
      <c r="G782" s="10"/>
      <c r="H782" s="10"/>
      <c r="I782" s="11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7"/>
      <c r="B783" s="7"/>
      <c r="C783" s="5"/>
      <c r="D783" s="8"/>
      <c r="E783" s="9"/>
      <c r="F783" s="9"/>
      <c r="G783" s="10"/>
      <c r="H783" s="10"/>
      <c r="I783" s="11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7"/>
      <c r="B784" s="7"/>
      <c r="C784" s="5"/>
      <c r="D784" s="8"/>
      <c r="E784" s="9"/>
      <c r="F784" s="9"/>
      <c r="G784" s="10"/>
      <c r="H784" s="10"/>
      <c r="I784" s="11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7"/>
      <c r="B785" s="7"/>
      <c r="C785" s="5"/>
      <c r="D785" s="8"/>
      <c r="E785" s="9"/>
      <c r="F785" s="9"/>
      <c r="G785" s="10"/>
      <c r="H785" s="10"/>
      <c r="I785" s="11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7"/>
      <c r="B786" s="7"/>
      <c r="C786" s="5"/>
      <c r="D786" s="8"/>
      <c r="E786" s="9"/>
      <c r="F786" s="9"/>
      <c r="G786" s="10"/>
      <c r="H786" s="10"/>
      <c r="I786" s="11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7"/>
      <c r="B787" s="7"/>
      <c r="C787" s="5"/>
      <c r="D787" s="8"/>
      <c r="E787" s="9"/>
      <c r="F787" s="9"/>
      <c r="G787" s="10"/>
      <c r="H787" s="10"/>
      <c r="I787" s="11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7"/>
      <c r="B788" s="7"/>
      <c r="C788" s="5"/>
      <c r="D788" s="8"/>
      <c r="E788" s="9"/>
      <c r="F788" s="9"/>
      <c r="G788" s="10"/>
      <c r="H788" s="10"/>
      <c r="I788" s="11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7"/>
      <c r="B789" s="7"/>
      <c r="C789" s="5"/>
      <c r="D789" s="8"/>
      <c r="E789" s="9"/>
      <c r="F789" s="9"/>
      <c r="G789" s="10"/>
      <c r="H789" s="10"/>
      <c r="I789" s="11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7"/>
      <c r="B790" s="7"/>
      <c r="C790" s="5"/>
      <c r="D790" s="8"/>
      <c r="E790" s="9"/>
      <c r="F790" s="9"/>
      <c r="G790" s="10"/>
      <c r="H790" s="10"/>
      <c r="I790" s="11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7"/>
      <c r="B791" s="7"/>
      <c r="C791" s="5"/>
      <c r="D791" s="8"/>
      <c r="E791" s="9"/>
      <c r="F791" s="9"/>
      <c r="G791" s="10"/>
      <c r="H791" s="10"/>
      <c r="I791" s="11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7"/>
      <c r="B792" s="7"/>
      <c r="C792" s="5"/>
      <c r="D792" s="8"/>
      <c r="E792" s="9"/>
      <c r="F792" s="9"/>
      <c r="G792" s="10"/>
      <c r="H792" s="10"/>
      <c r="I792" s="11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7"/>
      <c r="B793" s="7"/>
      <c r="C793" s="5"/>
      <c r="D793" s="8"/>
      <c r="E793" s="9"/>
      <c r="F793" s="9"/>
      <c r="G793" s="10"/>
      <c r="H793" s="10"/>
      <c r="I793" s="11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7"/>
      <c r="B794" s="7"/>
      <c r="C794" s="5"/>
      <c r="D794" s="8"/>
      <c r="E794" s="9"/>
      <c r="F794" s="9"/>
      <c r="G794" s="10"/>
      <c r="H794" s="10"/>
      <c r="I794" s="11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7"/>
      <c r="B795" s="7"/>
      <c r="C795" s="5"/>
      <c r="D795" s="8"/>
      <c r="E795" s="9"/>
      <c r="F795" s="9"/>
      <c r="G795" s="10"/>
      <c r="H795" s="10"/>
      <c r="I795" s="11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7"/>
      <c r="B796" s="7"/>
      <c r="C796" s="5"/>
      <c r="D796" s="8"/>
      <c r="E796" s="9"/>
      <c r="F796" s="9"/>
      <c r="G796" s="10"/>
      <c r="H796" s="10"/>
      <c r="I796" s="11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7"/>
      <c r="B797" s="7"/>
      <c r="C797" s="5"/>
      <c r="D797" s="8"/>
      <c r="E797" s="9"/>
      <c r="F797" s="9"/>
      <c r="G797" s="10"/>
      <c r="H797" s="10"/>
      <c r="I797" s="11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7"/>
      <c r="B798" s="7"/>
      <c r="C798" s="5"/>
      <c r="D798" s="8"/>
      <c r="E798" s="9"/>
      <c r="F798" s="9"/>
      <c r="G798" s="10"/>
      <c r="H798" s="10"/>
      <c r="I798" s="11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7"/>
      <c r="B799" s="7"/>
      <c r="C799" s="5"/>
      <c r="D799" s="8"/>
      <c r="E799" s="9"/>
      <c r="F799" s="9"/>
      <c r="G799" s="10"/>
      <c r="H799" s="10"/>
      <c r="I799" s="11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7"/>
      <c r="B800" s="7"/>
      <c r="C800" s="5"/>
      <c r="D800" s="8"/>
      <c r="E800" s="9"/>
      <c r="F800" s="9"/>
      <c r="G800" s="10"/>
      <c r="H800" s="10"/>
      <c r="I800" s="11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7"/>
      <c r="B801" s="7"/>
      <c r="C801" s="5"/>
      <c r="D801" s="8"/>
      <c r="E801" s="9"/>
      <c r="F801" s="9"/>
      <c r="G801" s="10"/>
      <c r="H801" s="10"/>
      <c r="I801" s="11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7"/>
      <c r="B802" s="7"/>
      <c r="C802" s="5"/>
      <c r="D802" s="8"/>
      <c r="E802" s="9"/>
      <c r="F802" s="9"/>
      <c r="G802" s="10"/>
      <c r="H802" s="10"/>
      <c r="I802" s="11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7"/>
      <c r="B803" s="7"/>
      <c r="C803" s="5"/>
      <c r="D803" s="8"/>
      <c r="E803" s="9"/>
      <c r="F803" s="9"/>
      <c r="G803" s="10"/>
      <c r="H803" s="10"/>
      <c r="I803" s="11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7"/>
      <c r="B804" s="7"/>
      <c r="C804" s="5"/>
      <c r="D804" s="8"/>
      <c r="E804" s="9"/>
      <c r="F804" s="9"/>
      <c r="G804" s="10"/>
      <c r="H804" s="10"/>
      <c r="I804" s="11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7"/>
      <c r="B805" s="7"/>
      <c r="C805" s="5"/>
      <c r="D805" s="8"/>
      <c r="E805" s="9"/>
      <c r="F805" s="9"/>
      <c r="G805" s="10"/>
      <c r="H805" s="10"/>
      <c r="I805" s="11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7"/>
      <c r="B806" s="7"/>
      <c r="C806" s="5"/>
      <c r="D806" s="8"/>
      <c r="E806" s="9"/>
      <c r="F806" s="9"/>
      <c r="G806" s="10"/>
      <c r="H806" s="10"/>
      <c r="I806" s="11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7"/>
      <c r="B807" s="7"/>
      <c r="C807" s="5"/>
      <c r="D807" s="8"/>
      <c r="E807" s="9"/>
      <c r="F807" s="9"/>
      <c r="G807" s="10"/>
      <c r="H807" s="10"/>
      <c r="I807" s="11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7"/>
      <c r="B808" s="7"/>
      <c r="C808" s="5"/>
      <c r="D808" s="8"/>
      <c r="E808" s="9"/>
      <c r="F808" s="9"/>
      <c r="G808" s="10"/>
      <c r="H808" s="10"/>
      <c r="I808" s="11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7"/>
      <c r="B809" s="7"/>
      <c r="C809" s="5"/>
      <c r="D809" s="8"/>
      <c r="E809" s="9"/>
      <c r="F809" s="9"/>
      <c r="G809" s="10"/>
      <c r="H809" s="10"/>
      <c r="I809" s="11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7"/>
      <c r="B810" s="7"/>
      <c r="C810" s="5"/>
      <c r="D810" s="8"/>
      <c r="E810" s="9"/>
      <c r="F810" s="9"/>
      <c r="G810" s="10"/>
      <c r="H810" s="10"/>
      <c r="I810" s="11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7"/>
      <c r="B811" s="7"/>
      <c r="C811" s="5"/>
      <c r="D811" s="8"/>
      <c r="E811" s="9"/>
      <c r="F811" s="9"/>
      <c r="G811" s="10"/>
      <c r="H811" s="10"/>
      <c r="I811" s="11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7"/>
      <c r="B812" s="7"/>
      <c r="C812" s="5"/>
      <c r="D812" s="8"/>
      <c r="E812" s="9"/>
      <c r="F812" s="9"/>
      <c r="G812" s="10"/>
      <c r="H812" s="10"/>
      <c r="I812" s="11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7"/>
      <c r="B813" s="7"/>
      <c r="C813" s="5"/>
      <c r="D813" s="8"/>
      <c r="E813" s="9"/>
      <c r="F813" s="9"/>
      <c r="G813" s="10"/>
      <c r="H813" s="10"/>
      <c r="I813" s="11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7"/>
      <c r="B814" s="7"/>
      <c r="C814" s="5"/>
      <c r="D814" s="8"/>
      <c r="E814" s="9"/>
      <c r="F814" s="9"/>
      <c r="G814" s="10"/>
      <c r="H814" s="10"/>
      <c r="I814" s="11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7"/>
      <c r="B815" s="7"/>
      <c r="C815" s="5"/>
      <c r="D815" s="8"/>
      <c r="E815" s="9"/>
      <c r="F815" s="9"/>
      <c r="G815" s="10"/>
      <c r="H815" s="10"/>
      <c r="I815" s="11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7"/>
      <c r="B816" s="7"/>
      <c r="C816" s="5"/>
      <c r="D816" s="8"/>
      <c r="E816" s="9"/>
      <c r="F816" s="9"/>
      <c r="G816" s="10"/>
      <c r="H816" s="10"/>
      <c r="I816" s="11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7"/>
      <c r="B817" s="7"/>
      <c r="C817" s="5"/>
      <c r="D817" s="8"/>
      <c r="E817" s="9"/>
      <c r="F817" s="9"/>
      <c r="G817" s="10"/>
      <c r="H817" s="10"/>
      <c r="I817" s="11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7"/>
      <c r="B818" s="7"/>
      <c r="C818" s="5"/>
      <c r="D818" s="8"/>
      <c r="E818" s="9"/>
      <c r="F818" s="9"/>
      <c r="G818" s="10"/>
      <c r="H818" s="10"/>
      <c r="I818" s="11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7"/>
      <c r="B819" s="7"/>
      <c r="C819" s="5"/>
      <c r="D819" s="8"/>
      <c r="E819" s="9"/>
      <c r="F819" s="9"/>
      <c r="G819" s="10"/>
      <c r="H819" s="10"/>
      <c r="I819" s="11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7"/>
      <c r="B820" s="7"/>
      <c r="C820" s="5"/>
      <c r="D820" s="8"/>
      <c r="E820" s="9"/>
      <c r="F820" s="9"/>
      <c r="G820" s="10"/>
      <c r="H820" s="10"/>
      <c r="I820" s="11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7"/>
      <c r="B821" s="7"/>
      <c r="C821" s="5"/>
      <c r="D821" s="8"/>
      <c r="E821" s="9"/>
      <c r="F821" s="9"/>
      <c r="G821" s="10"/>
      <c r="H821" s="10"/>
      <c r="I821" s="11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7"/>
      <c r="B822" s="7"/>
      <c r="C822" s="5"/>
      <c r="D822" s="8"/>
      <c r="E822" s="9"/>
      <c r="F822" s="9"/>
      <c r="G822" s="10"/>
      <c r="H822" s="10"/>
      <c r="I822" s="11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7"/>
      <c r="B823" s="7"/>
      <c r="C823" s="5"/>
      <c r="D823" s="8"/>
      <c r="E823" s="9"/>
      <c r="F823" s="9"/>
      <c r="G823" s="10"/>
      <c r="H823" s="10"/>
      <c r="I823" s="11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7"/>
      <c r="B824" s="7"/>
      <c r="C824" s="5"/>
      <c r="D824" s="8"/>
      <c r="E824" s="9"/>
      <c r="F824" s="9"/>
      <c r="G824" s="10"/>
      <c r="H824" s="10"/>
      <c r="I824" s="11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7"/>
      <c r="B825" s="7"/>
      <c r="C825" s="5"/>
      <c r="D825" s="8"/>
      <c r="E825" s="9"/>
      <c r="F825" s="9"/>
      <c r="G825" s="10"/>
      <c r="H825" s="10"/>
      <c r="I825" s="11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7"/>
      <c r="B826" s="7"/>
      <c r="C826" s="5"/>
      <c r="D826" s="8"/>
      <c r="E826" s="9"/>
      <c r="F826" s="9"/>
      <c r="G826" s="10"/>
      <c r="H826" s="10"/>
      <c r="I826" s="11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7"/>
      <c r="B827" s="7"/>
      <c r="C827" s="5"/>
      <c r="D827" s="8"/>
      <c r="E827" s="9"/>
      <c r="F827" s="9"/>
      <c r="G827" s="10"/>
      <c r="H827" s="10"/>
      <c r="I827" s="11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7"/>
      <c r="B828" s="7"/>
      <c r="C828" s="5"/>
      <c r="D828" s="8"/>
      <c r="E828" s="9"/>
      <c r="F828" s="9"/>
      <c r="G828" s="10"/>
      <c r="H828" s="10"/>
      <c r="I828" s="11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7"/>
      <c r="B829" s="7"/>
      <c r="C829" s="5"/>
      <c r="D829" s="8"/>
      <c r="E829" s="9"/>
      <c r="F829" s="9"/>
      <c r="G829" s="10"/>
      <c r="H829" s="10"/>
      <c r="I829" s="11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7"/>
      <c r="B830" s="7"/>
      <c r="C830" s="5"/>
      <c r="D830" s="8"/>
      <c r="E830" s="9"/>
      <c r="F830" s="9"/>
      <c r="G830" s="10"/>
      <c r="H830" s="10"/>
      <c r="I830" s="11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7"/>
      <c r="B831" s="7"/>
      <c r="C831" s="5"/>
      <c r="D831" s="8"/>
      <c r="E831" s="9"/>
      <c r="F831" s="9"/>
      <c r="G831" s="10"/>
      <c r="H831" s="10"/>
      <c r="I831" s="11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7"/>
      <c r="B832" s="7"/>
      <c r="C832" s="5"/>
      <c r="D832" s="8"/>
      <c r="E832" s="9"/>
      <c r="F832" s="9"/>
      <c r="G832" s="10"/>
      <c r="H832" s="10"/>
      <c r="I832" s="11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7"/>
      <c r="B833" s="7"/>
      <c r="C833" s="5"/>
      <c r="D833" s="8"/>
      <c r="E833" s="9"/>
      <c r="F833" s="9"/>
      <c r="G833" s="10"/>
      <c r="H833" s="10"/>
      <c r="I833" s="11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7"/>
      <c r="B834" s="7"/>
      <c r="C834" s="5"/>
      <c r="D834" s="8"/>
      <c r="E834" s="9"/>
      <c r="F834" s="9"/>
      <c r="G834" s="10"/>
      <c r="H834" s="10"/>
      <c r="I834" s="11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7"/>
      <c r="B835" s="7"/>
      <c r="C835" s="5"/>
      <c r="D835" s="8"/>
      <c r="E835" s="9"/>
      <c r="F835" s="9"/>
      <c r="G835" s="10"/>
      <c r="H835" s="10"/>
      <c r="I835" s="11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7"/>
      <c r="B836" s="7"/>
      <c r="C836" s="5"/>
      <c r="D836" s="8"/>
      <c r="E836" s="9"/>
      <c r="F836" s="9"/>
      <c r="G836" s="10"/>
      <c r="H836" s="10"/>
      <c r="I836" s="11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7"/>
      <c r="B837" s="7"/>
      <c r="C837" s="5"/>
      <c r="D837" s="8"/>
      <c r="E837" s="9"/>
      <c r="F837" s="9"/>
      <c r="G837" s="10"/>
      <c r="H837" s="10"/>
      <c r="I837" s="11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7"/>
      <c r="B838" s="7"/>
      <c r="C838" s="5"/>
      <c r="D838" s="8"/>
      <c r="E838" s="9"/>
      <c r="F838" s="9"/>
      <c r="G838" s="10"/>
      <c r="H838" s="10"/>
      <c r="I838" s="11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7"/>
      <c r="B839" s="7"/>
      <c r="C839" s="5"/>
      <c r="D839" s="8"/>
      <c r="E839" s="9"/>
      <c r="F839" s="9"/>
      <c r="G839" s="10"/>
      <c r="H839" s="10"/>
      <c r="I839" s="11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7"/>
      <c r="B840" s="7"/>
      <c r="C840" s="5"/>
      <c r="D840" s="8"/>
      <c r="E840" s="9"/>
      <c r="F840" s="9"/>
      <c r="G840" s="10"/>
      <c r="H840" s="10"/>
      <c r="I840" s="11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7"/>
      <c r="B841" s="7"/>
      <c r="C841" s="5"/>
      <c r="D841" s="8"/>
      <c r="E841" s="9"/>
      <c r="F841" s="9"/>
      <c r="G841" s="10"/>
      <c r="H841" s="10"/>
      <c r="I841" s="11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7"/>
      <c r="B842" s="7"/>
      <c r="C842" s="5"/>
      <c r="D842" s="8"/>
      <c r="E842" s="9"/>
      <c r="F842" s="9"/>
      <c r="G842" s="10"/>
      <c r="H842" s="10"/>
      <c r="I842" s="11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7"/>
      <c r="B843" s="7"/>
      <c r="C843" s="5"/>
      <c r="D843" s="8"/>
      <c r="E843" s="9"/>
      <c r="F843" s="9"/>
      <c r="G843" s="10"/>
      <c r="H843" s="10"/>
      <c r="I843" s="11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7"/>
      <c r="B844" s="7"/>
      <c r="C844" s="5"/>
      <c r="D844" s="8"/>
      <c r="E844" s="9"/>
      <c r="F844" s="9"/>
      <c r="G844" s="10"/>
      <c r="H844" s="10"/>
      <c r="I844" s="11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7"/>
      <c r="B845" s="7"/>
      <c r="C845" s="5"/>
      <c r="D845" s="8"/>
      <c r="E845" s="9"/>
      <c r="F845" s="9"/>
      <c r="G845" s="10"/>
      <c r="H845" s="10"/>
      <c r="I845" s="11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7"/>
      <c r="B846" s="7"/>
      <c r="C846" s="5"/>
      <c r="D846" s="8"/>
      <c r="E846" s="9"/>
      <c r="F846" s="9"/>
      <c r="G846" s="10"/>
      <c r="H846" s="10"/>
      <c r="I846" s="11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7"/>
      <c r="B847" s="7"/>
      <c r="C847" s="5"/>
      <c r="D847" s="8"/>
      <c r="E847" s="9"/>
      <c r="F847" s="9"/>
      <c r="G847" s="10"/>
      <c r="H847" s="10"/>
      <c r="I847" s="11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7"/>
      <c r="B848" s="7"/>
      <c r="C848" s="5"/>
      <c r="D848" s="8"/>
      <c r="E848" s="9"/>
      <c r="F848" s="9"/>
      <c r="G848" s="10"/>
      <c r="H848" s="10"/>
      <c r="I848" s="11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7"/>
      <c r="B849" s="7"/>
      <c r="C849" s="5"/>
      <c r="D849" s="8"/>
      <c r="E849" s="9"/>
      <c r="F849" s="9"/>
      <c r="G849" s="10"/>
      <c r="H849" s="10"/>
      <c r="I849" s="11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7"/>
      <c r="B850" s="7"/>
      <c r="C850" s="5"/>
      <c r="D850" s="8"/>
      <c r="E850" s="9"/>
      <c r="F850" s="9"/>
      <c r="G850" s="10"/>
      <c r="H850" s="10"/>
      <c r="I850" s="11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7"/>
      <c r="B851" s="7"/>
      <c r="C851" s="5"/>
      <c r="D851" s="8"/>
      <c r="E851" s="9"/>
      <c r="F851" s="9"/>
      <c r="G851" s="10"/>
      <c r="H851" s="10"/>
      <c r="I851" s="11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7"/>
      <c r="B852" s="7"/>
      <c r="C852" s="5"/>
      <c r="D852" s="8"/>
      <c r="E852" s="9"/>
      <c r="F852" s="9"/>
      <c r="G852" s="10"/>
      <c r="H852" s="10"/>
      <c r="I852" s="11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7"/>
      <c r="B853" s="7"/>
      <c r="C853" s="5"/>
      <c r="D853" s="8"/>
      <c r="E853" s="9"/>
      <c r="F853" s="9"/>
      <c r="G853" s="10"/>
      <c r="H853" s="10"/>
      <c r="I853" s="11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7"/>
      <c r="B854" s="7"/>
      <c r="C854" s="5"/>
      <c r="D854" s="8"/>
      <c r="E854" s="9"/>
      <c r="F854" s="9"/>
      <c r="G854" s="10"/>
      <c r="H854" s="10"/>
      <c r="I854" s="11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7"/>
      <c r="B855" s="7"/>
      <c r="C855" s="5"/>
      <c r="D855" s="8"/>
      <c r="E855" s="9"/>
      <c r="F855" s="9"/>
      <c r="G855" s="10"/>
      <c r="H855" s="10"/>
      <c r="I855" s="11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7"/>
      <c r="B856" s="7"/>
      <c r="C856" s="5"/>
      <c r="D856" s="8"/>
      <c r="E856" s="9"/>
      <c r="F856" s="9"/>
      <c r="G856" s="10"/>
      <c r="H856" s="10"/>
      <c r="I856" s="11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7"/>
      <c r="B857" s="7"/>
      <c r="C857" s="5"/>
      <c r="D857" s="8"/>
      <c r="E857" s="9"/>
      <c r="F857" s="9"/>
      <c r="G857" s="10"/>
      <c r="H857" s="10"/>
      <c r="I857" s="11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7"/>
      <c r="B858" s="7"/>
      <c r="C858" s="5"/>
      <c r="D858" s="8"/>
      <c r="E858" s="9"/>
      <c r="F858" s="9"/>
      <c r="G858" s="10"/>
      <c r="H858" s="10"/>
      <c r="I858" s="11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7"/>
      <c r="B859" s="7"/>
      <c r="C859" s="5"/>
      <c r="D859" s="8"/>
      <c r="E859" s="9"/>
      <c r="F859" s="9"/>
      <c r="G859" s="10"/>
      <c r="H859" s="10"/>
      <c r="I859" s="11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7"/>
      <c r="B860" s="7"/>
      <c r="C860" s="5"/>
      <c r="D860" s="8"/>
      <c r="E860" s="9"/>
      <c r="F860" s="9"/>
      <c r="G860" s="10"/>
      <c r="H860" s="10"/>
      <c r="I860" s="11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7"/>
      <c r="B861" s="7"/>
      <c r="C861" s="5"/>
      <c r="D861" s="8"/>
      <c r="E861" s="9"/>
      <c r="F861" s="9"/>
      <c r="G861" s="10"/>
      <c r="H861" s="10"/>
      <c r="I861" s="11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7"/>
      <c r="B862" s="7"/>
      <c r="C862" s="5"/>
      <c r="D862" s="8"/>
      <c r="E862" s="9"/>
      <c r="F862" s="9"/>
      <c r="G862" s="10"/>
      <c r="H862" s="10"/>
      <c r="I862" s="11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7"/>
      <c r="B863" s="7"/>
      <c r="C863" s="5"/>
      <c r="D863" s="8"/>
      <c r="E863" s="9"/>
      <c r="F863" s="9"/>
      <c r="G863" s="10"/>
      <c r="H863" s="10"/>
      <c r="I863" s="11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7"/>
      <c r="B864" s="7"/>
      <c r="C864" s="5"/>
      <c r="D864" s="8"/>
      <c r="E864" s="9"/>
      <c r="F864" s="9"/>
      <c r="G864" s="10"/>
      <c r="H864" s="10"/>
      <c r="I864" s="11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7"/>
      <c r="B865" s="7"/>
      <c r="C865" s="5"/>
      <c r="D865" s="8"/>
      <c r="E865" s="9"/>
      <c r="F865" s="9"/>
      <c r="G865" s="10"/>
      <c r="H865" s="10"/>
      <c r="I865" s="11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7"/>
      <c r="B866" s="7"/>
      <c r="C866" s="5"/>
      <c r="D866" s="8"/>
      <c r="E866" s="9"/>
      <c r="F866" s="9"/>
      <c r="G866" s="10"/>
      <c r="H866" s="10"/>
      <c r="I866" s="11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7"/>
      <c r="B867" s="7"/>
      <c r="C867" s="5"/>
      <c r="D867" s="8"/>
      <c r="E867" s="9"/>
      <c r="F867" s="9"/>
      <c r="G867" s="10"/>
      <c r="H867" s="10"/>
      <c r="I867" s="11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7"/>
      <c r="B868" s="7"/>
      <c r="C868" s="5"/>
      <c r="D868" s="8"/>
      <c r="E868" s="9"/>
      <c r="F868" s="9"/>
      <c r="G868" s="10"/>
      <c r="H868" s="10"/>
      <c r="I868" s="11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7"/>
      <c r="B869" s="7"/>
      <c r="C869" s="5"/>
      <c r="D869" s="8"/>
      <c r="E869" s="9"/>
      <c r="F869" s="9"/>
      <c r="G869" s="10"/>
      <c r="H869" s="10"/>
      <c r="I869" s="11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7"/>
      <c r="B870" s="7"/>
      <c r="C870" s="5"/>
      <c r="D870" s="8"/>
      <c r="E870" s="9"/>
      <c r="F870" s="9"/>
      <c r="G870" s="10"/>
      <c r="H870" s="10"/>
      <c r="I870" s="11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7"/>
      <c r="B871" s="7"/>
      <c r="C871" s="5"/>
      <c r="D871" s="8"/>
      <c r="E871" s="9"/>
      <c r="F871" s="9"/>
      <c r="G871" s="10"/>
      <c r="H871" s="10"/>
      <c r="I871" s="11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7"/>
      <c r="B872" s="7"/>
      <c r="C872" s="5"/>
      <c r="D872" s="8"/>
      <c r="E872" s="9"/>
      <c r="F872" s="9"/>
      <c r="G872" s="10"/>
      <c r="H872" s="10"/>
      <c r="I872" s="11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7"/>
      <c r="B873" s="7"/>
      <c r="C873" s="5"/>
      <c r="D873" s="8"/>
      <c r="E873" s="9"/>
      <c r="F873" s="9"/>
      <c r="G873" s="10"/>
      <c r="H873" s="10"/>
      <c r="I873" s="11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7"/>
      <c r="B874" s="7"/>
      <c r="C874" s="5"/>
      <c r="D874" s="8"/>
      <c r="E874" s="9"/>
      <c r="F874" s="9"/>
      <c r="G874" s="10"/>
      <c r="H874" s="10"/>
      <c r="I874" s="11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7"/>
      <c r="B875" s="7"/>
      <c r="C875" s="5"/>
      <c r="D875" s="8"/>
      <c r="E875" s="9"/>
      <c r="F875" s="9"/>
      <c r="G875" s="10"/>
      <c r="H875" s="10"/>
      <c r="I875" s="11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7"/>
      <c r="B876" s="7"/>
      <c r="C876" s="5"/>
      <c r="D876" s="8"/>
      <c r="E876" s="9"/>
      <c r="F876" s="9"/>
      <c r="G876" s="10"/>
      <c r="H876" s="10"/>
      <c r="I876" s="11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7"/>
      <c r="B877" s="7"/>
      <c r="C877" s="5"/>
      <c r="D877" s="8"/>
      <c r="E877" s="9"/>
      <c r="F877" s="9"/>
      <c r="G877" s="10"/>
      <c r="H877" s="10"/>
      <c r="I877" s="11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7"/>
      <c r="B878" s="7"/>
      <c r="C878" s="5"/>
      <c r="D878" s="8"/>
      <c r="E878" s="9"/>
      <c r="F878" s="9"/>
      <c r="G878" s="10"/>
      <c r="H878" s="10"/>
      <c r="I878" s="11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7"/>
      <c r="B879" s="7"/>
      <c r="C879" s="5"/>
      <c r="D879" s="8"/>
      <c r="E879" s="9"/>
      <c r="F879" s="9"/>
      <c r="G879" s="10"/>
      <c r="H879" s="10"/>
      <c r="I879" s="11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7"/>
      <c r="B880" s="7"/>
      <c r="C880" s="5"/>
      <c r="D880" s="8"/>
      <c r="E880" s="9"/>
      <c r="F880" s="9"/>
      <c r="G880" s="10"/>
      <c r="H880" s="10"/>
      <c r="I880" s="11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7"/>
      <c r="B881" s="7"/>
      <c r="C881" s="5"/>
      <c r="D881" s="8"/>
      <c r="E881" s="9"/>
      <c r="F881" s="9"/>
      <c r="G881" s="10"/>
      <c r="H881" s="10"/>
      <c r="I881" s="11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7"/>
      <c r="B882" s="7"/>
      <c r="C882" s="5"/>
      <c r="D882" s="8"/>
      <c r="E882" s="9"/>
      <c r="F882" s="9"/>
      <c r="G882" s="10"/>
      <c r="H882" s="10"/>
      <c r="I882" s="11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7"/>
      <c r="B883" s="7"/>
      <c r="C883" s="5"/>
      <c r="D883" s="8"/>
      <c r="E883" s="9"/>
      <c r="F883" s="9"/>
      <c r="G883" s="10"/>
      <c r="H883" s="10"/>
      <c r="I883" s="11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7"/>
      <c r="B884" s="7"/>
      <c r="C884" s="5"/>
      <c r="D884" s="8"/>
      <c r="E884" s="9"/>
      <c r="F884" s="9"/>
      <c r="G884" s="10"/>
      <c r="H884" s="10"/>
      <c r="I884" s="11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7"/>
      <c r="B885" s="7"/>
      <c r="C885" s="5"/>
      <c r="D885" s="8"/>
      <c r="E885" s="9"/>
      <c r="F885" s="9"/>
      <c r="G885" s="10"/>
      <c r="H885" s="10"/>
      <c r="I885" s="11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7"/>
      <c r="B886" s="7"/>
      <c r="C886" s="5"/>
      <c r="D886" s="8"/>
      <c r="E886" s="9"/>
      <c r="F886" s="9"/>
      <c r="G886" s="10"/>
      <c r="H886" s="10"/>
      <c r="I886" s="11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7"/>
      <c r="B887" s="7"/>
      <c r="C887" s="5"/>
      <c r="D887" s="8"/>
      <c r="E887" s="9"/>
      <c r="F887" s="9"/>
      <c r="G887" s="10"/>
      <c r="H887" s="10"/>
      <c r="I887" s="11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7"/>
      <c r="B888" s="7"/>
      <c r="C888" s="5"/>
      <c r="D888" s="8"/>
      <c r="E888" s="9"/>
      <c r="F888" s="9"/>
      <c r="G888" s="10"/>
      <c r="H888" s="10"/>
      <c r="I888" s="11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7"/>
      <c r="B889" s="7"/>
      <c r="C889" s="5"/>
      <c r="D889" s="8"/>
      <c r="E889" s="9"/>
      <c r="F889" s="9"/>
      <c r="G889" s="10"/>
      <c r="H889" s="10"/>
      <c r="I889" s="11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7"/>
      <c r="B890" s="7"/>
      <c r="C890" s="5"/>
      <c r="D890" s="8"/>
      <c r="E890" s="9"/>
      <c r="F890" s="9"/>
      <c r="G890" s="10"/>
      <c r="H890" s="10"/>
      <c r="I890" s="11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7"/>
      <c r="B891" s="7"/>
      <c r="C891" s="5"/>
      <c r="D891" s="8"/>
      <c r="E891" s="9"/>
      <c r="F891" s="9"/>
      <c r="G891" s="10"/>
      <c r="H891" s="10"/>
      <c r="I891" s="11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7"/>
      <c r="B892" s="7"/>
      <c r="C892" s="5"/>
      <c r="D892" s="8"/>
      <c r="E892" s="9"/>
      <c r="F892" s="9"/>
      <c r="G892" s="10"/>
      <c r="H892" s="10"/>
      <c r="I892" s="11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7"/>
      <c r="B893" s="7"/>
      <c r="C893" s="5"/>
      <c r="D893" s="8"/>
      <c r="E893" s="9"/>
      <c r="F893" s="9"/>
      <c r="G893" s="10"/>
      <c r="H893" s="10"/>
      <c r="I893" s="11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7"/>
      <c r="B894" s="7"/>
      <c r="C894" s="5"/>
      <c r="D894" s="8"/>
      <c r="E894" s="9"/>
      <c r="F894" s="9"/>
      <c r="G894" s="10"/>
      <c r="H894" s="10"/>
      <c r="I894" s="11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7"/>
      <c r="B895" s="7"/>
      <c r="C895" s="5"/>
      <c r="D895" s="8"/>
      <c r="E895" s="9"/>
      <c r="F895" s="9"/>
      <c r="G895" s="10"/>
      <c r="H895" s="10"/>
      <c r="I895" s="11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7"/>
      <c r="B896" s="7"/>
      <c r="C896" s="5"/>
      <c r="D896" s="8"/>
      <c r="E896" s="9"/>
      <c r="F896" s="9"/>
      <c r="G896" s="10"/>
      <c r="H896" s="10"/>
      <c r="I896" s="11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7"/>
      <c r="B897" s="7"/>
      <c r="C897" s="5"/>
      <c r="D897" s="8"/>
      <c r="E897" s="9"/>
      <c r="F897" s="9"/>
      <c r="G897" s="10"/>
      <c r="H897" s="10"/>
      <c r="I897" s="11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7"/>
      <c r="B898" s="7"/>
      <c r="C898" s="5"/>
      <c r="D898" s="8"/>
      <c r="E898" s="9"/>
      <c r="F898" s="9"/>
      <c r="G898" s="10"/>
      <c r="H898" s="10"/>
      <c r="I898" s="11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7"/>
      <c r="B899" s="7"/>
      <c r="C899" s="5"/>
      <c r="D899" s="8"/>
      <c r="E899" s="9"/>
      <c r="F899" s="9"/>
      <c r="G899" s="10"/>
      <c r="H899" s="10"/>
      <c r="I899" s="11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7"/>
      <c r="B900" s="7"/>
      <c r="C900" s="5"/>
      <c r="D900" s="8"/>
      <c r="E900" s="9"/>
      <c r="F900" s="9"/>
      <c r="G900" s="10"/>
      <c r="H900" s="10"/>
      <c r="I900" s="11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7"/>
      <c r="B901" s="7"/>
      <c r="C901" s="5"/>
      <c r="D901" s="8"/>
      <c r="E901" s="9"/>
      <c r="F901" s="9"/>
      <c r="G901" s="10"/>
      <c r="H901" s="10"/>
      <c r="I901" s="11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7"/>
      <c r="B902" s="7"/>
      <c r="C902" s="5"/>
      <c r="D902" s="8"/>
      <c r="E902" s="9"/>
      <c r="F902" s="9"/>
      <c r="G902" s="10"/>
      <c r="H902" s="10"/>
      <c r="I902" s="11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7"/>
      <c r="B903" s="7"/>
      <c r="C903" s="5"/>
      <c r="D903" s="8"/>
      <c r="E903" s="9"/>
      <c r="F903" s="9"/>
      <c r="G903" s="10"/>
      <c r="H903" s="10"/>
      <c r="I903" s="11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7"/>
      <c r="B904" s="7"/>
      <c r="C904" s="5"/>
      <c r="D904" s="8"/>
      <c r="E904" s="9"/>
      <c r="F904" s="9"/>
      <c r="G904" s="10"/>
      <c r="H904" s="10"/>
      <c r="I904" s="11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7"/>
      <c r="B905" s="7"/>
      <c r="C905" s="5"/>
      <c r="D905" s="8"/>
      <c r="E905" s="9"/>
      <c r="F905" s="9"/>
      <c r="G905" s="10"/>
      <c r="H905" s="10"/>
      <c r="I905" s="11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7"/>
      <c r="B906" s="7"/>
      <c r="C906" s="5"/>
      <c r="D906" s="8"/>
      <c r="E906" s="9"/>
      <c r="F906" s="9"/>
      <c r="G906" s="10"/>
      <c r="H906" s="10"/>
      <c r="I906" s="11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7"/>
      <c r="B907" s="7"/>
      <c r="C907" s="5"/>
      <c r="D907" s="8"/>
      <c r="E907" s="9"/>
      <c r="F907" s="9"/>
      <c r="G907" s="10"/>
      <c r="H907" s="10"/>
      <c r="I907" s="11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7"/>
      <c r="B908" s="7"/>
      <c r="C908" s="5"/>
      <c r="D908" s="8"/>
      <c r="E908" s="9"/>
      <c r="F908" s="9"/>
      <c r="G908" s="10"/>
      <c r="H908" s="10"/>
      <c r="I908" s="11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7"/>
      <c r="B909" s="7"/>
      <c r="C909" s="5"/>
      <c r="D909" s="8"/>
      <c r="E909" s="9"/>
      <c r="F909" s="9"/>
      <c r="G909" s="10"/>
      <c r="H909" s="10"/>
      <c r="I909" s="11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7"/>
      <c r="B910" s="7"/>
      <c r="C910" s="5"/>
      <c r="D910" s="8"/>
      <c r="E910" s="9"/>
      <c r="F910" s="9"/>
      <c r="G910" s="10"/>
      <c r="H910" s="10"/>
      <c r="I910" s="11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7"/>
      <c r="B911" s="7"/>
      <c r="C911" s="5"/>
      <c r="D911" s="8"/>
      <c r="E911" s="9"/>
      <c r="F911" s="9"/>
      <c r="G911" s="10"/>
      <c r="H911" s="10"/>
      <c r="I911" s="11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7"/>
      <c r="B912" s="7"/>
      <c r="C912" s="5"/>
      <c r="D912" s="8"/>
      <c r="E912" s="9"/>
      <c r="F912" s="9"/>
      <c r="G912" s="10"/>
      <c r="H912" s="10"/>
      <c r="I912" s="11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7"/>
      <c r="B913" s="7"/>
      <c r="C913" s="5"/>
      <c r="D913" s="8"/>
      <c r="E913" s="9"/>
      <c r="F913" s="9"/>
      <c r="G913" s="10"/>
      <c r="H913" s="10"/>
      <c r="I913" s="11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7"/>
      <c r="B914" s="7"/>
      <c r="C914" s="5"/>
      <c r="D914" s="8"/>
      <c r="E914" s="9"/>
      <c r="F914" s="9"/>
      <c r="G914" s="10"/>
      <c r="H914" s="10"/>
      <c r="I914" s="11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7"/>
      <c r="B915" s="7"/>
      <c r="C915" s="5"/>
      <c r="D915" s="8"/>
      <c r="E915" s="9"/>
      <c r="F915" s="9"/>
      <c r="G915" s="10"/>
      <c r="H915" s="10"/>
      <c r="I915" s="11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7"/>
      <c r="B916" s="7"/>
      <c r="C916" s="5"/>
      <c r="D916" s="8"/>
      <c r="E916" s="9"/>
      <c r="F916" s="9"/>
      <c r="G916" s="10"/>
      <c r="H916" s="10"/>
      <c r="I916" s="11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7"/>
      <c r="B917" s="7"/>
      <c r="C917" s="5"/>
      <c r="D917" s="8"/>
      <c r="E917" s="9"/>
      <c r="F917" s="9"/>
      <c r="G917" s="10"/>
      <c r="H917" s="10"/>
      <c r="I917" s="11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7"/>
      <c r="B918" s="7"/>
      <c r="C918" s="5"/>
      <c r="D918" s="8"/>
      <c r="E918" s="9"/>
      <c r="F918" s="9"/>
      <c r="G918" s="10"/>
      <c r="H918" s="10"/>
      <c r="I918" s="11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7"/>
      <c r="B919" s="7"/>
      <c r="C919" s="5"/>
      <c r="D919" s="8"/>
      <c r="E919" s="9"/>
      <c r="F919" s="9"/>
      <c r="G919" s="10"/>
      <c r="H919" s="10"/>
      <c r="I919" s="11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7"/>
      <c r="B920" s="7"/>
      <c r="C920" s="5"/>
      <c r="D920" s="8"/>
      <c r="E920" s="9"/>
      <c r="F920" s="9"/>
      <c r="G920" s="10"/>
      <c r="H920" s="10"/>
      <c r="I920" s="11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7"/>
      <c r="B921" s="7"/>
      <c r="C921" s="5"/>
      <c r="D921" s="8"/>
      <c r="E921" s="9"/>
      <c r="F921" s="9"/>
      <c r="G921" s="10"/>
      <c r="H921" s="10"/>
      <c r="I921" s="11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7"/>
      <c r="B922" s="7"/>
      <c r="C922" s="5"/>
      <c r="D922" s="8"/>
      <c r="E922" s="9"/>
      <c r="F922" s="9"/>
      <c r="G922" s="10"/>
      <c r="H922" s="10"/>
      <c r="I922" s="11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7"/>
      <c r="B923" s="7"/>
      <c r="C923" s="5"/>
      <c r="D923" s="8"/>
      <c r="E923" s="9"/>
      <c r="F923" s="9"/>
      <c r="G923" s="10"/>
      <c r="H923" s="10"/>
      <c r="I923" s="11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7"/>
      <c r="B924" s="7"/>
      <c r="C924" s="5"/>
      <c r="D924" s="8"/>
      <c r="E924" s="9"/>
      <c r="F924" s="9"/>
      <c r="G924" s="10"/>
      <c r="H924" s="10"/>
      <c r="I924" s="11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7"/>
      <c r="B925" s="7"/>
      <c r="C925" s="5"/>
      <c r="D925" s="8"/>
      <c r="E925" s="9"/>
      <c r="F925" s="9"/>
      <c r="G925" s="10"/>
      <c r="H925" s="10"/>
      <c r="I925" s="11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7"/>
      <c r="B926" s="7"/>
      <c r="C926" s="5"/>
      <c r="D926" s="8"/>
      <c r="E926" s="9"/>
      <c r="F926" s="9"/>
      <c r="G926" s="10"/>
      <c r="H926" s="10"/>
      <c r="I926" s="11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7"/>
      <c r="B927" s="7"/>
      <c r="C927" s="5"/>
      <c r="D927" s="8"/>
      <c r="E927" s="9"/>
      <c r="F927" s="9"/>
      <c r="G927" s="10"/>
      <c r="H927" s="10"/>
      <c r="I927" s="11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7"/>
      <c r="B928" s="7"/>
      <c r="C928" s="5"/>
      <c r="D928" s="8"/>
      <c r="E928" s="9"/>
      <c r="F928" s="9"/>
      <c r="G928" s="10"/>
      <c r="H928" s="10"/>
      <c r="I928" s="11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7"/>
      <c r="B929" s="7"/>
      <c r="C929" s="5"/>
      <c r="D929" s="8"/>
      <c r="E929" s="9"/>
      <c r="F929" s="9"/>
      <c r="G929" s="10"/>
      <c r="H929" s="10"/>
      <c r="I929" s="11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7"/>
      <c r="B930" s="7"/>
      <c r="C930" s="5"/>
      <c r="D930" s="8"/>
      <c r="E930" s="9"/>
      <c r="F930" s="9"/>
      <c r="G930" s="10"/>
      <c r="H930" s="10"/>
      <c r="I930" s="11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7"/>
      <c r="B931" s="7"/>
      <c r="C931" s="5"/>
      <c r="D931" s="8"/>
      <c r="E931" s="9"/>
      <c r="F931" s="9"/>
      <c r="G931" s="10"/>
      <c r="H931" s="10"/>
      <c r="I931" s="11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7"/>
      <c r="B932" s="7"/>
      <c r="C932" s="5"/>
      <c r="D932" s="8"/>
      <c r="E932" s="9"/>
      <c r="F932" s="9"/>
      <c r="G932" s="10"/>
      <c r="H932" s="10"/>
      <c r="I932" s="11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7"/>
      <c r="B933" s="7"/>
      <c r="C933" s="5"/>
      <c r="D933" s="8"/>
      <c r="E933" s="9"/>
      <c r="F933" s="9"/>
      <c r="G933" s="10"/>
      <c r="H933" s="10"/>
      <c r="I933" s="11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7"/>
      <c r="B934" s="7"/>
      <c r="C934" s="5"/>
      <c r="D934" s="8"/>
      <c r="E934" s="9"/>
      <c r="F934" s="9"/>
      <c r="G934" s="10"/>
      <c r="H934" s="10"/>
      <c r="I934" s="11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7"/>
      <c r="B935" s="7"/>
      <c r="C935" s="5"/>
      <c r="D935" s="8"/>
      <c r="E935" s="9"/>
      <c r="F935" s="9"/>
      <c r="G935" s="10"/>
      <c r="H935" s="10"/>
      <c r="I935" s="11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7"/>
      <c r="B936" s="7"/>
      <c r="C936" s="5"/>
      <c r="D936" s="8"/>
      <c r="E936" s="9"/>
      <c r="F936" s="9"/>
      <c r="G936" s="10"/>
      <c r="H936" s="10"/>
      <c r="I936" s="11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7"/>
      <c r="B937" s="7"/>
      <c r="C937" s="5"/>
      <c r="D937" s="8"/>
      <c r="E937" s="9"/>
      <c r="F937" s="9"/>
      <c r="G937" s="10"/>
      <c r="H937" s="10"/>
      <c r="I937" s="11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7"/>
      <c r="B938" s="7"/>
      <c r="C938" s="5"/>
      <c r="D938" s="8"/>
      <c r="E938" s="9"/>
      <c r="F938" s="9"/>
      <c r="G938" s="10"/>
      <c r="H938" s="10"/>
      <c r="I938" s="11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7"/>
      <c r="B939" s="7"/>
      <c r="C939" s="5"/>
      <c r="D939" s="8"/>
      <c r="E939" s="9"/>
      <c r="F939" s="9"/>
      <c r="G939" s="10"/>
      <c r="H939" s="10"/>
      <c r="I939" s="11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7"/>
      <c r="B940" s="7"/>
      <c r="C940" s="5"/>
      <c r="D940" s="8"/>
      <c r="E940" s="9"/>
      <c r="F940" s="9"/>
      <c r="G940" s="10"/>
      <c r="H940" s="10"/>
      <c r="I940" s="11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7"/>
      <c r="B941" s="7"/>
      <c r="C941" s="5"/>
      <c r="D941" s="8"/>
      <c r="E941" s="9"/>
      <c r="F941" s="9"/>
      <c r="G941" s="10"/>
      <c r="H941" s="10"/>
      <c r="I941" s="11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7"/>
      <c r="B942" s="7"/>
      <c r="C942" s="5"/>
      <c r="D942" s="8"/>
      <c r="E942" s="9"/>
      <c r="F942" s="9"/>
      <c r="G942" s="10"/>
      <c r="H942" s="10"/>
      <c r="I942" s="11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7"/>
      <c r="B943" s="7"/>
      <c r="C943" s="5"/>
      <c r="D943" s="8"/>
      <c r="E943" s="9"/>
      <c r="F943" s="9"/>
      <c r="G943" s="10"/>
      <c r="H943" s="10"/>
      <c r="I943" s="11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7"/>
      <c r="B944" s="7"/>
      <c r="C944" s="5"/>
      <c r="D944" s="8"/>
      <c r="E944" s="9"/>
      <c r="F944" s="9"/>
      <c r="G944" s="10"/>
      <c r="H944" s="10"/>
      <c r="I944" s="11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7"/>
      <c r="B945" s="7"/>
      <c r="C945" s="5"/>
      <c r="D945" s="8"/>
      <c r="E945" s="9"/>
      <c r="F945" s="9"/>
      <c r="G945" s="10"/>
      <c r="H945" s="10"/>
      <c r="I945" s="11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7"/>
      <c r="B946" s="7"/>
      <c r="C946" s="5"/>
      <c r="D946" s="8"/>
      <c r="E946" s="9"/>
      <c r="F946" s="9"/>
      <c r="G946" s="10"/>
      <c r="H946" s="10"/>
      <c r="I946" s="11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7"/>
      <c r="B947" s="7"/>
      <c r="C947" s="5"/>
      <c r="D947" s="8"/>
      <c r="E947" s="9"/>
      <c r="F947" s="9"/>
      <c r="G947" s="10"/>
      <c r="H947" s="10"/>
      <c r="I947" s="11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7"/>
      <c r="B948" s="7"/>
      <c r="C948" s="5"/>
      <c r="D948" s="8"/>
      <c r="E948" s="9"/>
      <c r="F948" s="9"/>
      <c r="G948" s="10"/>
      <c r="H948" s="10"/>
      <c r="I948" s="11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7"/>
      <c r="B949" s="7"/>
      <c r="C949" s="5"/>
      <c r="D949" s="8"/>
      <c r="E949" s="9"/>
      <c r="F949" s="9"/>
      <c r="G949" s="10"/>
      <c r="H949" s="10"/>
      <c r="I949" s="11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7"/>
      <c r="B950" s="7"/>
      <c r="C950" s="5"/>
      <c r="D950" s="8"/>
      <c r="E950" s="9"/>
      <c r="F950" s="9"/>
      <c r="G950" s="10"/>
      <c r="H950" s="10"/>
      <c r="I950" s="11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7"/>
      <c r="B951" s="7"/>
      <c r="C951" s="5"/>
      <c r="D951" s="8"/>
      <c r="E951" s="9"/>
      <c r="F951" s="9"/>
      <c r="G951" s="10"/>
      <c r="H951" s="10"/>
      <c r="I951" s="11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7"/>
      <c r="B952" s="7"/>
      <c r="C952" s="5"/>
      <c r="D952" s="8"/>
      <c r="E952" s="9"/>
      <c r="F952" s="9"/>
      <c r="G952" s="10"/>
      <c r="H952" s="10"/>
      <c r="I952" s="11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7"/>
      <c r="B953" s="7"/>
      <c r="C953" s="5"/>
      <c r="D953" s="8"/>
      <c r="E953" s="9"/>
      <c r="F953" s="9"/>
      <c r="G953" s="10"/>
      <c r="H953" s="10"/>
      <c r="I953" s="11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7"/>
      <c r="B954" s="7"/>
      <c r="C954" s="5"/>
      <c r="D954" s="8"/>
      <c r="E954" s="9"/>
      <c r="F954" s="9"/>
      <c r="G954" s="10"/>
      <c r="H954" s="10"/>
      <c r="I954" s="11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7"/>
      <c r="B955" s="7"/>
      <c r="C955" s="5"/>
      <c r="D955" s="8"/>
      <c r="E955" s="9"/>
      <c r="F955" s="9"/>
      <c r="G955" s="10"/>
      <c r="H955" s="10"/>
      <c r="I955" s="11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7"/>
      <c r="B956" s="7"/>
      <c r="C956" s="5"/>
      <c r="D956" s="8"/>
      <c r="E956" s="9"/>
      <c r="F956" s="9"/>
      <c r="G956" s="10"/>
      <c r="H956" s="10"/>
      <c r="I956" s="11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7"/>
      <c r="B957" s="7"/>
      <c r="C957" s="5"/>
      <c r="D957" s="8"/>
      <c r="E957" s="9"/>
      <c r="F957" s="9"/>
      <c r="G957" s="10"/>
      <c r="H957" s="10"/>
      <c r="I957" s="11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7"/>
      <c r="B958" s="7"/>
      <c r="C958" s="5"/>
      <c r="D958" s="8"/>
      <c r="E958" s="9"/>
      <c r="F958" s="9"/>
      <c r="G958" s="10"/>
      <c r="H958" s="10"/>
      <c r="I958" s="11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7"/>
      <c r="B959" s="7"/>
      <c r="C959" s="5"/>
      <c r="D959" s="8"/>
      <c r="E959" s="9"/>
      <c r="F959" s="9"/>
      <c r="G959" s="10"/>
      <c r="H959" s="10"/>
      <c r="I959" s="11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7"/>
      <c r="B960" s="7"/>
      <c r="C960" s="5"/>
      <c r="D960" s="8"/>
      <c r="E960" s="9"/>
      <c r="F960" s="9"/>
      <c r="G960" s="10"/>
      <c r="H960" s="10"/>
      <c r="I960" s="11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7"/>
      <c r="B961" s="7"/>
      <c r="C961" s="5"/>
      <c r="D961" s="8"/>
      <c r="E961" s="9"/>
      <c r="F961" s="9"/>
      <c r="G961" s="10"/>
      <c r="H961" s="10"/>
      <c r="I961" s="11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7"/>
      <c r="B962" s="7"/>
      <c r="C962" s="5"/>
      <c r="D962" s="8"/>
      <c r="E962" s="9"/>
      <c r="F962" s="9"/>
      <c r="G962" s="10"/>
      <c r="H962" s="10"/>
      <c r="I962" s="11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7"/>
      <c r="B963" s="7"/>
      <c r="C963" s="5"/>
      <c r="D963" s="8"/>
      <c r="E963" s="9"/>
      <c r="F963" s="9"/>
      <c r="G963" s="10"/>
      <c r="H963" s="10"/>
      <c r="I963" s="11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7"/>
      <c r="B964" s="7"/>
      <c r="C964" s="5"/>
      <c r="D964" s="8"/>
      <c r="E964" s="9"/>
      <c r="F964" s="9"/>
      <c r="G964" s="10"/>
      <c r="H964" s="10"/>
      <c r="I964" s="11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7"/>
      <c r="B965" s="7"/>
      <c r="C965" s="5"/>
      <c r="D965" s="8"/>
      <c r="E965" s="9"/>
      <c r="F965" s="9"/>
      <c r="G965" s="10"/>
      <c r="H965" s="10"/>
      <c r="I965" s="11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7"/>
      <c r="B966" s="7"/>
      <c r="C966" s="5"/>
      <c r="D966" s="8"/>
      <c r="E966" s="9"/>
      <c r="F966" s="9"/>
      <c r="G966" s="10"/>
      <c r="H966" s="10"/>
      <c r="I966" s="11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7"/>
      <c r="B967" s="7"/>
      <c r="C967" s="5"/>
      <c r="D967" s="8"/>
      <c r="E967" s="9"/>
      <c r="F967" s="9"/>
      <c r="G967" s="10"/>
      <c r="H967" s="10"/>
      <c r="I967" s="11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7"/>
      <c r="B968" s="7"/>
      <c r="C968" s="5"/>
      <c r="D968" s="8"/>
      <c r="E968" s="9"/>
      <c r="F968" s="9"/>
      <c r="G968" s="10"/>
      <c r="H968" s="10"/>
      <c r="I968" s="11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7"/>
      <c r="B969" s="7"/>
      <c r="C969" s="5"/>
      <c r="D969" s="8"/>
      <c r="E969" s="9"/>
      <c r="F969" s="9"/>
      <c r="G969" s="10"/>
      <c r="H969" s="10"/>
      <c r="I969" s="11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7"/>
      <c r="B970" s="7"/>
      <c r="C970" s="5"/>
      <c r="D970" s="8"/>
      <c r="E970" s="9"/>
      <c r="F970" s="9"/>
      <c r="G970" s="10"/>
      <c r="H970" s="10"/>
      <c r="I970" s="11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7"/>
      <c r="B971" s="7"/>
      <c r="C971" s="5"/>
      <c r="D971" s="8"/>
      <c r="E971" s="9"/>
      <c r="F971" s="9"/>
      <c r="G971" s="10"/>
      <c r="H971" s="10"/>
      <c r="I971" s="11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7"/>
      <c r="B972" s="7"/>
      <c r="C972" s="5"/>
      <c r="D972" s="8"/>
      <c r="E972" s="9"/>
      <c r="F972" s="9"/>
      <c r="G972" s="10"/>
      <c r="H972" s="10"/>
      <c r="I972" s="11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7"/>
      <c r="B973" s="7"/>
      <c r="C973" s="5"/>
      <c r="D973" s="8"/>
      <c r="E973" s="9"/>
      <c r="F973" s="9"/>
      <c r="G973" s="10"/>
      <c r="H973" s="10"/>
      <c r="I973" s="11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7"/>
      <c r="B974" s="7"/>
      <c r="C974" s="5"/>
      <c r="D974" s="8"/>
      <c r="E974" s="9"/>
      <c r="F974" s="9"/>
      <c r="G974" s="10"/>
      <c r="H974" s="10"/>
      <c r="I974" s="11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7"/>
      <c r="B975" s="7"/>
      <c r="C975" s="5"/>
      <c r="D975" s="8"/>
      <c r="E975" s="9"/>
      <c r="F975" s="9"/>
      <c r="G975" s="10"/>
      <c r="H975" s="10"/>
      <c r="I975" s="11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7"/>
      <c r="B976" s="7"/>
      <c r="C976" s="5"/>
      <c r="D976" s="8"/>
      <c r="E976" s="9"/>
      <c r="F976" s="9"/>
      <c r="G976" s="10"/>
      <c r="H976" s="10"/>
      <c r="I976" s="11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7"/>
      <c r="B977" s="7"/>
      <c r="C977" s="5"/>
      <c r="D977" s="8"/>
      <c r="E977" s="9"/>
      <c r="F977" s="9"/>
      <c r="G977" s="10"/>
      <c r="H977" s="10"/>
      <c r="I977" s="11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7"/>
      <c r="B978" s="7"/>
      <c r="C978" s="5"/>
      <c r="D978" s="8"/>
      <c r="E978" s="9"/>
      <c r="F978" s="9"/>
      <c r="G978" s="10"/>
      <c r="H978" s="10"/>
      <c r="I978" s="11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7"/>
      <c r="B979" s="7"/>
      <c r="C979" s="5"/>
      <c r="D979" s="8"/>
      <c r="E979" s="9"/>
      <c r="F979" s="9"/>
      <c r="G979" s="10"/>
      <c r="H979" s="10"/>
      <c r="I979" s="11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7"/>
      <c r="B980" s="7"/>
      <c r="C980" s="5"/>
      <c r="D980" s="8"/>
      <c r="E980" s="9"/>
      <c r="F980" s="9"/>
      <c r="G980" s="10"/>
      <c r="H980" s="10"/>
      <c r="I980" s="11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7"/>
      <c r="B981" s="7"/>
      <c r="C981" s="5"/>
      <c r="D981" s="8"/>
      <c r="E981" s="9"/>
      <c r="F981" s="9"/>
      <c r="G981" s="10"/>
      <c r="H981" s="10"/>
      <c r="I981" s="11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7"/>
      <c r="B982" s="7"/>
      <c r="C982" s="5"/>
      <c r="D982" s="8"/>
      <c r="E982" s="9"/>
      <c r="F982" s="9"/>
      <c r="G982" s="10"/>
      <c r="H982" s="10"/>
      <c r="I982" s="11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7"/>
      <c r="B983" s="7"/>
      <c r="C983" s="5"/>
      <c r="D983" s="8"/>
      <c r="E983" s="9"/>
      <c r="F983" s="9"/>
      <c r="G983" s="10"/>
      <c r="H983" s="10"/>
      <c r="I983" s="11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7"/>
      <c r="B984" s="7"/>
      <c r="C984" s="5"/>
      <c r="D984" s="8"/>
      <c r="E984" s="9"/>
      <c r="F984" s="9"/>
      <c r="G984" s="10"/>
      <c r="H984" s="10"/>
      <c r="I984" s="11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7"/>
      <c r="B985" s="7"/>
      <c r="C985" s="5"/>
      <c r="D985" s="8"/>
      <c r="E985" s="9"/>
      <c r="F985" s="9"/>
      <c r="G985" s="10"/>
      <c r="H985" s="10"/>
      <c r="I985" s="11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7"/>
      <c r="B986" s="7"/>
      <c r="C986" s="5"/>
      <c r="D986" s="8"/>
      <c r="E986" s="9"/>
      <c r="F986" s="9"/>
      <c r="G986" s="10"/>
      <c r="H986" s="10"/>
      <c r="I986" s="11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7"/>
      <c r="B987" s="7"/>
      <c r="C987" s="5"/>
      <c r="D987" s="8"/>
      <c r="E987" s="9"/>
      <c r="F987" s="9"/>
      <c r="G987" s="10"/>
      <c r="H987" s="10"/>
      <c r="I987" s="11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7"/>
      <c r="B988" s="7"/>
      <c r="C988" s="5"/>
      <c r="D988" s="8"/>
      <c r="E988" s="9"/>
      <c r="F988" s="9"/>
      <c r="G988" s="10"/>
      <c r="H988" s="10"/>
      <c r="I988" s="11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7"/>
      <c r="B989" s="7"/>
      <c r="C989" s="5"/>
      <c r="D989" s="8"/>
      <c r="E989" s="9"/>
      <c r="F989" s="9"/>
      <c r="G989" s="10"/>
      <c r="H989" s="10"/>
      <c r="I989" s="11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7"/>
      <c r="B990" s="7"/>
      <c r="C990" s="5"/>
      <c r="D990" s="8"/>
      <c r="E990" s="9"/>
      <c r="F990" s="9"/>
      <c r="G990" s="10"/>
      <c r="H990" s="10"/>
      <c r="I990" s="11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7"/>
      <c r="B991" s="7"/>
      <c r="C991" s="5"/>
      <c r="D991" s="8"/>
      <c r="E991" s="9"/>
      <c r="F991" s="9"/>
      <c r="G991" s="10"/>
      <c r="H991" s="10"/>
      <c r="I991" s="11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7"/>
      <c r="B992" s="7"/>
      <c r="C992" s="5"/>
      <c r="D992" s="8"/>
      <c r="E992" s="9"/>
      <c r="F992" s="9"/>
      <c r="G992" s="10"/>
      <c r="H992" s="10"/>
      <c r="I992" s="11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7"/>
      <c r="B993" s="7"/>
      <c r="C993" s="5"/>
      <c r="D993" s="8"/>
      <c r="E993" s="9"/>
      <c r="F993" s="9"/>
      <c r="G993" s="10"/>
      <c r="H993" s="10"/>
      <c r="I993" s="11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7"/>
      <c r="B994" s="7"/>
      <c r="C994" s="5"/>
      <c r="D994" s="8"/>
      <c r="E994" s="9"/>
      <c r="F994" s="9"/>
      <c r="G994" s="10"/>
      <c r="H994" s="10"/>
      <c r="I994" s="11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7"/>
      <c r="B995" s="7"/>
      <c r="C995" s="5"/>
      <c r="D995" s="8"/>
      <c r="E995" s="9"/>
      <c r="F995" s="9"/>
      <c r="G995" s="10"/>
      <c r="H995" s="10"/>
      <c r="I995" s="11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7"/>
      <c r="B996" s="7"/>
      <c r="C996" s="5"/>
      <c r="D996" s="8"/>
      <c r="E996" s="9"/>
      <c r="F996" s="9"/>
      <c r="G996" s="10"/>
      <c r="H996" s="10"/>
      <c r="I996" s="11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7"/>
      <c r="B997" s="7"/>
      <c r="C997" s="5"/>
      <c r="D997" s="8"/>
      <c r="E997" s="9"/>
      <c r="F997" s="9"/>
      <c r="G997" s="10"/>
      <c r="H997" s="10"/>
      <c r="I997" s="11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7"/>
      <c r="B998" s="7"/>
      <c r="C998" s="5"/>
      <c r="D998" s="8"/>
      <c r="E998" s="9"/>
      <c r="F998" s="9"/>
      <c r="G998" s="10"/>
      <c r="H998" s="10"/>
      <c r="I998" s="11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7"/>
      <c r="B999" s="7"/>
      <c r="C999" s="5"/>
      <c r="D999" s="8"/>
      <c r="E999" s="9"/>
      <c r="F999" s="9"/>
      <c r="G999" s="10"/>
      <c r="H999" s="10"/>
      <c r="I999" s="11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7"/>
      <c r="B1000" s="7"/>
      <c r="C1000" s="5"/>
      <c r="D1000" s="8"/>
      <c r="E1000" s="9"/>
      <c r="F1000" s="9"/>
      <c r="G1000" s="10"/>
      <c r="H1000" s="10"/>
      <c r="I1000" s="11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6:$I$29">
    <sortState ref="A6:I29">
      <sortCondition descending="1" ref="F6:F29"/>
    </sortState>
  </autoFilter>
  <mergeCells count="8">
    <mergeCell ref="A1:I1"/>
    <mergeCell ref="A2:I2"/>
    <mergeCell ref="A5:I5"/>
    <mergeCell ref="A7:I7"/>
    <mergeCell ref="A39:D39"/>
    <mergeCell ref="A40:I40"/>
    <mergeCell ref="A52:D52"/>
    <mergeCell ref="A53:D53"/>
  </mergeCells>
  <conditionalFormatting sqref="G28">
    <cfRule type="notContainsBlanks" dxfId="0" priority="1">
      <formula>LEN(TRIM(G28))&gt;0</formula>
    </cfRule>
  </conditionalFormatting>
  <printOptions/>
  <pageMargins bottom="0.75" footer="0.0" header="0.0" left="0.2" right="0.2" top="0.75"/>
  <pageSetup orientation="portrait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4.71"/>
    <col customWidth="1" min="2" max="2" width="23.29"/>
    <col customWidth="1" min="3" max="3" width="9.86"/>
    <col customWidth="1" min="4" max="4" width="4.71"/>
    <col customWidth="1" min="5" max="8" width="11.29"/>
    <col customWidth="1" min="9" max="9" width="15.14"/>
    <col customWidth="1" min="10" max="12" width="9.14"/>
    <col customWidth="1" min="13" max="26" width="8.71"/>
  </cols>
  <sheetData>
    <row r="1" ht="16.5" customHeight="1">
      <c r="A1" s="2" t="s">
        <v>0</v>
      </c>
      <c r="B1" s="3"/>
      <c r="C1" s="3"/>
      <c r="D1" s="3"/>
      <c r="E1" s="3"/>
      <c r="F1" s="3"/>
      <c r="G1" s="3"/>
      <c r="H1" s="3"/>
      <c r="I1" s="4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6" t="s">
        <v>2</v>
      </c>
      <c r="B2" s="3"/>
      <c r="C2" s="3"/>
      <c r="D2" s="3"/>
      <c r="E2" s="3"/>
      <c r="F2" s="3"/>
      <c r="G2" s="3"/>
      <c r="H2" s="3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7"/>
      <c r="B3" s="7"/>
      <c r="C3" s="5"/>
      <c r="D3" s="8"/>
      <c r="E3" s="9"/>
      <c r="F3" s="9"/>
      <c r="G3" s="10"/>
      <c r="H3" s="10"/>
      <c r="I3" s="11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7"/>
      <c r="B4" s="7"/>
      <c r="C4" s="5"/>
      <c r="D4" s="8"/>
      <c r="E4" s="9"/>
      <c r="F4" s="9"/>
      <c r="G4" s="10"/>
      <c r="H4" s="10"/>
      <c r="I4" s="11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9.0" customHeight="1">
      <c r="A5" s="128"/>
      <c r="B5" s="129"/>
      <c r="C5" s="129"/>
      <c r="D5" s="129"/>
      <c r="E5" s="129"/>
      <c r="F5" s="129"/>
      <c r="G5" s="129"/>
      <c r="H5" s="129"/>
      <c r="I5" s="131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134" t="s">
        <v>3</v>
      </c>
      <c r="B6" s="134" t="s">
        <v>4</v>
      </c>
      <c r="C6" s="135" t="s">
        <v>5</v>
      </c>
      <c r="D6" s="134" t="s">
        <v>6</v>
      </c>
      <c r="E6" s="135" t="s">
        <v>7</v>
      </c>
      <c r="F6" s="135" t="s">
        <v>9</v>
      </c>
      <c r="G6" s="135" t="s">
        <v>10</v>
      </c>
      <c r="H6" s="135" t="s">
        <v>11</v>
      </c>
      <c r="I6" s="134" t="s">
        <v>12</v>
      </c>
      <c r="J6" s="19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6.5" customHeight="1">
      <c r="A7" s="137" t="s">
        <v>14</v>
      </c>
      <c r="B7" s="35" t="s">
        <v>15</v>
      </c>
      <c r="C7" s="36">
        <v>45791.0</v>
      </c>
      <c r="D7" s="34">
        <v>31.0</v>
      </c>
      <c r="E7" s="38">
        <f>145000+55000</f>
        <v>200000</v>
      </c>
      <c r="F7" s="39">
        <f>E7/31*D7</f>
        <v>200000</v>
      </c>
      <c r="G7" s="40">
        <f>30000+70000+100000</f>
        <v>200000</v>
      </c>
      <c r="H7" s="41">
        <f t="shared" ref="H7:H58" si="1">F7-G7</f>
        <v>0</v>
      </c>
      <c r="I7" s="34" t="s">
        <v>17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6.5" customHeight="1">
      <c r="A8" s="137" t="s">
        <v>18</v>
      </c>
      <c r="B8" s="55" t="s">
        <v>114</v>
      </c>
      <c r="C8" s="36">
        <v>44774.0</v>
      </c>
      <c r="D8" s="34">
        <v>31.0</v>
      </c>
      <c r="E8" s="38">
        <v>110000.0</v>
      </c>
      <c r="F8" s="52">
        <f>E8/31*D8-150</f>
        <v>109850</v>
      </c>
      <c r="G8" s="40"/>
      <c r="H8" s="54">
        <f t="shared" si="1"/>
        <v>109850</v>
      </c>
      <c r="I8" s="145" t="s">
        <v>24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137" t="s">
        <v>22</v>
      </c>
      <c r="B9" s="35" t="s">
        <v>23</v>
      </c>
      <c r="C9" s="36">
        <v>45787.0</v>
      </c>
      <c r="D9" s="34">
        <v>31.0</v>
      </c>
      <c r="E9" s="38">
        <v>75000.0</v>
      </c>
      <c r="F9" s="39">
        <f>E9/31*D9-200</f>
        <v>74800</v>
      </c>
      <c r="G9" s="40">
        <f>74800</f>
        <v>74800</v>
      </c>
      <c r="H9" s="41">
        <f t="shared" si="1"/>
        <v>0</v>
      </c>
      <c r="I9" s="145" t="s">
        <v>24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6.5" customHeight="1">
      <c r="A10" s="137" t="s">
        <v>25</v>
      </c>
      <c r="B10" s="35" t="s">
        <v>26</v>
      </c>
      <c r="C10" s="36">
        <v>44251.0</v>
      </c>
      <c r="D10" s="34">
        <v>31.0</v>
      </c>
      <c r="E10" s="38">
        <v>75000.0</v>
      </c>
      <c r="F10" s="39">
        <f>E10/31*D10-200-417</f>
        <v>74383</v>
      </c>
      <c r="G10" s="40">
        <v>74383.0</v>
      </c>
      <c r="H10" s="41">
        <f t="shared" si="1"/>
        <v>0</v>
      </c>
      <c r="I10" s="14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6.5" customHeight="1">
      <c r="A11" s="137" t="s">
        <v>27</v>
      </c>
      <c r="B11" s="35" t="s">
        <v>28</v>
      </c>
      <c r="C11" s="36">
        <v>45792.0</v>
      </c>
      <c r="D11" s="34">
        <v>31.0</v>
      </c>
      <c r="E11" s="38">
        <v>50000.0</v>
      </c>
      <c r="F11" s="39">
        <f>E11/31*D11-200</f>
        <v>49800</v>
      </c>
      <c r="G11" s="40">
        <v>49800.0</v>
      </c>
      <c r="H11" s="41">
        <f t="shared" si="1"/>
        <v>0</v>
      </c>
      <c r="I11" s="34" t="s">
        <v>32</v>
      </c>
      <c r="J11" s="5"/>
      <c r="K11" s="5"/>
      <c r="L11" s="51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6.5" customHeight="1">
      <c r="A12" s="137" t="s">
        <v>30</v>
      </c>
      <c r="B12" s="35" t="s">
        <v>39</v>
      </c>
      <c r="C12" s="36">
        <v>45200.0</v>
      </c>
      <c r="D12" s="34">
        <v>31.0</v>
      </c>
      <c r="E12" s="38">
        <v>50000.0</v>
      </c>
      <c r="F12" s="39">
        <f>E12/31*D12</f>
        <v>50000</v>
      </c>
      <c r="G12" s="40">
        <v>50000.0</v>
      </c>
      <c r="H12" s="41">
        <f t="shared" si="1"/>
        <v>0</v>
      </c>
      <c r="I12" s="34" t="s">
        <v>32</v>
      </c>
      <c r="J12" s="5"/>
      <c r="K12" s="5"/>
      <c r="L12" s="51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6.5" customHeight="1">
      <c r="A13" s="137" t="s">
        <v>34</v>
      </c>
      <c r="B13" s="155" t="s">
        <v>120</v>
      </c>
      <c r="C13" s="36">
        <v>45710.0</v>
      </c>
      <c r="D13" s="34">
        <f>31-1+1</f>
        <v>31</v>
      </c>
      <c r="E13" s="38">
        <v>50000.0</v>
      </c>
      <c r="F13" s="52">
        <f>E13/31*D13-200</f>
        <v>49800</v>
      </c>
      <c r="G13" s="40">
        <v>10000.0</v>
      </c>
      <c r="H13" s="54">
        <f t="shared" si="1"/>
        <v>39800</v>
      </c>
      <c r="I13" s="34" t="s">
        <v>40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6.5" customHeight="1">
      <c r="A14" s="137" t="s">
        <v>37</v>
      </c>
      <c r="B14" s="46" t="s">
        <v>33</v>
      </c>
      <c r="C14" s="36">
        <v>45871.0</v>
      </c>
      <c r="D14" s="34">
        <v>31.0</v>
      </c>
      <c r="E14" s="47">
        <v>50000.0</v>
      </c>
      <c r="F14" s="39">
        <f>E14/31*D14-150</f>
        <v>49850</v>
      </c>
      <c r="G14" s="40">
        <v>49850.0</v>
      </c>
      <c r="H14" s="41">
        <f t="shared" si="1"/>
        <v>0</v>
      </c>
      <c r="I14" s="34" t="s">
        <v>32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6.5" customHeight="1">
      <c r="A15" s="137" t="s">
        <v>41</v>
      </c>
      <c r="B15" s="35" t="s">
        <v>81</v>
      </c>
      <c r="C15" s="53">
        <v>45783.0</v>
      </c>
      <c r="D15" s="34">
        <v>31.0</v>
      </c>
      <c r="E15" s="38">
        <f>40000+10000+10000</f>
        <v>60000</v>
      </c>
      <c r="F15" s="39">
        <f>E15/31*D15</f>
        <v>60000</v>
      </c>
      <c r="G15" s="40">
        <f>5000+25000+10000+20000</f>
        <v>60000</v>
      </c>
      <c r="H15" s="41">
        <f t="shared" si="1"/>
        <v>0</v>
      </c>
      <c r="I15" s="34" t="s">
        <v>32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6.5" customHeight="1">
      <c r="A16" s="137" t="s">
        <v>44</v>
      </c>
      <c r="B16" s="49" t="s">
        <v>121</v>
      </c>
      <c r="C16" s="36">
        <v>45890.0</v>
      </c>
      <c r="D16" s="34">
        <f>31-2+2</f>
        <v>31</v>
      </c>
      <c r="E16" s="47">
        <v>30000.0</v>
      </c>
      <c r="F16" s="52">
        <f>E16/31*D16-100</f>
        <v>29900</v>
      </c>
      <c r="G16" s="40"/>
      <c r="H16" s="54">
        <f t="shared" si="1"/>
        <v>29900</v>
      </c>
      <c r="I16" s="158" t="s">
        <v>36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6.5" customHeight="1">
      <c r="A17" s="137" t="s">
        <v>47</v>
      </c>
      <c r="B17" s="46" t="s">
        <v>31</v>
      </c>
      <c r="C17" s="36">
        <v>45871.0</v>
      </c>
      <c r="D17" s="160">
        <v>31.0</v>
      </c>
      <c r="E17" s="47">
        <f>30000+30000</f>
        <v>60000</v>
      </c>
      <c r="F17" s="39">
        <f>E17/31*D17</f>
        <v>60000</v>
      </c>
      <c r="G17" s="40">
        <f>60000</f>
        <v>60000</v>
      </c>
      <c r="H17" s="41">
        <f t="shared" si="1"/>
        <v>0</v>
      </c>
      <c r="I17" s="34" t="s">
        <v>32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6.5" customHeight="1">
      <c r="A18" s="137" t="s">
        <v>49</v>
      </c>
      <c r="B18" s="49" t="s">
        <v>122</v>
      </c>
      <c r="C18" s="53">
        <v>45859.0</v>
      </c>
      <c r="D18" s="34">
        <f>31-1</f>
        <v>30</v>
      </c>
      <c r="E18" s="38">
        <v>25000.0</v>
      </c>
      <c r="F18" s="52">
        <f>E18/31*D18-150</f>
        <v>24043.54839</v>
      </c>
      <c r="G18" s="40"/>
      <c r="H18" s="54">
        <f t="shared" si="1"/>
        <v>24043.54839</v>
      </c>
      <c r="I18" s="34" t="s">
        <v>43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6.5" customHeight="1">
      <c r="A19" s="137" t="s">
        <v>51</v>
      </c>
      <c r="B19" s="46" t="s">
        <v>45</v>
      </c>
      <c r="C19" s="36">
        <v>45879.0</v>
      </c>
      <c r="D19" s="34">
        <v>31.0</v>
      </c>
      <c r="E19" s="47">
        <v>25000.0</v>
      </c>
      <c r="F19" s="39">
        <f t="shared" ref="F19:F21" si="2">E19/31*D19-200</f>
        <v>24800</v>
      </c>
      <c r="G19" s="40">
        <f>5000+19800</f>
        <v>24800</v>
      </c>
      <c r="H19" s="41">
        <f t="shared" si="1"/>
        <v>0</v>
      </c>
      <c r="I19" s="158" t="s">
        <v>36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6.5" customHeight="1">
      <c r="A20" s="137" t="s">
        <v>53</v>
      </c>
      <c r="B20" s="46" t="s">
        <v>35</v>
      </c>
      <c r="C20" s="36">
        <v>45886.0</v>
      </c>
      <c r="D20" s="34">
        <f>31-2</f>
        <v>29</v>
      </c>
      <c r="E20" s="47">
        <v>25000.0</v>
      </c>
      <c r="F20" s="39">
        <f t="shared" si="2"/>
        <v>23187.09677</v>
      </c>
      <c r="G20" s="40">
        <v>23187.0</v>
      </c>
      <c r="H20" s="41">
        <f t="shared" si="1"/>
        <v>0.09677419355</v>
      </c>
      <c r="I20" s="158" t="s">
        <v>36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6.5" customHeight="1">
      <c r="A21" s="137" t="s">
        <v>55</v>
      </c>
      <c r="B21" s="55" t="s">
        <v>123</v>
      </c>
      <c r="C21" s="53">
        <v>45840.0</v>
      </c>
      <c r="D21" s="34">
        <v>31.0</v>
      </c>
      <c r="E21" s="38">
        <v>22000.0</v>
      </c>
      <c r="F21" s="52">
        <f t="shared" si="2"/>
        <v>21800</v>
      </c>
      <c r="G21" s="40"/>
      <c r="H21" s="54">
        <f t="shared" si="1"/>
        <v>21800</v>
      </c>
      <c r="I21" s="34" t="s">
        <v>43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6.5" customHeight="1">
      <c r="A22" s="137" t="s">
        <v>60</v>
      </c>
      <c r="B22" s="50" t="s">
        <v>38</v>
      </c>
      <c r="C22" s="53">
        <v>45787.0</v>
      </c>
      <c r="D22" s="34">
        <v>31.0</v>
      </c>
      <c r="E22" s="38">
        <v>20000.0</v>
      </c>
      <c r="F22" s="39">
        <f>E22/31*D22-100</f>
        <v>19900</v>
      </c>
      <c r="G22" s="40">
        <f>10000+8000+1000+900</f>
        <v>19900</v>
      </c>
      <c r="H22" s="41">
        <f t="shared" si="1"/>
        <v>0</v>
      </c>
      <c r="I22" s="34" t="s">
        <v>43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6.5" customHeight="1">
      <c r="A23" s="137" t="s">
        <v>65</v>
      </c>
      <c r="B23" s="50" t="s">
        <v>42</v>
      </c>
      <c r="C23" s="53">
        <v>45823.0</v>
      </c>
      <c r="D23" s="34">
        <f>31-1+1</f>
        <v>31</v>
      </c>
      <c r="E23" s="38">
        <v>20000.0</v>
      </c>
      <c r="F23" s="39">
        <f>E23/31*D23-150</f>
        <v>19850</v>
      </c>
      <c r="G23" s="40">
        <f>5000+5000+9850</f>
        <v>19850</v>
      </c>
      <c r="H23" s="41">
        <f t="shared" si="1"/>
        <v>0</v>
      </c>
      <c r="I23" s="34" t="s">
        <v>43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6.5" customHeight="1">
      <c r="A24" s="137" t="s">
        <v>68</v>
      </c>
      <c r="B24" s="35" t="s">
        <v>46</v>
      </c>
      <c r="C24" s="56">
        <v>45846.0</v>
      </c>
      <c r="D24" s="160">
        <v>31.0</v>
      </c>
      <c r="E24" s="47">
        <v>35000.0</v>
      </c>
      <c r="F24" s="39">
        <f>E24/31*D24</f>
        <v>35000</v>
      </c>
      <c r="G24" s="40">
        <f>10000+25000</f>
        <v>35000</v>
      </c>
      <c r="H24" s="41">
        <f t="shared" si="1"/>
        <v>0</v>
      </c>
      <c r="I24" s="165" t="s">
        <v>40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6.5" customHeight="1">
      <c r="A25" s="137" t="s">
        <v>57</v>
      </c>
      <c r="B25" s="35" t="s">
        <v>59</v>
      </c>
      <c r="C25" s="36">
        <v>45871.0</v>
      </c>
      <c r="D25" s="34">
        <f>31-5+5</f>
        <v>31</v>
      </c>
      <c r="E25" s="47">
        <v>20000.0</v>
      </c>
      <c r="F25" s="39">
        <f>E25/31*D25-200</f>
        <v>19800</v>
      </c>
      <c r="G25" s="40">
        <f>2000+17800</f>
        <v>19800</v>
      </c>
      <c r="H25" s="41">
        <f t="shared" si="1"/>
        <v>0</v>
      </c>
      <c r="I25" s="158" t="s">
        <v>36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6.5" customHeight="1">
      <c r="A26" s="137" t="s">
        <v>62</v>
      </c>
      <c r="B26" s="46" t="s">
        <v>87</v>
      </c>
      <c r="C26" s="36">
        <v>45934.0</v>
      </c>
      <c r="D26" s="34">
        <v>31.0</v>
      </c>
      <c r="E26" s="47">
        <v>20000.0</v>
      </c>
      <c r="F26" s="39">
        <f t="shared" ref="F26:F27" si="3">E26/31*D26-150</f>
        <v>19850</v>
      </c>
      <c r="G26" s="40">
        <v>19850.0</v>
      </c>
      <c r="H26" s="41">
        <f t="shared" si="1"/>
        <v>0</v>
      </c>
      <c r="I26" s="34" t="s">
        <v>43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6.5" customHeight="1">
      <c r="A27" s="137" t="s">
        <v>64</v>
      </c>
      <c r="B27" s="55" t="s">
        <v>125</v>
      </c>
      <c r="C27" s="36">
        <v>45943.0</v>
      </c>
      <c r="D27" s="34">
        <f t="shared" ref="D27:D28" si="4">31-1</f>
        <v>30</v>
      </c>
      <c r="E27" s="47">
        <v>20000.0</v>
      </c>
      <c r="F27" s="52">
        <f t="shared" si="3"/>
        <v>19204.83871</v>
      </c>
      <c r="G27" s="40"/>
      <c r="H27" s="54">
        <f t="shared" si="1"/>
        <v>19204.83871</v>
      </c>
      <c r="I27" s="34" t="s">
        <v>43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6.5" customHeight="1">
      <c r="A28" s="137" t="s">
        <v>70</v>
      </c>
      <c r="B28" s="55" t="s">
        <v>127</v>
      </c>
      <c r="C28" s="36">
        <v>45971.0</v>
      </c>
      <c r="D28" s="34">
        <f t="shared" si="4"/>
        <v>30</v>
      </c>
      <c r="E28" s="47">
        <v>20000.0</v>
      </c>
      <c r="F28" s="52">
        <f>E28/31*D28-1</f>
        <v>19353.83871</v>
      </c>
      <c r="G28" s="40"/>
      <c r="H28" s="54">
        <f t="shared" si="1"/>
        <v>19353.83871</v>
      </c>
      <c r="I28" s="34" t="s">
        <v>43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6.5" customHeight="1">
      <c r="A29" s="137" t="s">
        <v>72</v>
      </c>
      <c r="B29" s="35" t="s">
        <v>128</v>
      </c>
      <c r="C29" s="36">
        <v>45971.0</v>
      </c>
      <c r="D29" s="34">
        <f>31-3+3</f>
        <v>31</v>
      </c>
      <c r="E29" s="47">
        <v>40000.0</v>
      </c>
      <c r="F29" s="39">
        <f>E29/31*D29</f>
        <v>40000</v>
      </c>
      <c r="G29" s="40">
        <f>4000+11000+25000</f>
        <v>40000</v>
      </c>
      <c r="H29" s="41">
        <f t="shared" si="1"/>
        <v>0</v>
      </c>
      <c r="I29" s="34" t="s">
        <v>129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6.5" customHeight="1">
      <c r="A30" s="137" t="s">
        <v>75</v>
      </c>
      <c r="B30" s="35" t="s">
        <v>48</v>
      </c>
      <c r="C30" s="36">
        <v>45972.0</v>
      </c>
      <c r="D30" s="34">
        <v>31.0</v>
      </c>
      <c r="E30" s="47">
        <v>35000.0</v>
      </c>
      <c r="F30" s="39">
        <f t="shared" ref="F30:F34" si="5">E30/31*D30-200</f>
        <v>34800</v>
      </c>
      <c r="G30" s="40">
        <f>5000+5000+2000+10000+12800</f>
        <v>34800</v>
      </c>
      <c r="H30" s="41">
        <f t="shared" si="1"/>
        <v>0</v>
      </c>
      <c r="I30" s="34" t="s">
        <v>40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6.5" customHeight="1">
      <c r="A31" s="137" t="s">
        <v>89</v>
      </c>
      <c r="B31" s="35" t="s">
        <v>50</v>
      </c>
      <c r="C31" s="36">
        <v>45972.0</v>
      </c>
      <c r="D31" s="34">
        <v>31.0</v>
      </c>
      <c r="E31" s="47">
        <v>20000.0</v>
      </c>
      <c r="F31" s="39">
        <f t="shared" si="5"/>
        <v>19800</v>
      </c>
      <c r="G31" s="40">
        <f>2000+2000+5000+10800</f>
        <v>19800</v>
      </c>
      <c r="H31" s="41">
        <f t="shared" si="1"/>
        <v>0</v>
      </c>
      <c r="I31" s="34" t="s">
        <v>43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6.5" customHeight="1">
      <c r="A32" s="137" t="s">
        <v>91</v>
      </c>
      <c r="B32" s="35" t="s">
        <v>52</v>
      </c>
      <c r="C32" s="36">
        <v>45997.0</v>
      </c>
      <c r="D32" s="34">
        <v>31.0</v>
      </c>
      <c r="E32" s="47">
        <v>20000.0</v>
      </c>
      <c r="F32" s="39">
        <f t="shared" si="5"/>
        <v>19800</v>
      </c>
      <c r="G32" s="40">
        <v>19800.0</v>
      </c>
      <c r="H32" s="41">
        <f t="shared" si="1"/>
        <v>0</v>
      </c>
      <c r="I32" s="34" t="s">
        <v>43</v>
      </c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6.5" customHeight="1">
      <c r="A33" s="137" t="s">
        <v>93</v>
      </c>
      <c r="B33" s="35" t="s">
        <v>77</v>
      </c>
      <c r="C33" s="36">
        <v>46023.0</v>
      </c>
      <c r="D33" s="34">
        <f>31-3</f>
        <v>28</v>
      </c>
      <c r="E33" s="47">
        <v>70000.0</v>
      </c>
      <c r="F33" s="39">
        <f t="shared" si="5"/>
        <v>63025.80645</v>
      </c>
      <c r="G33" s="40">
        <f>63026</f>
        <v>63026</v>
      </c>
      <c r="H33" s="41">
        <f t="shared" si="1"/>
        <v>-0.1935483871</v>
      </c>
      <c r="I33" s="34" t="s">
        <v>24</v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137" t="s">
        <v>97</v>
      </c>
      <c r="B34" s="55" t="s">
        <v>131</v>
      </c>
      <c r="C34" s="36">
        <v>46023.0</v>
      </c>
      <c r="D34" s="34">
        <f>31-2</f>
        <v>29</v>
      </c>
      <c r="E34" s="47">
        <v>20000.0</v>
      </c>
      <c r="F34" s="52">
        <f t="shared" si="5"/>
        <v>18509.67742</v>
      </c>
      <c r="G34" s="40"/>
      <c r="H34" s="54">
        <f t="shared" si="1"/>
        <v>18509.67742</v>
      </c>
      <c r="I34" s="34" t="s">
        <v>43</v>
      </c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137" t="s">
        <v>99</v>
      </c>
      <c r="B35" s="55" t="s">
        <v>86</v>
      </c>
      <c r="C35" s="36">
        <v>46023.0</v>
      </c>
      <c r="D35" s="34">
        <f>31-31</f>
        <v>0</v>
      </c>
      <c r="E35" s="47">
        <v>35000.0</v>
      </c>
      <c r="F35" s="52">
        <f>E35/31*D35</f>
        <v>0</v>
      </c>
      <c r="G35" s="40"/>
      <c r="H35" s="54">
        <f t="shared" si="1"/>
        <v>0</v>
      </c>
      <c r="I35" s="34" t="s">
        <v>40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137" t="s">
        <v>100</v>
      </c>
      <c r="B36" s="35" t="s">
        <v>54</v>
      </c>
      <c r="C36" s="36">
        <v>46023.0</v>
      </c>
      <c r="D36" s="34">
        <v>31.0</v>
      </c>
      <c r="E36" s="47">
        <v>50000.0</v>
      </c>
      <c r="F36" s="39">
        <f>E36/31*D36-150</f>
        <v>49850</v>
      </c>
      <c r="G36" s="40">
        <f>1000+14850+34000</f>
        <v>49850</v>
      </c>
      <c r="H36" s="41">
        <f t="shared" si="1"/>
        <v>0</v>
      </c>
      <c r="I36" s="34" t="s">
        <v>32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137" t="s">
        <v>101</v>
      </c>
      <c r="B37" s="35" t="s">
        <v>79</v>
      </c>
      <c r="C37" s="36">
        <v>46025.0</v>
      </c>
      <c r="D37" s="34">
        <f t="shared" ref="D37:D40" si="6">31-1</f>
        <v>30</v>
      </c>
      <c r="E37" s="47">
        <v>35000.0</v>
      </c>
      <c r="F37" s="39">
        <f>E37/31*D37-201</f>
        <v>33669.96774</v>
      </c>
      <c r="G37" s="40">
        <f>15000+18670</f>
        <v>33670</v>
      </c>
      <c r="H37" s="41">
        <f t="shared" si="1"/>
        <v>-0.03225806452</v>
      </c>
      <c r="I37" s="34" t="s">
        <v>40</v>
      </c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137" t="s">
        <v>104</v>
      </c>
      <c r="B38" s="35" t="s">
        <v>82</v>
      </c>
      <c r="C38" s="36">
        <v>46026.0</v>
      </c>
      <c r="D38" s="34">
        <f t="shared" si="6"/>
        <v>30</v>
      </c>
      <c r="E38" s="47">
        <v>20000.0</v>
      </c>
      <c r="F38" s="39">
        <f>E38/31*D38-150</f>
        <v>19204.83871</v>
      </c>
      <c r="G38" s="40">
        <v>19205.0</v>
      </c>
      <c r="H38" s="41">
        <f t="shared" si="1"/>
        <v>-0.1612903226</v>
      </c>
      <c r="I38" s="34" t="s">
        <v>43</v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6.5" customHeight="1">
      <c r="A39" s="137" t="s">
        <v>107</v>
      </c>
      <c r="B39" s="57" t="s">
        <v>133</v>
      </c>
      <c r="C39" s="56">
        <v>46032.0</v>
      </c>
      <c r="D39" s="34">
        <f t="shared" si="6"/>
        <v>30</v>
      </c>
      <c r="E39" s="47">
        <v>25000.0</v>
      </c>
      <c r="F39" s="39">
        <f>E39/31*D39-100</f>
        <v>24093.54839</v>
      </c>
      <c r="G39" s="40">
        <f>24094</f>
        <v>24094</v>
      </c>
      <c r="H39" s="41">
        <f t="shared" si="1"/>
        <v>-0.4516129032</v>
      </c>
      <c r="I39" s="158" t="s">
        <v>36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6.5" customHeight="1">
      <c r="A40" s="137" t="s">
        <v>108</v>
      </c>
      <c r="B40" s="50" t="s">
        <v>56</v>
      </c>
      <c r="C40" s="56">
        <v>46032.0</v>
      </c>
      <c r="D40" s="34">
        <f t="shared" si="6"/>
        <v>30</v>
      </c>
      <c r="E40" s="47">
        <v>25000.0</v>
      </c>
      <c r="F40" s="39">
        <f>E40/31*D40-200</f>
        <v>23993.54839</v>
      </c>
      <c r="G40" s="40">
        <f>3000+10000+10994</f>
        <v>23994</v>
      </c>
      <c r="H40" s="41">
        <f t="shared" si="1"/>
        <v>-0.4516129032</v>
      </c>
      <c r="I40" s="158" t="s">
        <v>36</v>
      </c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6.5" customHeight="1">
      <c r="A41" s="137" t="s">
        <v>135</v>
      </c>
      <c r="B41" s="35" t="s">
        <v>136</v>
      </c>
      <c r="C41" s="56">
        <v>46032.0</v>
      </c>
      <c r="D41" s="34">
        <f>31-2</f>
        <v>29</v>
      </c>
      <c r="E41" s="47">
        <v>25000.0</v>
      </c>
      <c r="F41" s="39">
        <f>E41/31*D41-150</f>
        <v>23237.09677</v>
      </c>
      <c r="G41" s="40">
        <f>23237</f>
        <v>23237</v>
      </c>
      <c r="H41" s="41">
        <f t="shared" si="1"/>
        <v>0.09677419355</v>
      </c>
      <c r="I41" s="158" t="s">
        <v>36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137" t="s">
        <v>137</v>
      </c>
      <c r="B42" s="35" t="s">
        <v>61</v>
      </c>
      <c r="C42" s="56">
        <v>46054.0</v>
      </c>
      <c r="D42" s="160">
        <v>31.0</v>
      </c>
      <c r="E42" s="47">
        <v>25000.0</v>
      </c>
      <c r="F42" s="39">
        <f>E42/31*D42-200</f>
        <v>24800</v>
      </c>
      <c r="G42" s="40">
        <f>2000+22800</f>
        <v>24800</v>
      </c>
      <c r="H42" s="41">
        <f t="shared" si="1"/>
        <v>0</v>
      </c>
      <c r="I42" s="158" t="s">
        <v>36</v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137" t="s">
        <v>138</v>
      </c>
      <c r="B43" s="55" t="s">
        <v>139</v>
      </c>
      <c r="C43" s="56">
        <v>45962.0</v>
      </c>
      <c r="D43" s="160">
        <v>31.0</v>
      </c>
      <c r="E43" s="47">
        <v>20000.0</v>
      </c>
      <c r="F43" s="52">
        <f>E43/31*D43-100</f>
        <v>19900</v>
      </c>
      <c r="G43" s="40"/>
      <c r="H43" s="54">
        <f t="shared" si="1"/>
        <v>19900</v>
      </c>
      <c r="I43" s="34" t="s">
        <v>43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137" t="s">
        <v>140</v>
      </c>
      <c r="B44" s="35" t="s">
        <v>132</v>
      </c>
      <c r="C44" s="56">
        <v>46054.0</v>
      </c>
      <c r="D44" s="160">
        <v>31.0</v>
      </c>
      <c r="E44" s="47">
        <v>60000.0</v>
      </c>
      <c r="F44" s="39">
        <f>E44/31*D44-150</f>
        <v>59850</v>
      </c>
      <c r="G44" s="40">
        <f>2000+25000+32850</f>
        <v>59850</v>
      </c>
      <c r="H44" s="41">
        <f t="shared" si="1"/>
        <v>0</v>
      </c>
      <c r="I44" s="158" t="s">
        <v>24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137" t="s">
        <v>142</v>
      </c>
      <c r="B45" s="55" t="s">
        <v>143</v>
      </c>
      <c r="C45" s="56">
        <v>46067.0</v>
      </c>
      <c r="D45" s="160">
        <v>31.0</v>
      </c>
      <c r="E45" s="47">
        <v>100000.0</v>
      </c>
      <c r="F45" s="52">
        <f>E45/31*D45-100</f>
        <v>99900</v>
      </c>
      <c r="G45" s="40"/>
      <c r="H45" s="54">
        <f t="shared" si="1"/>
        <v>99900</v>
      </c>
      <c r="I45" s="158" t="s">
        <v>74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137" t="s">
        <v>145</v>
      </c>
      <c r="B46" s="35" t="s">
        <v>146</v>
      </c>
      <c r="C46" s="56">
        <v>45839.0</v>
      </c>
      <c r="D46" s="160">
        <v>31.0</v>
      </c>
      <c r="E46" s="47">
        <v>20000.0</v>
      </c>
      <c r="F46" s="39">
        <f>E46/31*D46-50</f>
        <v>19950</v>
      </c>
      <c r="G46" s="40">
        <v>19950.0</v>
      </c>
      <c r="H46" s="41">
        <f t="shared" si="1"/>
        <v>0</v>
      </c>
      <c r="I46" s="165" t="s">
        <v>40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137" t="s">
        <v>147</v>
      </c>
      <c r="B47" s="35" t="s">
        <v>148</v>
      </c>
      <c r="C47" s="56">
        <v>45855.0</v>
      </c>
      <c r="D47" s="160">
        <v>31.0</v>
      </c>
      <c r="E47" s="47">
        <v>25000.0</v>
      </c>
      <c r="F47" s="39">
        <f>E47/31*D47</f>
        <v>25000</v>
      </c>
      <c r="G47" s="40">
        <v>25000.0</v>
      </c>
      <c r="H47" s="41">
        <f t="shared" si="1"/>
        <v>0</v>
      </c>
      <c r="I47" s="165" t="s">
        <v>36</v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137" t="s">
        <v>149</v>
      </c>
      <c r="B48" s="35" t="s">
        <v>150</v>
      </c>
      <c r="C48" s="56">
        <v>45839.0</v>
      </c>
      <c r="D48" s="160">
        <v>31.0</v>
      </c>
      <c r="E48" s="47">
        <v>20000.0</v>
      </c>
      <c r="F48" s="39">
        <f>E48/31*D48-150</f>
        <v>19850</v>
      </c>
      <c r="G48" s="40">
        <v>19850.0</v>
      </c>
      <c r="H48" s="41">
        <f t="shared" si="1"/>
        <v>0</v>
      </c>
      <c r="I48" s="165" t="s">
        <v>43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137" t="s">
        <v>151</v>
      </c>
      <c r="B49" s="35" t="s">
        <v>152</v>
      </c>
      <c r="C49" s="56">
        <v>45935.0</v>
      </c>
      <c r="D49" s="160">
        <v>31.0</v>
      </c>
      <c r="E49" s="47">
        <v>20000.0</v>
      </c>
      <c r="F49" s="39">
        <f>E49/31*D49-0</f>
        <v>20000</v>
      </c>
      <c r="G49" s="40">
        <v>20000.0</v>
      </c>
      <c r="H49" s="41">
        <f t="shared" si="1"/>
        <v>0</v>
      </c>
      <c r="I49" s="165" t="s">
        <v>43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137" t="s">
        <v>153</v>
      </c>
      <c r="B50" s="35" t="s">
        <v>83</v>
      </c>
      <c r="C50" s="56">
        <v>46054.0</v>
      </c>
      <c r="D50" s="160">
        <v>31.0</v>
      </c>
      <c r="E50" s="47">
        <v>110000.0</v>
      </c>
      <c r="F50" s="39">
        <f>E50/31*D50-90*2</f>
        <v>109820</v>
      </c>
      <c r="G50" s="40">
        <f>20000+20000+5000+24820+40000</f>
        <v>109820</v>
      </c>
      <c r="H50" s="41">
        <f t="shared" si="1"/>
        <v>0</v>
      </c>
      <c r="I50" s="165" t="s">
        <v>84</v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137" t="s">
        <v>154</v>
      </c>
      <c r="B51" s="35" t="s">
        <v>85</v>
      </c>
      <c r="C51" s="56">
        <v>46082.0</v>
      </c>
      <c r="D51" s="160">
        <v>31.0</v>
      </c>
      <c r="E51" s="38">
        <v>50000.0</v>
      </c>
      <c r="F51" s="39">
        <f>E51/31*D51-90</f>
        <v>49910</v>
      </c>
      <c r="G51" s="40">
        <f>7000+12910+30000</f>
        <v>49910</v>
      </c>
      <c r="H51" s="41">
        <f t="shared" si="1"/>
        <v>0</v>
      </c>
      <c r="I51" s="34" t="s">
        <v>32</v>
      </c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137" t="s">
        <v>155</v>
      </c>
      <c r="B52" s="87" t="s">
        <v>88</v>
      </c>
      <c r="C52" s="88">
        <v>46033.0</v>
      </c>
      <c r="D52" s="125">
        <v>31.0</v>
      </c>
      <c r="E52" s="90">
        <v>30000.0</v>
      </c>
      <c r="F52" s="39">
        <f t="shared" ref="F52:F56" si="7">E52/31*D52</f>
        <v>30000</v>
      </c>
      <c r="G52" s="40">
        <f>30000</f>
        <v>30000</v>
      </c>
      <c r="H52" s="41">
        <f t="shared" si="1"/>
        <v>0</v>
      </c>
      <c r="I52" s="165" t="s">
        <v>157</v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137" t="s">
        <v>156</v>
      </c>
      <c r="B53" s="87" t="s">
        <v>92</v>
      </c>
      <c r="C53" s="88">
        <v>45783.0</v>
      </c>
      <c r="D53" s="125">
        <v>31.0</v>
      </c>
      <c r="E53" s="90">
        <v>20000.0</v>
      </c>
      <c r="F53" s="39">
        <f t="shared" si="7"/>
        <v>20000</v>
      </c>
      <c r="G53" s="40">
        <v>20000.0</v>
      </c>
      <c r="H53" s="41">
        <f t="shared" si="1"/>
        <v>0</v>
      </c>
      <c r="I53" s="165" t="s">
        <v>95</v>
      </c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137" t="s">
        <v>158</v>
      </c>
      <c r="B54" s="87" t="s">
        <v>111</v>
      </c>
      <c r="C54" s="88">
        <v>45763.0</v>
      </c>
      <c r="D54" s="125">
        <v>31.0</v>
      </c>
      <c r="E54" s="90">
        <v>14000.0</v>
      </c>
      <c r="F54" s="39">
        <f t="shared" si="7"/>
        <v>14000</v>
      </c>
      <c r="G54" s="40">
        <v>14000.0</v>
      </c>
      <c r="H54" s="41">
        <f t="shared" si="1"/>
        <v>0</v>
      </c>
      <c r="I54" s="165" t="s">
        <v>102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137" t="s">
        <v>159</v>
      </c>
      <c r="B55" s="87" t="s">
        <v>105</v>
      </c>
      <c r="C55" s="88">
        <v>45773.0</v>
      </c>
      <c r="D55" s="125">
        <v>31.0</v>
      </c>
      <c r="E55" s="90">
        <v>12000.0</v>
      </c>
      <c r="F55" s="39">
        <f t="shared" si="7"/>
        <v>12000</v>
      </c>
      <c r="G55" s="40">
        <v>12000.0</v>
      </c>
      <c r="H55" s="41">
        <f t="shared" si="1"/>
        <v>0</v>
      </c>
      <c r="I55" s="158" t="s">
        <v>102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6.5" customHeight="1">
      <c r="A56" s="137" t="s">
        <v>162</v>
      </c>
      <c r="B56" s="87" t="s">
        <v>106</v>
      </c>
      <c r="C56" s="88">
        <v>44992.0</v>
      </c>
      <c r="D56" s="125">
        <v>31.0</v>
      </c>
      <c r="E56" s="90">
        <v>24000.0</v>
      </c>
      <c r="F56" s="39">
        <f t="shared" si="7"/>
        <v>24000</v>
      </c>
      <c r="G56" s="40">
        <v>24000.0</v>
      </c>
      <c r="H56" s="41">
        <f t="shared" si="1"/>
        <v>0</v>
      </c>
      <c r="I56" s="158" t="s">
        <v>109</v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6.5" customHeight="1">
      <c r="A57" s="34"/>
      <c r="B57" s="87"/>
      <c r="C57" s="88"/>
      <c r="D57" s="125"/>
      <c r="E57" s="90"/>
      <c r="F57" s="39"/>
      <c r="G57" s="40"/>
      <c r="H57" s="41">
        <f t="shared" si="1"/>
        <v>0</v>
      </c>
      <c r="I57" s="158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34">
        <v>51.0</v>
      </c>
      <c r="B58" s="55" t="s">
        <v>160</v>
      </c>
      <c r="C58" s="88">
        <v>46068.0</v>
      </c>
      <c r="D58" s="125">
        <v>31.0</v>
      </c>
      <c r="E58" s="90">
        <v>20000.0</v>
      </c>
      <c r="F58" s="52">
        <f>E58/31*D58</f>
        <v>20000</v>
      </c>
      <c r="G58" s="40"/>
      <c r="H58" s="54">
        <f t="shared" si="1"/>
        <v>20000</v>
      </c>
      <c r="I58" s="158" t="s">
        <v>161</v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192"/>
      <c r="B59" s="193"/>
      <c r="C59" s="194"/>
      <c r="D59" s="192"/>
      <c r="E59" s="195"/>
      <c r="F59" s="195"/>
      <c r="G59" s="196"/>
      <c r="H59" s="196"/>
      <c r="I59" s="197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24.75" customHeight="1">
      <c r="A60" s="198" t="s">
        <v>78</v>
      </c>
      <c r="B60" s="67"/>
      <c r="C60" s="199"/>
      <c r="D60" s="200"/>
      <c r="E60" s="201">
        <f>SUM(E7:E59)</f>
        <v>2052000</v>
      </c>
      <c r="F60" s="201">
        <f>SUM(F7:F59)-F13-F16-F18-F28-F34-F35-F45-F27-F39-F41</f>
        <v>1686094.258</v>
      </c>
      <c r="G60" s="201">
        <f>SUM(G7:G59)</f>
        <v>1571876</v>
      </c>
      <c r="H60" s="201">
        <f>SUM(H7:H59)-H8-H13-H16-H18-H21-H28-H34-H35-H45-H27-H39-H41-H43-H46-H48-H58</f>
        <v>-0.7419354839</v>
      </c>
      <c r="I60" s="202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120"/>
      <c r="B61" s="120"/>
      <c r="C61" s="121"/>
      <c r="D61" s="11"/>
      <c r="E61" s="122"/>
      <c r="F61" s="122"/>
      <c r="G61" s="123"/>
      <c r="H61" s="203"/>
      <c r="I61" s="11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120"/>
      <c r="B62" s="120"/>
      <c r="C62" s="121"/>
      <c r="D62" s="11"/>
      <c r="E62" s="122"/>
      <c r="F62" s="122"/>
      <c r="G62" s="123"/>
      <c r="H62" s="123"/>
      <c r="I62" s="11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120"/>
      <c r="B63" s="120"/>
      <c r="C63" s="121"/>
      <c r="D63" s="11"/>
      <c r="E63" s="122"/>
      <c r="F63" s="122"/>
      <c r="G63" s="123"/>
      <c r="H63" s="123"/>
      <c r="I63" s="11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120"/>
      <c r="B64" s="120"/>
      <c r="C64" s="121"/>
      <c r="D64" s="11"/>
      <c r="E64" s="122"/>
      <c r="F64" s="122"/>
      <c r="G64" s="123"/>
      <c r="H64" s="123"/>
      <c r="I64" s="11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120"/>
      <c r="B65" s="120"/>
      <c r="C65" s="121"/>
      <c r="D65" s="11"/>
      <c r="E65" s="122"/>
      <c r="F65" s="122"/>
      <c r="G65" s="123"/>
      <c r="H65" s="123"/>
      <c r="I65" s="11"/>
      <c r="J65" s="5"/>
      <c r="K65" s="5"/>
      <c r="L65" s="5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6.5" customHeight="1">
      <c r="A66" s="120"/>
      <c r="B66" s="120"/>
      <c r="C66" s="121"/>
      <c r="D66" s="11"/>
      <c r="E66" s="122"/>
      <c r="F66" s="122"/>
      <c r="G66" s="123"/>
      <c r="H66" s="123"/>
      <c r="I66" s="11"/>
      <c r="J66" s="5"/>
      <c r="K66" s="5"/>
      <c r="L66" s="5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6.5" customHeight="1">
      <c r="A67" s="120"/>
      <c r="B67" s="120"/>
      <c r="C67" s="121"/>
      <c r="D67" s="11"/>
      <c r="E67" s="122"/>
      <c r="F67" s="122"/>
      <c r="G67" s="123"/>
      <c r="H67" s="123"/>
      <c r="I67" s="11"/>
      <c r="J67" s="5"/>
      <c r="K67" s="5"/>
      <c r="L67" s="5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6.5" customHeight="1">
      <c r="A68" s="120"/>
      <c r="B68" s="120"/>
      <c r="C68" s="121"/>
      <c r="D68" s="11"/>
      <c r="E68" s="122"/>
      <c r="F68" s="122"/>
      <c r="G68" s="123"/>
      <c r="H68" s="123"/>
      <c r="I68" s="11"/>
      <c r="J68" s="5"/>
      <c r="K68" s="5"/>
      <c r="L68" s="5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6.5" customHeight="1">
      <c r="A69" s="120"/>
      <c r="B69" s="120"/>
      <c r="C69" s="121"/>
      <c r="D69" s="11"/>
      <c r="E69" s="122"/>
      <c r="F69" s="122"/>
      <c r="G69" s="123"/>
      <c r="H69" s="123"/>
      <c r="I69" s="11"/>
      <c r="J69" s="5"/>
      <c r="K69" s="5"/>
      <c r="L69" s="5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6.5" customHeight="1">
      <c r="A70" s="7"/>
      <c r="B70" s="7"/>
      <c r="C70" s="5"/>
      <c r="D70" s="8"/>
      <c r="E70" s="9"/>
      <c r="F70" s="9"/>
      <c r="G70" s="10"/>
      <c r="H70" s="10"/>
      <c r="I70" s="11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7"/>
      <c r="B71" s="7"/>
      <c r="C71" s="5"/>
      <c r="D71" s="8"/>
      <c r="E71" s="9"/>
      <c r="F71" s="9"/>
      <c r="G71" s="10"/>
      <c r="H71" s="10"/>
      <c r="I71" s="11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7"/>
      <c r="B72" s="7"/>
      <c r="C72" s="5"/>
      <c r="D72" s="8"/>
      <c r="E72" s="9"/>
      <c r="F72" s="9"/>
      <c r="G72" s="10"/>
      <c r="H72" s="10"/>
      <c r="I72" s="11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7"/>
      <c r="B73" s="7"/>
      <c r="C73" s="5"/>
      <c r="D73" s="8"/>
      <c r="E73" s="9"/>
      <c r="F73" s="9"/>
      <c r="G73" s="10"/>
      <c r="H73" s="10"/>
      <c r="I73" s="11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7"/>
      <c r="B74" s="7"/>
      <c r="C74" s="5"/>
      <c r="D74" s="8"/>
      <c r="E74" s="9"/>
      <c r="F74" s="9"/>
      <c r="G74" s="10"/>
      <c r="H74" s="10"/>
      <c r="I74" s="11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7"/>
      <c r="B75" s="7"/>
      <c r="C75" s="5"/>
      <c r="D75" s="8"/>
      <c r="E75" s="9"/>
      <c r="F75" s="9"/>
      <c r="G75" s="10"/>
      <c r="H75" s="10"/>
      <c r="I75" s="11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7"/>
      <c r="B76" s="7"/>
      <c r="C76" s="5"/>
      <c r="D76" s="8"/>
      <c r="E76" s="9"/>
      <c r="F76" s="9"/>
      <c r="G76" s="10"/>
      <c r="H76" s="10"/>
      <c r="I76" s="11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7"/>
      <c r="B77" s="7"/>
      <c r="C77" s="5"/>
      <c r="D77" s="8"/>
      <c r="E77" s="9"/>
      <c r="F77" s="9"/>
      <c r="G77" s="10"/>
      <c r="H77" s="10"/>
      <c r="I77" s="11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7"/>
      <c r="B78" s="7"/>
      <c r="C78" s="5"/>
      <c r="D78" s="8"/>
      <c r="E78" s="9"/>
      <c r="F78" s="9"/>
      <c r="G78" s="10"/>
      <c r="H78" s="10"/>
      <c r="I78" s="11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7"/>
      <c r="B79" s="7"/>
      <c r="C79" s="5"/>
      <c r="D79" s="8"/>
      <c r="E79" s="9"/>
      <c r="F79" s="9"/>
      <c r="G79" s="10"/>
      <c r="H79" s="10"/>
      <c r="I79" s="11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7"/>
      <c r="B80" s="7"/>
      <c r="C80" s="5"/>
      <c r="D80" s="8"/>
      <c r="E80" s="9"/>
      <c r="F80" s="9"/>
      <c r="G80" s="10"/>
      <c r="H80" s="10"/>
      <c r="I80" s="11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7"/>
      <c r="B81" s="7"/>
      <c r="C81" s="5"/>
      <c r="D81" s="8"/>
      <c r="E81" s="9"/>
      <c r="F81" s="9"/>
      <c r="G81" s="10"/>
      <c r="H81" s="10"/>
      <c r="I81" s="11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7"/>
      <c r="B82" s="7"/>
      <c r="C82" s="5"/>
      <c r="D82" s="8"/>
      <c r="E82" s="9"/>
      <c r="F82" s="9"/>
      <c r="G82" s="10"/>
      <c r="H82" s="10"/>
      <c r="I82" s="11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7"/>
      <c r="B83" s="7"/>
      <c r="C83" s="5"/>
      <c r="D83" s="8"/>
      <c r="E83" s="9"/>
      <c r="F83" s="9"/>
      <c r="G83" s="10"/>
      <c r="H83" s="10"/>
      <c r="I83" s="11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7"/>
      <c r="B84" s="7"/>
      <c r="C84" s="5"/>
      <c r="D84" s="8"/>
      <c r="E84" s="9"/>
      <c r="F84" s="9"/>
      <c r="G84" s="10"/>
      <c r="H84" s="10"/>
      <c r="I84" s="11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7"/>
      <c r="B85" s="7"/>
      <c r="C85" s="5"/>
      <c r="D85" s="8"/>
      <c r="E85" s="9"/>
      <c r="F85" s="9"/>
      <c r="G85" s="10"/>
      <c r="H85" s="10"/>
      <c r="I85" s="11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7"/>
      <c r="B86" s="7"/>
      <c r="C86" s="5"/>
      <c r="D86" s="8"/>
      <c r="E86" s="9"/>
      <c r="F86" s="9"/>
      <c r="G86" s="10"/>
      <c r="H86" s="10"/>
      <c r="I86" s="11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7"/>
      <c r="B87" s="7"/>
      <c r="C87" s="5"/>
      <c r="D87" s="8"/>
      <c r="E87" s="9"/>
      <c r="F87" s="9"/>
      <c r="G87" s="10"/>
      <c r="H87" s="10"/>
      <c r="I87" s="11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7"/>
      <c r="B88" s="7"/>
      <c r="C88" s="5"/>
      <c r="D88" s="8"/>
      <c r="E88" s="9"/>
      <c r="F88" s="9"/>
      <c r="G88" s="10"/>
      <c r="H88" s="10"/>
      <c r="I88" s="11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7"/>
      <c r="B89" s="7"/>
      <c r="C89" s="5"/>
      <c r="D89" s="8"/>
      <c r="E89" s="9"/>
      <c r="F89" s="9"/>
      <c r="G89" s="10"/>
      <c r="H89" s="10"/>
      <c r="I89" s="11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7"/>
      <c r="B90" s="7"/>
      <c r="C90" s="5"/>
      <c r="D90" s="8"/>
      <c r="E90" s="9"/>
      <c r="F90" s="9"/>
      <c r="G90" s="10"/>
      <c r="H90" s="10"/>
      <c r="I90" s="11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7"/>
      <c r="B91" s="7"/>
      <c r="C91" s="5"/>
      <c r="D91" s="8"/>
      <c r="E91" s="9"/>
      <c r="F91" s="9"/>
      <c r="G91" s="10"/>
      <c r="H91" s="10"/>
      <c r="I91" s="11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7"/>
      <c r="B92" s="7"/>
      <c r="C92" s="5"/>
      <c r="D92" s="8"/>
      <c r="E92" s="9"/>
      <c r="F92" s="9"/>
      <c r="G92" s="10"/>
      <c r="H92" s="10"/>
      <c r="I92" s="11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7"/>
      <c r="B93" s="7"/>
      <c r="C93" s="5"/>
      <c r="D93" s="8"/>
      <c r="E93" s="9"/>
      <c r="F93" s="9"/>
      <c r="G93" s="10"/>
      <c r="H93" s="10"/>
      <c r="I93" s="11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7"/>
      <c r="B94" s="7"/>
      <c r="C94" s="5"/>
      <c r="D94" s="8"/>
      <c r="E94" s="9"/>
      <c r="F94" s="9"/>
      <c r="G94" s="10"/>
      <c r="H94" s="10"/>
      <c r="I94" s="11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7"/>
      <c r="B95" s="7"/>
      <c r="C95" s="5"/>
      <c r="D95" s="8"/>
      <c r="E95" s="9"/>
      <c r="F95" s="9"/>
      <c r="G95" s="10"/>
      <c r="H95" s="10"/>
      <c r="I95" s="11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7"/>
      <c r="B96" s="7"/>
      <c r="C96" s="5"/>
      <c r="D96" s="8"/>
      <c r="E96" s="9"/>
      <c r="F96" s="9"/>
      <c r="G96" s="10"/>
      <c r="H96" s="10"/>
      <c r="I96" s="11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7"/>
      <c r="B97" s="7"/>
      <c r="C97" s="5"/>
      <c r="D97" s="8"/>
      <c r="E97" s="9"/>
      <c r="F97" s="9"/>
      <c r="G97" s="10"/>
      <c r="H97" s="10"/>
      <c r="I97" s="11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7"/>
      <c r="B98" s="7"/>
      <c r="C98" s="5"/>
      <c r="D98" s="8"/>
      <c r="E98" s="9"/>
      <c r="F98" s="9"/>
      <c r="G98" s="10"/>
      <c r="H98" s="10"/>
      <c r="I98" s="11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7"/>
      <c r="B99" s="7"/>
      <c r="C99" s="5"/>
      <c r="D99" s="8"/>
      <c r="E99" s="9"/>
      <c r="F99" s="9"/>
      <c r="G99" s="10"/>
      <c r="H99" s="10"/>
      <c r="I99" s="11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7"/>
      <c r="B100" s="7"/>
      <c r="C100" s="5"/>
      <c r="D100" s="8"/>
      <c r="E100" s="9"/>
      <c r="F100" s="9"/>
      <c r="G100" s="10"/>
      <c r="H100" s="10"/>
      <c r="I100" s="11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7"/>
      <c r="B101" s="7"/>
      <c r="C101" s="5"/>
      <c r="D101" s="8"/>
      <c r="E101" s="9"/>
      <c r="F101" s="9"/>
      <c r="G101" s="10"/>
      <c r="H101" s="10"/>
      <c r="I101" s="11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7"/>
      <c r="B102" s="7"/>
      <c r="C102" s="5"/>
      <c r="D102" s="8"/>
      <c r="E102" s="9"/>
      <c r="F102" s="9"/>
      <c r="G102" s="10"/>
      <c r="H102" s="10"/>
      <c r="I102" s="11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7"/>
      <c r="B103" s="7"/>
      <c r="C103" s="5"/>
      <c r="D103" s="8"/>
      <c r="E103" s="9"/>
      <c r="F103" s="9"/>
      <c r="G103" s="10"/>
      <c r="H103" s="10"/>
      <c r="I103" s="11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7"/>
      <c r="B104" s="7"/>
      <c r="C104" s="5"/>
      <c r="D104" s="8"/>
      <c r="E104" s="9"/>
      <c r="F104" s="9"/>
      <c r="G104" s="10"/>
      <c r="H104" s="10"/>
      <c r="I104" s="11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7"/>
      <c r="B105" s="7"/>
      <c r="C105" s="5"/>
      <c r="D105" s="8"/>
      <c r="E105" s="9"/>
      <c r="F105" s="9"/>
      <c r="G105" s="10"/>
      <c r="H105" s="10"/>
      <c r="I105" s="11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7"/>
      <c r="B106" s="7"/>
      <c r="C106" s="5"/>
      <c r="D106" s="8"/>
      <c r="E106" s="9"/>
      <c r="F106" s="9"/>
      <c r="G106" s="10"/>
      <c r="H106" s="10"/>
      <c r="I106" s="11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7"/>
      <c r="B107" s="7"/>
      <c r="C107" s="5"/>
      <c r="D107" s="8"/>
      <c r="E107" s="9"/>
      <c r="F107" s="9"/>
      <c r="G107" s="10"/>
      <c r="H107" s="10"/>
      <c r="I107" s="11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7"/>
      <c r="B108" s="7"/>
      <c r="C108" s="5"/>
      <c r="D108" s="8"/>
      <c r="E108" s="9"/>
      <c r="F108" s="9"/>
      <c r="G108" s="10"/>
      <c r="H108" s="10"/>
      <c r="I108" s="11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7"/>
      <c r="B109" s="7"/>
      <c r="C109" s="5"/>
      <c r="D109" s="8"/>
      <c r="E109" s="9"/>
      <c r="F109" s="9"/>
      <c r="G109" s="10"/>
      <c r="H109" s="10"/>
      <c r="I109" s="11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7"/>
      <c r="B110" s="7"/>
      <c r="C110" s="5"/>
      <c r="D110" s="8"/>
      <c r="E110" s="9"/>
      <c r="F110" s="9"/>
      <c r="G110" s="10"/>
      <c r="H110" s="10"/>
      <c r="I110" s="11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7"/>
      <c r="B111" s="7"/>
      <c r="C111" s="5"/>
      <c r="D111" s="8"/>
      <c r="E111" s="9"/>
      <c r="F111" s="9"/>
      <c r="G111" s="10"/>
      <c r="H111" s="10"/>
      <c r="I111" s="11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7"/>
      <c r="B112" s="7"/>
      <c r="C112" s="5"/>
      <c r="D112" s="8"/>
      <c r="E112" s="9"/>
      <c r="F112" s="9"/>
      <c r="G112" s="10"/>
      <c r="H112" s="10"/>
      <c r="I112" s="11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7"/>
      <c r="B113" s="7"/>
      <c r="C113" s="5"/>
      <c r="D113" s="8"/>
      <c r="E113" s="9"/>
      <c r="F113" s="9"/>
      <c r="G113" s="10"/>
      <c r="H113" s="10"/>
      <c r="I113" s="11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7"/>
      <c r="B114" s="7"/>
      <c r="C114" s="5"/>
      <c r="D114" s="8"/>
      <c r="E114" s="9"/>
      <c r="F114" s="9"/>
      <c r="G114" s="10"/>
      <c r="H114" s="10"/>
      <c r="I114" s="11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7"/>
      <c r="B115" s="7"/>
      <c r="C115" s="5"/>
      <c r="D115" s="8"/>
      <c r="E115" s="9"/>
      <c r="F115" s="9"/>
      <c r="G115" s="10"/>
      <c r="H115" s="10"/>
      <c r="I115" s="11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7"/>
      <c r="B116" s="7"/>
      <c r="C116" s="5"/>
      <c r="D116" s="8"/>
      <c r="E116" s="9"/>
      <c r="F116" s="9"/>
      <c r="G116" s="10"/>
      <c r="H116" s="10"/>
      <c r="I116" s="11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7"/>
      <c r="B117" s="7"/>
      <c r="C117" s="5"/>
      <c r="D117" s="8"/>
      <c r="E117" s="9"/>
      <c r="F117" s="9"/>
      <c r="G117" s="10"/>
      <c r="H117" s="10"/>
      <c r="I117" s="11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7"/>
      <c r="B118" s="7"/>
      <c r="C118" s="5"/>
      <c r="D118" s="8"/>
      <c r="E118" s="9"/>
      <c r="F118" s="9"/>
      <c r="G118" s="10"/>
      <c r="H118" s="10"/>
      <c r="I118" s="11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7"/>
      <c r="B119" s="7"/>
      <c r="C119" s="5"/>
      <c r="D119" s="8"/>
      <c r="E119" s="9"/>
      <c r="F119" s="9"/>
      <c r="G119" s="10"/>
      <c r="H119" s="10"/>
      <c r="I119" s="11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7"/>
      <c r="B120" s="7"/>
      <c r="C120" s="5"/>
      <c r="D120" s="8"/>
      <c r="E120" s="9"/>
      <c r="F120" s="9"/>
      <c r="G120" s="10"/>
      <c r="H120" s="10"/>
      <c r="I120" s="11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7"/>
      <c r="B121" s="7"/>
      <c r="C121" s="5"/>
      <c r="D121" s="8"/>
      <c r="E121" s="9"/>
      <c r="F121" s="9"/>
      <c r="G121" s="10"/>
      <c r="H121" s="10"/>
      <c r="I121" s="11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7"/>
      <c r="B122" s="7"/>
      <c r="C122" s="5"/>
      <c r="D122" s="8"/>
      <c r="E122" s="9"/>
      <c r="F122" s="9"/>
      <c r="G122" s="10"/>
      <c r="H122" s="10"/>
      <c r="I122" s="11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7"/>
      <c r="B123" s="7"/>
      <c r="C123" s="5"/>
      <c r="D123" s="8"/>
      <c r="E123" s="9"/>
      <c r="F123" s="9"/>
      <c r="G123" s="10"/>
      <c r="H123" s="10"/>
      <c r="I123" s="11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7"/>
      <c r="B124" s="7"/>
      <c r="C124" s="5"/>
      <c r="D124" s="8"/>
      <c r="E124" s="9"/>
      <c r="F124" s="9"/>
      <c r="G124" s="10"/>
      <c r="H124" s="10"/>
      <c r="I124" s="11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7"/>
      <c r="B125" s="7"/>
      <c r="C125" s="5"/>
      <c r="D125" s="8"/>
      <c r="E125" s="9"/>
      <c r="F125" s="9"/>
      <c r="G125" s="10"/>
      <c r="H125" s="10"/>
      <c r="I125" s="11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7"/>
      <c r="B126" s="7"/>
      <c r="C126" s="5"/>
      <c r="D126" s="8"/>
      <c r="E126" s="9"/>
      <c r="F126" s="9"/>
      <c r="G126" s="10"/>
      <c r="H126" s="10"/>
      <c r="I126" s="11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7"/>
      <c r="B127" s="7"/>
      <c r="C127" s="5"/>
      <c r="D127" s="8"/>
      <c r="E127" s="9"/>
      <c r="F127" s="9"/>
      <c r="G127" s="10"/>
      <c r="H127" s="10"/>
      <c r="I127" s="11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7"/>
      <c r="B128" s="7"/>
      <c r="C128" s="5"/>
      <c r="D128" s="8"/>
      <c r="E128" s="9"/>
      <c r="F128" s="9"/>
      <c r="G128" s="10"/>
      <c r="H128" s="10"/>
      <c r="I128" s="11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7"/>
      <c r="B129" s="7"/>
      <c r="C129" s="5"/>
      <c r="D129" s="8"/>
      <c r="E129" s="9"/>
      <c r="F129" s="9"/>
      <c r="G129" s="10"/>
      <c r="H129" s="10"/>
      <c r="I129" s="11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7"/>
      <c r="B130" s="7"/>
      <c r="C130" s="5"/>
      <c r="D130" s="8"/>
      <c r="E130" s="9"/>
      <c r="F130" s="9"/>
      <c r="G130" s="10"/>
      <c r="H130" s="10"/>
      <c r="I130" s="11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7"/>
      <c r="B131" s="7"/>
      <c r="C131" s="5"/>
      <c r="D131" s="8"/>
      <c r="E131" s="9"/>
      <c r="F131" s="9"/>
      <c r="G131" s="10"/>
      <c r="H131" s="10"/>
      <c r="I131" s="11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7"/>
      <c r="B132" s="7"/>
      <c r="C132" s="5"/>
      <c r="D132" s="8"/>
      <c r="E132" s="9"/>
      <c r="F132" s="9"/>
      <c r="G132" s="10"/>
      <c r="H132" s="10"/>
      <c r="I132" s="11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7"/>
      <c r="B133" s="7"/>
      <c r="C133" s="5"/>
      <c r="D133" s="8"/>
      <c r="E133" s="9"/>
      <c r="F133" s="9"/>
      <c r="G133" s="10"/>
      <c r="H133" s="10"/>
      <c r="I133" s="11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7"/>
      <c r="B134" s="7"/>
      <c r="C134" s="5"/>
      <c r="D134" s="8"/>
      <c r="E134" s="9"/>
      <c r="F134" s="9"/>
      <c r="G134" s="10"/>
      <c r="H134" s="10"/>
      <c r="I134" s="11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7"/>
      <c r="B135" s="7"/>
      <c r="C135" s="5"/>
      <c r="D135" s="8"/>
      <c r="E135" s="9"/>
      <c r="F135" s="9"/>
      <c r="G135" s="10"/>
      <c r="H135" s="10"/>
      <c r="I135" s="11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7"/>
      <c r="B136" s="7"/>
      <c r="C136" s="5"/>
      <c r="D136" s="8"/>
      <c r="E136" s="9"/>
      <c r="F136" s="9"/>
      <c r="G136" s="10"/>
      <c r="H136" s="10"/>
      <c r="I136" s="11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7"/>
      <c r="B137" s="7"/>
      <c r="C137" s="5"/>
      <c r="D137" s="8"/>
      <c r="E137" s="9"/>
      <c r="F137" s="9"/>
      <c r="G137" s="10"/>
      <c r="H137" s="10"/>
      <c r="I137" s="11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7"/>
      <c r="B138" s="7"/>
      <c r="C138" s="5"/>
      <c r="D138" s="8"/>
      <c r="E138" s="9"/>
      <c r="F138" s="9"/>
      <c r="G138" s="10"/>
      <c r="H138" s="10"/>
      <c r="I138" s="11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7"/>
      <c r="B139" s="7"/>
      <c r="C139" s="5"/>
      <c r="D139" s="8"/>
      <c r="E139" s="9"/>
      <c r="F139" s="9"/>
      <c r="G139" s="10"/>
      <c r="H139" s="10"/>
      <c r="I139" s="11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7"/>
      <c r="B140" s="7"/>
      <c r="C140" s="5"/>
      <c r="D140" s="8"/>
      <c r="E140" s="9"/>
      <c r="F140" s="9"/>
      <c r="G140" s="10"/>
      <c r="H140" s="10"/>
      <c r="I140" s="11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7"/>
      <c r="B141" s="7"/>
      <c r="C141" s="5"/>
      <c r="D141" s="8"/>
      <c r="E141" s="9"/>
      <c r="F141" s="9"/>
      <c r="G141" s="10"/>
      <c r="H141" s="10"/>
      <c r="I141" s="11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7"/>
      <c r="B142" s="7"/>
      <c r="C142" s="5"/>
      <c r="D142" s="8"/>
      <c r="E142" s="9"/>
      <c r="F142" s="9"/>
      <c r="G142" s="10"/>
      <c r="H142" s="10"/>
      <c r="I142" s="11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7"/>
      <c r="B143" s="7"/>
      <c r="C143" s="5"/>
      <c r="D143" s="8"/>
      <c r="E143" s="9"/>
      <c r="F143" s="9"/>
      <c r="G143" s="10"/>
      <c r="H143" s="10"/>
      <c r="I143" s="11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7"/>
      <c r="B144" s="7"/>
      <c r="C144" s="5"/>
      <c r="D144" s="8"/>
      <c r="E144" s="9"/>
      <c r="F144" s="9"/>
      <c r="G144" s="10"/>
      <c r="H144" s="10"/>
      <c r="I144" s="11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7"/>
      <c r="B145" s="7"/>
      <c r="C145" s="5"/>
      <c r="D145" s="8"/>
      <c r="E145" s="9"/>
      <c r="F145" s="9"/>
      <c r="G145" s="10"/>
      <c r="H145" s="10"/>
      <c r="I145" s="11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7"/>
      <c r="B146" s="7"/>
      <c r="C146" s="5"/>
      <c r="D146" s="8"/>
      <c r="E146" s="9"/>
      <c r="F146" s="9"/>
      <c r="G146" s="10"/>
      <c r="H146" s="10"/>
      <c r="I146" s="11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7"/>
      <c r="B147" s="7"/>
      <c r="C147" s="5"/>
      <c r="D147" s="8"/>
      <c r="E147" s="9"/>
      <c r="F147" s="9"/>
      <c r="G147" s="10"/>
      <c r="H147" s="10"/>
      <c r="I147" s="11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7"/>
      <c r="B148" s="7"/>
      <c r="C148" s="5"/>
      <c r="D148" s="8"/>
      <c r="E148" s="9"/>
      <c r="F148" s="9"/>
      <c r="G148" s="10"/>
      <c r="H148" s="10"/>
      <c r="I148" s="11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7"/>
      <c r="B149" s="7"/>
      <c r="C149" s="5"/>
      <c r="D149" s="8"/>
      <c r="E149" s="9"/>
      <c r="F149" s="9"/>
      <c r="G149" s="10"/>
      <c r="H149" s="10"/>
      <c r="I149" s="11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7"/>
      <c r="B150" s="7"/>
      <c r="C150" s="5"/>
      <c r="D150" s="8"/>
      <c r="E150" s="9"/>
      <c r="F150" s="9"/>
      <c r="G150" s="10"/>
      <c r="H150" s="10"/>
      <c r="I150" s="11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7"/>
      <c r="B151" s="7"/>
      <c r="C151" s="5"/>
      <c r="D151" s="8"/>
      <c r="E151" s="9"/>
      <c r="F151" s="9"/>
      <c r="G151" s="10"/>
      <c r="H151" s="10"/>
      <c r="I151" s="11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7"/>
      <c r="B152" s="7"/>
      <c r="C152" s="5"/>
      <c r="D152" s="8"/>
      <c r="E152" s="9"/>
      <c r="F152" s="9"/>
      <c r="G152" s="10"/>
      <c r="H152" s="10"/>
      <c r="I152" s="11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7"/>
      <c r="B153" s="7"/>
      <c r="C153" s="5"/>
      <c r="D153" s="8"/>
      <c r="E153" s="9"/>
      <c r="F153" s="9"/>
      <c r="G153" s="10"/>
      <c r="H153" s="10"/>
      <c r="I153" s="11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7"/>
      <c r="B154" s="7"/>
      <c r="C154" s="5"/>
      <c r="D154" s="8"/>
      <c r="E154" s="9"/>
      <c r="F154" s="9"/>
      <c r="G154" s="10"/>
      <c r="H154" s="10"/>
      <c r="I154" s="11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7"/>
      <c r="B155" s="7"/>
      <c r="C155" s="5"/>
      <c r="D155" s="8"/>
      <c r="E155" s="9"/>
      <c r="F155" s="9"/>
      <c r="G155" s="10"/>
      <c r="H155" s="10"/>
      <c r="I155" s="11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7"/>
      <c r="B156" s="7"/>
      <c r="C156" s="5"/>
      <c r="D156" s="8"/>
      <c r="E156" s="9"/>
      <c r="F156" s="9"/>
      <c r="G156" s="10"/>
      <c r="H156" s="10"/>
      <c r="I156" s="11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7"/>
      <c r="B157" s="7"/>
      <c r="C157" s="5"/>
      <c r="D157" s="8"/>
      <c r="E157" s="9"/>
      <c r="F157" s="9"/>
      <c r="G157" s="10"/>
      <c r="H157" s="10"/>
      <c r="I157" s="11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7"/>
      <c r="B158" s="7"/>
      <c r="C158" s="5"/>
      <c r="D158" s="8"/>
      <c r="E158" s="9"/>
      <c r="F158" s="9"/>
      <c r="G158" s="10"/>
      <c r="H158" s="10"/>
      <c r="I158" s="11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7"/>
      <c r="B159" s="7"/>
      <c r="C159" s="5"/>
      <c r="D159" s="8"/>
      <c r="E159" s="9"/>
      <c r="F159" s="9"/>
      <c r="G159" s="10"/>
      <c r="H159" s="10"/>
      <c r="I159" s="11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7"/>
      <c r="B160" s="7"/>
      <c r="C160" s="5"/>
      <c r="D160" s="8"/>
      <c r="E160" s="9"/>
      <c r="F160" s="9"/>
      <c r="G160" s="10"/>
      <c r="H160" s="10"/>
      <c r="I160" s="11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7"/>
      <c r="B161" s="7"/>
      <c r="C161" s="5"/>
      <c r="D161" s="8"/>
      <c r="E161" s="9"/>
      <c r="F161" s="9"/>
      <c r="G161" s="10"/>
      <c r="H161" s="10"/>
      <c r="I161" s="11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7"/>
      <c r="B162" s="7"/>
      <c r="C162" s="5"/>
      <c r="D162" s="8"/>
      <c r="E162" s="9"/>
      <c r="F162" s="9"/>
      <c r="G162" s="10"/>
      <c r="H162" s="10"/>
      <c r="I162" s="11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7"/>
      <c r="B163" s="7"/>
      <c r="C163" s="5"/>
      <c r="D163" s="8"/>
      <c r="E163" s="9"/>
      <c r="F163" s="9"/>
      <c r="G163" s="10"/>
      <c r="H163" s="10"/>
      <c r="I163" s="11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7"/>
      <c r="B164" s="7"/>
      <c r="C164" s="5"/>
      <c r="D164" s="8"/>
      <c r="E164" s="9"/>
      <c r="F164" s="9"/>
      <c r="G164" s="10"/>
      <c r="H164" s="10"/>
      <c r="I164" s="11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7"/>
      <c r="B165" s="7"/>
      <c r="C165" s="5"/>
      <c r="D165" s="8"/>
      <c r="E165" s="9"/>
      <c r="F165" s="9"/>
      <c r="G165" s="10"/>
      <c r="H165" s="10"/>
      <c r="I165" s="11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7"/>
      <c r="B166" s="7"/>
      <c r="C166" s="5"/>
      <c r="D166" s="8"/>
      <c r="E166" s="9"/>
      <c r="F166" s="9"/>
      <c r="G166" s="10"/>
      <c r="H166" s="10"/>
      <c r="I166" s="11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7"/>
      <c r="B167" s="7"/>
      <c r="C167" s="5"/>
      <c r="D167" s="8"/>
      <c r="E167" s="9"/>
      <c r="F167" s="9"/>
      <c r="G167" s="10"/>
      <c r="H167" s="10"/>
      <c r="I167" s="11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7"/>
      <c r="B168" s="7"/>
      <c r="C168" s="5"/>
      <c r="D168" s="8"/>
      <c r="E168" s="9"/>
      <c r="F168" s="9"/>
      <c r="G168" s="10"/>
      <c r="H168" s="10"/>
      <c r="I168" s="11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7"/>
      <c r="B169" s="7"/>
      <c r="C169" s="5"/>
      <c r="D169" s="8"/>
      <c r="E169" s="9"/>
      <c r="F169" s="9"/>
      <c r="G169" s="10"/>
      <c r="H169" s="10"/>
      <c r="I169" s="11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7"/>
      <c r="B170" s="7"/>
      <c r="C170" s="5"/>
      <c r="D170" s="8"/>
      <c r="E170" s="9"/>
      <c r="F170" s="9"/>
      <c r="G170" s="10"/>
      <c r="H170" s="10"/>
      <c r="I170" s="11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7"/>
      <c r="B171" s="7"/>
      <c r="C171" s="5"/>
      <c r="D171" s="8"/>
      <c r="E171" s="9"/>
      <c r="F171" s="9"/>
      <c r="G171" s="10"/>
      <c r="H171" s="10"/>
      <c r="I171" s="11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7"/>
      <c r="B172" s="7"/>
      <c r="C172" s="5"/>
      <c r="D172" s="8"/>
      <c r="E172" s="9"/>
      <c r="F172" s="9"/>
      <c r="G172" s="10"/>
      <c r="H172" s="10"/>
      <c r="I172" s="11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7"/>
      <c r="B173" s="7"/>
      <c r="C173" s="5"/>
      <c r="D173" s="8"/>
      <c r="E173" s="9"/>
      <c r="F173" s="9"/>
      <c r="G173" s="10"/>
      <c r="H173" s="10"/>
      <c r="I173" s="11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7"/>
      <c r="B174" s="7"/>
      <c r="C174" s="5"/>
      <c r="D174" s="8"/>
      <c r="E174" s="9"/>
      <c r="F174" s="9"/>
      <c r="G174" s="10"/>
      <c r="H174" s="10"/>
      <c r="I174" s="11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7"/>
      <c r="B175" s="7"/>
      <c r="C175" s="5"/>
      <c r="D175" s="8"/>
      <c r="E175" s="9"/>
      <c r="F175" s="9"/>
      <c r="G175" s="10"/>
      <c r="H175" s="10"/>
      <c r="I175" s="11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7"/>
      <c r="B176" s="7"/>
      <c r="C176" s="5"/>
      <c r="D176" s="8"/>
      <c r="E176" s="9"/>
      <c r="F176" s="9"/>
      <c r="G176" s="10"/>
      <c r="H176" s="10"/>
      <c r="I176" s="11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7"/>
      <c r="B177" s="7"/>
      <c r="C177" s="5"/>
      <c r="D177" s="8"/>
      <c r="E177" s="9"/>
      <c r="F177" s="9"/>
      <c r="G177" s="10"/>
      <c r="H177" s="10"/>
      <c r="I177" s="11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7"/>
      <c r="B178" s="7"/>
      <c r="C178" s="5"/>
      <c r="D178" s="8"/>
      <c r="E178" s="9"/>
      <c r="F178" s="9"/>
      <c r="G178" s="10"/>
      <c r="H178" s="10"/>
      <c r="I178" s="11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7"/>
      <c r="B179" s="7"/>
      <c r="C179" s="5"/>
      <c r="D179" s="8"/>
      <c r="E179" s="9"/>
      <c r="F179" s="9"/>
      <c r="G179" s="10"/>
      <c r="H179" s="10"/>
      <c r="I179" s="11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7"/>
      <c r="B180" s="7"/>
      <c r="C180" s="5"/>
      <c r="D180" s="8"/>
      <c r="E180" s="9"/>
      <c r="F180" s="9"/>
      <c r="G180" s="10"/>
      <c r="H180" s="10"/>
      <c r="I180" s="11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7"/>
      <c r="B181" s="7"/>
      <c r="C181" s="5"/>
      <c r="D181" s="8"/>
      <c r="E181" s="9"/>
      <c r="F181" s="9"/>
      <c r="G181" s="10"/>
      <c r="H181" s="10"/>
      <c r="I181" s="11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7"/>
      <c r="B182" s="7"/>
      <c r="C182" s="5"/>
      <c r="D182" s="8"/>
      <c r="E182" s="9"/>
      <c r="F182" s="9"/>
      <c r="G182" s="10"/>
      <c r="H182" s="10"/>
      <c r="I182" s="11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7"/>
      <c r="B183" s="7"/>
      <c r="C183" s="5"/>
      <c r="D183" s="8"/>
      <c r="E183" s="9"/>
      <c r="F183" s="9"/>
      <c r="G183" s="10"/>
      <c r="H183" s="10"/>
      <c r="I183" s="11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7"/>
      <c r="B184" s="7"/>
      <c r="C184" s="5"/>
      <c r="D184" s="8"/>
      <c r="E184" s="9"/>
      <c r="F184" s="9"/>
      <c r="G184" s="10"/>
      <c r="H184" s="10"/>
      <c r="I184" s="11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7"/>
      <c r="B185" s="7"/>
      <c r="C185" s="5"/>
      <c r="D185" s="8"/>
      <c r="E185" s="9"/>
      <c r="F185" s="9"/>
      <c r="G185" s="10"/>
      <c r="H185" s="10"/>
      <c r="I185" s="11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7"/>
      <c r="B186" s="7"/>
      <c r="C186" s="5"/>
      <c r="D186" s="8"/>
      <c r="E186" s="9"/>
      <c r="F186" s="9"/>
      <c r="G186" s="10"/>
      <c r="H186" s="10"/>
      <c r="I186" s="11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7"/>
      <c r="B187" s="7"/>
      <c r="C187" s="5"/>
      <c r="D187" s="8"/>
      <c r="E187" s="9"/>
      <c r="F187" s="9"/>
      <c r="G187" s="10"/>
      <c r="H187" s="10"/>
      <c r="I187" s="11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7"/>
      <c r="B188" s="7"/>
      <c r="C188" s="5"/>
      <c r="D188" s="8"/>
      <c r="E188" s="9"/>
      <c r="F188" s="9"/>
      <c r="G188" s="10"/>
      <c r="H188" s="10"/>
      <c r="I188" s="11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7"/>
      <c r="B189" s="7"/>
      <c r="C189" s="5"/>
      <c r="D189" s="8"/>
      <c r="E189" s="9"/>
      <c r="F189" s="9"/>
      <c r="G189" s="10"/>
      <c r="H189" s="10"/>
      <c r="I189" s="11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7"/>
      <c r="B190" s="7"/>
      <c r="C190" s="5"/>
      <c r="D190" s="8"/>
      <c r="E190" s="9"/>
      <c r="F190" s="9"/>
      <c r="G190" s="10"/>
      <c r="H190" s="10"/>
      <c r="I190" s="11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7"/>
      <c r="B191" s="7"/>
      <c r="C191" s="5"/>
      <c r="D191" s="8"/>
      <c r="E191" s="9"/>
      <c r="F191" s="9"/>
      <c r="G191" s="10"/>
      <c r="H191" s="10"/>
      <c r="I191" s="11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7"/>
      <c r="B192" s="7"/>
      <c r="C192" s="5"/>
      <c r="D192" s="8"/>
      <c r="E192" s="9"/>
      <c r="F192" s="9"/>
      <c r="G192" s="10"/>
      <c r="H192" s="10"/>
      <c r="I192" s="11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7"/>
      <c r="B193" s="7"/>
      <c r="C193" s="5"/>
      <c r="D193" s="8"/>
      <c r="E193" s="9"/>
      <c r="F193" s="9"/>
      <c r="G193" s="10"/>
      <c r="H193" s="10"/>
      <c r="I193" s="11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7"/>
      <c r="B194" s="7"/>
      <c r="C194" s="5"/>
      <c r="D194" s="8"/>
      <c r="E194" s="9"/>
      <c r="F194" s="9"/>
      <c r="G194" s="10"/>
      <c r="H194" s="10"/>
      <c r="I194" s="11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7"/>
      <c r="B195" s="7"/>
      <c r="C195" s="5"/>
      <c r="D195" s="8"/>
      <c r="E195" s="9"/>
      <c r="F195" s="9"/>
      <c r="G195" s="10"/>
      <c r="H195" s="10"/>
      <c r="I195" s="11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7"/>
      <c r="B196" s="7"/>
      <c r="C196" s="5"/>
      <c r="D196" s="8"/>
      <c r="E196" s="9"/>
      <c r="F196" s="9"/>
      <c r="G196" s="10"/>
      <c r="H196" s="10"/>
      <c r="I196" s="11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7"/>
      <c r="B197" s="7"/>
      <c r="C197" s="5"/>
      <c r="D197" s="8"/>
      <c r="E197" s="9"/>
      <c r="F197" s="9"/>
      <c r="G197" s="10"/>
      <c r="H197" s="10"/>
      <c r="I197" s="11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7"/>
      <c r="B198" s="7"/>
      <c r="C198" s="5"/>
      <c r="D198" s="8"/>
      <c r="E198" s="9"/>
      <c r="F198" s="9"/>
      <c r="G198" s="10"/>
      <c r="H198" s="10"/>
      <c r="I198" s="11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7"/>
      <c r="B199" s="7"/>
      <c r="C199" s="5"/>
      <c r="D199" s="8"/>
      <c r="E199" s="9"/>
      <c r="F199" s="9"/>
      <c r="G199" s="10"/>
      <c r="H199" s="10"/>
      <c r="I199" s="11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7"/>
      <c r="B200" s="7"/>
      <c r="C200" s="5"/>
      <c r="D200" s="8"/>
      <c r="E200" s="9"/>
      <c r="F200" s="9"/>
      <c r="G200" s="10"/>
      <c r="H200" s="10"/>
      <c r="I200" s="11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7"/>
      <c r="B201" s="7"/>
      <c r="C201" s="5"/>
      <c r="D201" s="8"/>
      <c r="E201" s="9"/>
      <c r="F201" s="9"/>
      <c r="G201" s="10"/>
      <c r="H201" s="10"/>
      <c r="I201" s="11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7"/>
      <c r="B202" s="7"/>
      <c r="C202" s="5"/>
      <c r="D202" s="8"/>
      <c r="E202" s="9"/>
      <c r="F202" s="9"/>
      <c r="G202" s="10"/>
      <c r="H202" s="10"/>
      <c r="I202" s="11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7"/>
      <c r="B203" s="7"/>
      <c r="C203" s="5"/>
      <c r="D203" s="8"/>
      <c r="E203" s="9"/>
      <c r="F203" s="9"/>
      <c r="G203" s="10"/>
      <c r="H203" s="10"/>
      <c r="I203" s="11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7"/>
      <c r="B204" s="7"/>
      <c r="C204" s="5"/>
      <c r="D204" s="8"/>
      <c r="E204" s="9"/>
      <c r="F204" s="9"/>
      <c r="G204" s="10"/>
      <c r="H204" s="10"/>
      <c r="I204" s="11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7"/>
      <c r="B205" s="7"/>
      <c r="C205" s="5"/>
      <c r="D205" s="8"/>
      <c r="E205" s="9"/>
      <c r="F205" s="9"/>
      <c r="G205" s="10"/>
      <c r="H205" s="10"/>
      <c r="I205" s="11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7"/>
      <c r="B206" s="7"/>
      <c r="C206" s="5"/>
      <c r="D206" s="8"/>
      <c r="E206" s="9"/>
      <c r="F206" s="9"/>
      <c r="G206" s="10"/>
      <c r="H206" s="10"/>
      <c r="I206" s="11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7"/>
      <c r="B207" s="7"/>
      <c r="C207" s="5"/>
      <c r="D207" s="8"/>
      <c r="E207" s="9"/>
      <c r="F207" s="9"/>
      <c r="G207" s="10"/>
      <c r="H207" s="10"/>
      <c r="I207" s="11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7"/>
      <c r="B208" s="7"/>
      <c r="C208" s="5"/>
      <c r="D208" s="8"/>
      <c r="E208" s="9"/>
      <c r="F208" s="9"/>
      <c r="G208" s="10"/>
      <c r="H208" s="10"/>
      <c r="I208" s="11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7"/>
      <c r="B209" s="7"/>
      <c r="C209" s="5"/>
      <c r="D209" s="8"/>
      <c r="E209" s="9"/>
      <c r="F209" s="9"/>
      <c r="G209" s="10"/>
      <c r="H209" s="10"/>
      <c r="I209" s="11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7"/>
      <c r="B210" s="7"/>
      <c r="C210" s="5"/>
      <c r="D210" s="8"/>
      <c r="E210" s="9"/>
      <c r="F210" s="9"/>
      <c r="G210" s="10"/>
      <c r="H210" s="10"/>
      <c r="I210" s="11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7"/>
      <c r="B211" s="7"/>
      <c r="C211" s="5"/>
      <c r="D211" s="8"/>
      <c r="E211" s="9"/>
      <c r="F211" s="9"/>
      <c r="G211" s="10"/>
      <c r="H211" s="10"/>
      <c r="I211" s="11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7"/>
      <c r="B212" s="7"/>
      <c r="C212" s="5"/>
      <c r="D212" s="8"/>
      <c r="E212" s="9"/>
      <c r="F212" s="9"/>
      <c r="G212" s="10"/>
      <c r="H212" s="10"/>
      <c r="I212" s="11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7"/>
      <c r="B213" s="7"/>
      <c r="C213" s="5"/>
      <c r="D213" s="8"/>
      <c r="E213" s="9"/>
      <c r="F213" s="9"/>
      <c r="G213" s="10"/>
      <c r="H213" s="10"/>
      <c r="I213" s="11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7"/>
      <c r="B214" s="7"/>
      <c r="C214" s="5"/>
      <c r="D214" s="8"/>
      <c r="E214" s="9"/>
      <c r="F214" s="9"/>
      <c r="G214" s="10"/>
      <c r="H214" s="10"/>
      <c r="I214" s="11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7"/>
      <c r="B215" s="7"/>
      <c r="C215" s="5"/>
      <c r="D215" s="8"/>
      <c r="E215" s="9"/>
      <c r="F215" s="9"/>
      <c r="G215" s="10"/>
      <c r="H215" s="10"/>
      <c r="I215" s="11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7"/>
      <c r="B216" s="7"/>
      <c r="C216" s="5"/>
      <c r="D216" s="8"/>
      <c r="E216" s="9"/>
      <c r="F216" s="9"/>
      <c r="G216" s="10"/>
      <c r="H216" s="10"/>
      <c r="I216" s="11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7"/>
      <c r="B217" s="7"/>
      <c r="C217" s="5"/>
      <c r="D217" s="8"/>
      <c r="E217" s="9"/>
      <c r="F217" s="9"/>
      <c r="G217" s="10"/>
      <c r="H217" s="10"/>
      <c r="I217" s="11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7"/>
      <c r="B218" s="7"/>
      <c r="C218" s="5"/>
      <c r="D218" s="8"/>
      <c r="E218" s="9"/>
      <c r="F218" s="9"/>
      <c r="G218" s="10"/>
      <c r="H218" s="10"/>
      <c r="I218" s="11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7"/>
      <c r="B219" s="7"/>
      <c r="C219" s="5"/>
      <c r="D219" s="8"/>
      <c r="E219" s="9"/>
      <c r="F219" s="9"/>
      <c r="G219" s="10"/>
      <c r="H219" s="10"/>
      <c r="I219" s="11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7"/>
      <c r="B220" s="7"/>
      <c r="C220" s="5"/>
      <c r="D220" s="8"/>
      <c r="E220" s="9"/>
      <c r="F220" s="9"/>
      <c r="G220" s="10"/>
      <c r="H220" s="10"/>
      <c r="I220" s="11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7"/>
      <c r="B221" s="7"/>
      <c r="C221" s="5"/>
      <c r="D221" s="8"/>
      <c r="E221" s="9"/>
      <c r="F221" s="9"/>
      <c r="G221" s="10"/>
      <c r="H221" s="10"/>
      <c r="I221" s="11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7"/>
      <c r="B222" s="7"/>
      <c r="C222" s="5"/>
      <c r="D222" s="8"/>
      <c r="E222" s="9"/>
      <c r="F222" s="9"/>
      <c r="G222" s="10"/>
      <c r="H222" s="10"/>
      <c r="I222" s="11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7"/>
      <c r="B223" s="7"/>
      <c r="C223" s="5"/>
      <c r="D223" s="8"/>
      <c r="E223" s="9"/>
      <c r="F223" s="9"/>
      <c r="G223" s="10"/>
      <c r="H223" s="10"/>
      <c r="I223" s="11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7"/>
      <c r="B224" s="7"/>
      <c r="C224" s="5"/>
      <c r="D224" s="8"/>
      <c r="E224" s="9"/>
      <c r="F224" s="9"/>
      <c r="G224" s="10"/>
      <c r="H224" s="10"/>
      <c r="I224" s="11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7"/>
      <c r="B225" s="7"/>
      <c r="C225" s="5"/>
      <c r="D225" s="8"/>
      <c r="E225" s="9"/>
      <c r="F225" s="9"/>
      <c r="G225" s="10"/>
      <c r="H225" s="10"/>
      <c r="I225" s="11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7"/>
      <c r="B226" s="7"/>
      <c r="C226" s="5"/>
      <c r="D226" s="8"/>
      <c r="E226" s="9"/>
      <c r="F226" s="9"/>
      <c r="G226" s="10"/>
      <c r="H226" s="10"/>
      <c r="I226" s="11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7"/>
      <c r="B227" s="7"/>
      <c r="C227" s="5"/>
      <c r="D227" s="8"/>
      <c r="E227" s="9"/>
      <c r="F227" s="9"/>
      <c r="G227" s="10"/>
      <c r="H227" s="10"/>
      <c r="I227" s="11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7"/>
      <c r="B228" s="7"/>
      <c r="C228" s="5"/>
      <c r="D228" s="8"/>
      <c r="E228" s="9"/>
      <c r="F228" s="9"/>
      <c r="G228" s="10"/>
      <c r="H228" s="10"/>
      <c r="I228" s="11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7"/>
      <c r="B229" s="7"/>
      <c r="C229" s="5"/>
      <c r="D229" s="8"/>
      <c r="E229" s="9"/>
      <c r="F229" s="9"/>
      <c r="G229" s="10"/>
      <c r="H229" s="10"/>
      <c r="I229" s="11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7"/>
      <c r="B230" s="7"/>
      <c r="C230" s="5"/>
      <c r="D230" s="8"/>
      <c r="E230" s="9"/>
      <c r="F230" s="9"/>
      <c r="G230" s="10"/>
      <c r="H230" s="10"/>
      <c r="I230" s="11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7"/>
      <c r="B231" s="7"/>
      <c r="C231" s="5"/>
      <c r="D231" s="8"/>
      <c r="E231" s="9"/>
      <c r="F231" s="9"/>
      <c r="G231" s="10"/>
      <c r="H231" s="10"/>
      <c r="I231" s="11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7"/>
      <c r="B232" s="7"/>
      <c r="C232" s="5"/>
      <c r="D232" s="8"/>
      <c r="E232" s="9"/>
      <c r="F232" s="9"/>
      <c r="G232" s="10"/>
      <c r="H232" s="10"/>
      <c r="I232" s="11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7"/>
      <c r="B233" s="7"/>
      <c r="C233" s="5"/>
      <c r="D233" s="8"/>
      <c r="E233" s="9"/>
      <c r="F233" s="9"/>
      <c r="G233" s="10"/>
      <c r="H233" s="10"/>
      <c r="I233" s="11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7"/>
      <c r="B234" s="7"/>
      <c r="C234" s="5"/>
      <c r="D234" s="8"/>
      <c r="E234" s="9"/>
      <c r="F234" s="9"/>
      <c r="G234" s="10"/>
      <c r="H234" s="10"/>
      <c r="I234" s="11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7"/>
      <c r="B235" s="7"/>
      <c r="C235" s="5"/>
      <c r="D235" s="8"/>
      <c r="E235" s="9"/>
      <c r="F235" s="9"/>
      <c r="G235" s="10"/>
      <c r="H235" s="10"/>
      <c r="I235" s="11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7"/>
      <c r="B236" s="7"/>
      <c r="C236" s="5"/>
      <c r="D236" s="8"/>
      <c r="E236" s="9"/>
      <c r="F236" s="9"/>
      <c r="G236" s="10"/>
      <c r="H236" s="10"/>
      <c r="I236" s="11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7"/>
      <c r="B237" s="7"/>
      <c r="C237" s="5"/>
      <c r="D237" s="8"/>
      <c r="E237" s="9"/>
      <c r="F237" s="9"/>
      <c r="G237" s="10"/>
      <c r="H237" s="10"/>
      <c r="I237" s="11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7"/>
      <c r="B238" s="7"/>
      <c r="C238" s="5"/>
      <c r="D238" s="8"/>
      <c r="E238" s="9"/>
      <c r="F238" s="9"/>
      <c r="G238" s="10"/>
      <c r="H238" s="10"/>
      <c r="I238" s="11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7"/>
      <c r="B239" s="7"/>
      <c r="C239" s="5"/>
      <c r="D239" s="8"/>
      <c r="E239" s="9"/>
      <c r="F239" s="9"/>
      <c r="G239" s="10"/>
      <c r="H239" s="10"/>
      <c r="I239" s="11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7"/>
      <c r="B240" s="7"/>
      <c r="C240" s="5"/>
      <c r="D240" s="8"/>
      <c r="E240" s="9"/>
      <c r="F240" s="9"/>
      <c r="G240" s="10"/>
      <c r="H240" s="10"/>
      <c r="I240" s="11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7"/>
      <c r="B241" s="7"/>
      <c r="C241" s="5"/>
      <c r="D241" s="8"/>
      <c r="E241" s="9"/>
      <c r="F241" s="9"/>
      <c r="G241" s="10"/>
      <c r="H241" s="10"/>
      <c r="I241" s="11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7"/>
      <c r="B242" s="7"/>
      <c r="C242" s="5"/>
      <c r="D242" s="8"/>
      <c r="E242" s="9"/>
      <c r="F242" s="9"/>
      <c r="G242" s="10"/>
      <c r="H242" s="10"/>
      <c r="I242" s="11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7"/>
      <c r="B243" s="7"/>
      <c r="C243" s="5"/>
      <c r="D243" s="8"/>
      <c r="E243" s="9"/>
      <c r="F243" s="9"/>
      <c r="G243" s="10"/>
      <c r="H243" s="10"/>
      <c r="I243" s="11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7"/>
      <c r="B244" s="7"/>
      <c r="C244" s="5"/>
      <c r="D244" s="8"/>
      <c r="E244" s="9"/>
      <c r="F244" s="9"/>
      <c r="G244" s="10"/>
      <c r="H244" s="10"/>
      <c r="I244" s="11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7"/>
      <c r="B245" s="7"/>
      <c r="C245" s="5"/>
      <c r="D245" s="8"/>
      <c r="E245" s="9"/>
      <c r="F245" s="9"/>
      <c r="G245" s="10"/>
      <c r="H245" s="10"/>
      <c r="I245" s="11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7"/>
      <c r="B246" s="7"/>
      <c r="C246" s="5"/>
      <c r="D246" s="8"/>
      <c r="E246" s="9"/>
      <c r="F246" s="9"/>
      <c r="G246" s="10"/>
      <c r="H246" s="10"/>
      <c r="I246" s="11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7"/>
      <c r="B247" s="7"/>
      <c r="C247" s="5"/>
      <c r="D247" s="8"/>
      <c r="E247" s="9"/>
      <c r="F247" s="9"/>
      <c r="G247" s="10"/>
      <c r="H247" s="10"/>
      <c r="I247" s="11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7"/>
      <c r="B248" s="7"/>
      <c r="C248" s="5"/>
      <c r="D248" s="8"/>
      <c r="E248" s="9"/>
      <c r="F248" s="9"/>
      <c r="G248" s="10"/>
      <c r="H248" s="10"/>
      <c r="I248" s="11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7"/>
      <c r="B249" s="7"/>
      <c r="C249" s="5"/>
      <c r="D249" s="8"/>
      <c r="E249" s="9"/>
      <c r="F249" s="9"/>
      <c r="G249" s="10"/>
      <c r="H249" s="10"/>
      <c r="I249" s="11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7"/>
      <c r="B250" s="7"/>
      <c r="C250" s="5"/>
      <c r="D250" s="8"/>
      <c r="E250" s="9"/>
      <c r="F250" s="9"/>
      <c r="G250" s="10"/>
      <c r="H250" s="10"/>
      <c r="I250" s="11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7"/>
      <c r="B251" s="7"/>
      <c r="C251" s="5"/>
      <c r="D251" s="8"/>
      <c r="E251" s="9"/>
      <c r="F251" s="9"/>
      <c r="G251" s="10"/>
      <c r="H251" s="10"/>
      <c r="I251" s="11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7"/>
      <c r="B252" s="7"/>
      <c r="C252" s="5"/>
      <c r="D252" s="8"/>
      <c r="E252" s="9"/>
      <c r="F252" s="9"/>
      <c r="G252" s="10"/>
      <c r="H252" s="10"/>
      <c r="I252" s="11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7"/>
      <c r="B253" s="7"/>
      <c r="C253" s="5"/>
      <c r="D253" s="8"/>
      <c r="E253" s="9"/>
      <c r="F253" s="9"/>
      <c r="G253" s="10"/>
      <c r="H253" s="10"/>
      <c r="I253" s="11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7"/>
      <c r="B254" s="7"/>
      <c r="C254" s="5"/>
      <c r="D254" s="8"/>
      <c r="E254" s="9"/>
      <c r="F254" s="9"/>
      <c r="G254" s="10"/>
      <c r="H254" s="10"/>
      <c r="I254" s="11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7"/>
      <c r="B255" s="7"/>
      <c r="C255" s="5"/>
      <c r="D255" s="8"/>
      <c r="E255" s="9"/>
      <c r="F255" s="9"/>
      <c r="G255" s="10"/>
      <c r="H255" s="10"/>
      <c r="I255" s="11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7"/>
      <c r="B256" s="7"/>
      <c r="C256" s="5"/>
      <c r="D256" s="8"/>
      <c r="E256" s="9"/>
      <c r="F256" s="9"/>
      <c r="G256" s="10"/>
      <c r="H256" s="10"/>
      <c r="I256" s="11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7"/>
      <c r="B257" s="7"/>
      <c r="C257" s="5"/>
      <c r="D257" s="8"/>
      <c r="E257" s="9"/>
      <c r="F257" s="9"/>
      <c r="G257" s="10"/>
      <c r="H257" s="10"/>
      <c r="I257" s="11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7"/>
      <c r="B258" s="7"/>
      <c r="C258" s="5"/>
      <c r="D258" s="8"/>
      <c r="E258" s="9"/>
      <c r="F258" s="9"/>
      <c r="G258" s="10"/>
      <c r="H258" s="10"/>
      <c r="I258" s="11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7"/>
      <c r="B259" s="7"/>
      <c r="C259" s="5"/>
      <c r="D259" s="8"/>
      <c r="E259" s="9"/>
      <c r="F259" s="9"/>
      <c r="G259" s="10"/>
      <c r="H259" s="10"/>
      <c r="I259" s="11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7"/>
      <c r="B260" s="7"/>
      <c r="C260" s="5"/>
      <c r="D260" s="8"/>
      <c r="E260" s="9"/>
      <c r="F260" s="9"/>
      <c r="G260" s="10"/>
      <c r="H260" s="10"/>
      <c r="I260" s="11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7"/>
      <c r="B261" s="7"/>
      <c r="C261" s="5"/>
      <c r="D261" s="8"/>
      <c r="E261" s="9"/>
      <c r="F261" s="9"/>
      <c r="G261" s="10"/>
      <c r="H261" s="10"/>
      <c r="I261" s="11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7"/>
      <c r="B262" s="7"/>
      <c r="C262" s="5"/>
      <c r="D262" s="8"/>
      <c r="E262" s="9"/>
      <c r="F262" s="9"/>
      <c r="G262" s="10"/>
      <c r="H262" s="10"/>
      <c r="I262" s="11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7"/>
      <c r="B263" s="7"/>
      <c r="C263" s="5"/>
      <c r="D263" s="8"/>
      <c r="E263" s="9"/>
      <c r="F263" s="9"/>
      <c r="G263" s="10"/>
      <c r="H263" s="10"/>
      <c r="I263" s="11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7"/>
      <c r="B264" s="7"/>
      <c r="C264" s="5"/>
      <c r="D264" s="8"/>
      <c r="E264" s="9"/>
      <c r="F264" s="9"/>
      <c r="G264" s="10"/>
      <c r="H264" s="10"/>
      <c r="I264" s="11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7"/>
      <c r="B265" s="7"/>
      <c r="C265" s="5"/>
      <c r="D265" s="8"/>
      <c r="E265" s="9"/>
      <c r="F265" s="9"/>
      <c r="G265" s="10"/>
      <c r="H265" s="10"/>
      <c r="I265" s="11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7"/>
      <c r="B266" s="7"/>
      <c r="C266" s="5"/>
      <c r="D266" s="8"/>
      <c r="E266" s="9"/>
      <c r="F266" s="9"/>
      <c r="G266" s="10"/>
      <c r="H266" s="10"/>
      <c r="I266" s="11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7"/>
      <c r="B267" s="7"/>
      <c r="C267" s="5"/>
      <c r="D267" s="8"/>
      <c r="E267" s="9"/>
      <c r="F267" s="9"/>
      <c r="G267" s="10"/>
      <c r="H267" s="10"/>
      <c r="I267" s="11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7"/>
      <c r="B268" s="7"/>
      <c r="C268" s="5"/>
      <c r="D268" s="8"/>
      <c r="E268" s="9"/>
      <c r="F268" s="9"/>
      <c r="G268" s="10"/>
      <c r="H268" s="10"/>
      <c r="I268" s="11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7"/>
      <c r="B269" s="7"/>
      <c r="C269" s="5"/>
      <c r="D269" s="8"/>
      <c r="E269" s="9"/>
      <c r="F269" s="9"/>
      <c r="G269" s="10"/>
      <c r="H269" s="10"/>
      <c r="I269" s="11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7"/>
      <c r="B270" s="7"/>
      <c r="C270" s="5"/>
      <c r="D270" s="8"/>
      <c r="E270" s="9"/>
      <c r="F270" s="9"/>
      <c r="G270" s="10"/>
      <c r="H270" s="10"/>
      <c r="I270" s="11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7"/>
      <c r="B271" s="7"/>
      <c r="C271" s="5"/>
      <c r="D271" s="8"/>
      <c r="E271" s="9"/>
      <c r="F271" s="9"/>
      <c r="G271" s="10"/>
      <c r="H271" s="10"/>
      <c r="I271" s="11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7"/>
      <c r="B272" s="7"/>
      <c r="C272" s="5"/>
      <c r="D272" s="8"/>
      <c r="E272" s="9"/>
      <c r="F272" s="9"/>
      <c r="G272" s="10"/>
      <c r="H272" s="10"/>
      <c r="I272" s="11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7"/>
      <c r="B273" s="7"/>
      <c r="C273" s="5"/>
      <c r="D273" s="8"/>
      <c r="E273" s="9"/>
      <c r="F273" s="9"/>
      <c r="G273" s="10"/>
      <c r="H273" s="10"/>
      <c r="I273" s="11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7"/>
      <c r="B274" s="7"/>
      <c r="C274" s="5"/>
      <c r="D274" s="8"/>
      <c r="E274" s="9"/>
      <c r="F274" s="9"/>
      <c r="G274" s="10"/>
      <c r="H274" s="10"/>
      <c r="I274" s="11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7"/>
      <c r="B275" s="7"/>
      <c r="C275" s="5"/>
      <c r="D275" s="8"/>
      <c r="E275" s="9"/>
      <c r="F275" s="9"/>
      <c r="G275" s="10"/>
      <c r="H275" s="10"/>
      <c r="I275" s="11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7"/>
      <c r="B276" s="7"/>
      <c r="C276" s="5"/>
      <c r="D276" s="8"/>
      <c r="E276" s="9"/>
      <c r="F276" s="9"/>
      <c r="G276" s="10"/>
      <c r="H276" s="10"/>
      <c r="I276" s="11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7"/>
      <c r="B277" s="7"/>
      <c r="C277" s="5"/>
      <c r="D277" s="8"/>
      <c r="E277" s="9"/>
      <c r="F277" s="9"/>
      <c r="G277" s="10"/>
      <c r="H277" s="10"/>
      <c r="I277" s="11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7"/>
      <c r="B278" s="7"/>
      <c r="C278" s="5"/>
      <c r="D278" s="8"/>
      <c r="E278" s="9"/>
      <c r="F278" s="9"/>
      <c r="G278" s="10"/>
      <c r="H278" s="10"/>
      <c r="I278" s="11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7"/>
      <c r="B279" s="7"/>
      <c r="C279" s="5"/>
      <c r="D279" s="8"/>
      <c r="E279" s="9"/>
      <c r="F279" s="9"/>
      <c r="G279" s="10"/>
      <c r="H279" s="10"/>
      <c r="I279" s="11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7"/>
      <c r="B280" s="7"/>
      <c r="C280" s="5"/>
      <c r="D280" s="8"/>
      <c r="E280" s="9"/>
      <c r="F280" s="9"/>
      <c r="G280" s="10"/>
      <c r="H280" s="10"/>
      <c r="I280" s="11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7"/>
      <c r="B281" s="7"/>
      <c r="C281" s="5"/>
      <c r="D281" s="8"/>
      <c r="E281" s="9"/>
      <c r="F281" s="9"/>
      <c r="G281" s="10"/>
      <c r="H281" s="10"/>
      <c r="I281" s="11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7"/>
      <c r="B282" s="7"/>
      <c r="C282" s="5"/>
      <c r="D282" s="8"/>
      <c r="E282" s="9"/>
      <c r="F282" s="9"/>
      <c r="G282" s="10"/>
      <c r="H282" s="10"/>
      <c r="I282" s="11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7"/>
      <c r="B283" s="7"/>
      <c r="C283" s="5"/>
      <c r="D283" s="8"/>
      <c r="E283" s="9"/>
      <c r="F283" s="9"/>
      <c r="G283" s="10"/>
      <c r="H283" s="10"/>
      <c r="I283" s="11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7"/>
      <c r="B284" s="7"/>
      <c r="C284" s="5"/>
      <c r="D284" s="8"/>
      <c r="E284" s="9"/>
      <c r="F284" s="9"/>
      <c r="G284" s="10"/>
      <c r="H284" s="10"/>
      <c r="I284" s="11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7"/>
      <c r="B285" s="7"/>
      <c r="C285" s="5"/>
      <c r="D285" s="8"/>
      <c r="E285" s="9"/>
      <c r="F285" s="9"/>
      <c r="G285" s="10"/>
      <c r="H285" s="10"/>
      <c r="I285" s="11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7"/>
      <c r="B286" s="7"/>
      <c r="C286" s="5"/>
      <c r="D286" s="8"/>
      <c r="E286" s="9"/>
      <c r="F286" s="9"/>
      <c r="G286" s="10"/>
      <c r="H286" s="10"/>
      <c r="I286" s="11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7"/>
      <c r="B287" s="7"/>
      <c r="C287" s="5"/>
      <c r="D287" s="8"/>
      <c r="E287" s="9"/>
      <c r="F287" s="9"/>
      <c r="G287" s="10"/>
      <c r="H287" s="10"/>
      <c r="I287" s="11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7"/>
      <c r="B288" s="7"/>
      <c r="C288" s="5"/>
      <c r="D288" s="8"/>
      <c r="E288" s="9"/>
      <c r="F288" s="9"/>
      <c r="G288" s="10"/>
      <c r="H288" s="10"/>
      <c r="I288" s="11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7"/>
      <c r="B289" s="7"/>
      <c r="C289" s="5"/>
      <c r="D289" s="8"/>
      <c r="E289" s="9"/>
      <c r="F289" s="9"/>
      <c r="G289" s="10"/>
      <c r="H289" s="10"/>
      <c r="I289" s="11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7"/>
      <c r="B290" s="7"/>
      <c r="C290" s="5"/>
      <c r="D290" s="8"/>
      <c r="E290" s="9"/>
      <c r="F290" s="9"/>
      <c r="G290" s="10"/>
      <c r="H290" s="10"/>
      <c r="I290" s="11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7"/>
      <c r="B291" s="7"/>
      <c r="C291" s="5"/>
      <c r="D291" s="8"/>
      <c r="E291" s="9"/>
      <c r="F291" s="9"/>
      <c r="G291" s="10"/>
      <c r="H291" s="10"/>
      <c r="I291" s="11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7"/>
      <c r="B292" s="7"/>
      <c r="C292" s="5"/>
      <c r="D292" s="8"/>
      <c r="E292" s="9"/>
      <c r="F292" s="9"/>
      <c r="G292" s="10"/>
      <c r="H292" s="10"/>
      <c r="I292" s="11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7"/>
      <c r="B293" s="7"/>
      <c r="C293" s="5"/>
      <c r="D293" s="8"/>
      <c r="E293" s="9"/>
      <c r="F293" s="9"/>
      <c r="G293" s="10"/>
      <c r="H293" s="10"/>
      <c r="I293" s="11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7"/>
      <c r="B294" s="7"/>
      <c r="C294" s="5"/>
      <c r="D294" s="8"/>
      <c r="E294" s="9"/>
      <c r="F294" s="9"/>
      <c r="G294" s="10"/>
      <c r="H294" s="10"/>
      <c r="I294" s="11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7"/>
      <c r="B295" s="7"/>
      <c r="C295" s="5"/>
      <c r="D295" s="8"/>
      <c r="E295" s="9"/>
      <c r="F295" s="9"/>
      <c r="G295" s="10"/>
      <c r="H295" s="10"/>
      <c r="I295" s="11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7"/>
      <c r="B296" s="7"/>
      <c r="C296" s="5"/>
      <c r="D296" s="8"/>
      <c r="E296" s="9"/>
      <c r="F296" s="9"/>
      <c r="G296" s="10"/>
      <c r="H296" s="10"/>
      <c r="I296" s="11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7"/>
      <c r="B297" s="7"/>
      <c r="C297" s="5"/>
      <c r="D297" s="8"/>
      <c r="E297" s="9"/>
      <c r="F297" s="9"/>
      <c r="G297" s="10"/>
      <c r="H297" s="10"/>
      <c r="I297" s="11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7"/>
      <c r="B298" s="7"/>
      <c r="C298" s="5"/>
      <c r="D298" s="8"/>
      <c r="E298" s="9"/>
      <c r="F298" s="9"/>
      <c r="G298" s="10"/>
      <c r="H298" s="10"/>
      <c r="I298" s="11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7"/>
      <c r="B299" s="7"/>
      <c r="C299" s="5"/>
      <c r="D299" s="8"/>
      <c r="E299" s="9"/>
      <c r="F299" s="9"/>
      <c r="G299" s="10"/>
      <c r="H299" s="10"/>
      <c r="I299" s="11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7"/>
      <c r="B300" s="7"/>
      <c r="C300" s="5"/>
      <c r="D300" s="8"/>
      <c r="E300" s="9"/>
      <c r="F300" s="9"/>
      <c r="G300" s="10"/>
      <c r="H300" s="10"/>
      <c r="I300" s="11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7"/>
      <c r="B301" s="7"/>
      <c r="C301" s="5"/>
      <c r="D301" s="8"/>
      <c r="E301" s="9"/>
      <c r="F301" s="9"/>
      <c r="G301" s="10"/>
      <c r="H301" s="10"/>
      <c r="I301" s="11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7"/>
      <c r="B302" s="7"/>
      <c r="C302" s="5"/>
      <c r="D302" s="8"/>
      <c r="E302" s="9"/>
      <c r="F302" s="9"/>
      <c r="G302" s="10"/>
      <c r="H302" s="10"/>
      <c r="I302" s="11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7"/>
      <c r="B303" s="7"/>
      <c r="C303" s="5"/>
      <c r="D303" s="8"/>
      <c r="E303" s="9"/>
      <c r="F303" s="9"/>
      <c r="G303" s="10"/>
      <c r="H303" s="10"/>
      <c r="I303" s="11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7"/>
      <c r="B304" s="7"/>
      <c r="C304" s="5"/>
      <c r="D304" s="8"/>
      <c r="E304" s="9"/>
      <c r="F304" s="9"/>
      <c r="G304" s="10"/>
      <c r="H304" s="10"/>
      <c r="I304" s="11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7"/>
      <c r="B305" s="7"/>
      <c r="C305" s="5"/>
      <c r="D305" s="8"/>
      <c r="E305" s="9"/>
      <c r="F305" s="9"/>
      <c r="G305" s="10"/>
      <c r="H305" s="10"/>
      <c r="I305" s="11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7"/>
      <c r="B306" s="7"/>
      <c r="C306" s="5"/>
      <c r="D306" s="8"/>
      <c r="E306" s="9"/>
      <c r="F306" s="9"/>
      <c r="G306" s="10"/>
      <c r="H306" s="10"/>
      <c r="I306" s="11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7"/>
      <c r="B307" s="7"/>
      <c r="C307" s="5"/>
      <c r="D307" s="8"/>
      <c r="E307" s="9"/>
      <c r="F307" s="9"/>
      <c r="G307" s="10"/>
      <c r="H307" s="10"/>
      <c r="I307" s="11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7"/>
      <c r="B308" s="7"/>
      <c r="C308" s="5"/>
      <c r="D308" s="8"/>
      <c r="E308" s="9"/>
      <c r="F308" s="9"/>
      <c r="G308" s="10"/>
      <c r="H308" s="10"/>
      <c r="I308" s="11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7"/>
      <c r="B309" s="7"/>
      <c r="C309" s="5"/>
      <c r="D309" s="8"/>
      <c r="E309" s="9"/>
      <c r="F309" s="9"/>
      <c r="G309" s="10"/>
      <c r="H309" s="10"/>
      <c r="I309" s="11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7"/>
      <c r="B310" s="7"/>
      <c r="C310" s="5"/>
      <c r="D310" s="8"/>
      <c r="E310" s="9"/>
      <c r="F310" s="9"/>
      <c r="G310" s="10"/>
      <c r="H310" s="10"/>
      <c r="I310" s="11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7"/>
      <c r="B311" s="7"/>
      <c r="C311" s="5"/>
      <c r="D311" s="8"/>
      <c r="E311" s="9"/>
      <c r="F311" s="9"/>
      <c r="G311" s="10"/>
      <c r="H311" s="10"/>
      <c r="I311" s="11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7"/>
      <c r="B312" s="7"/>
      <c r="C312" s="5"/>
      <c r="D312" s="8"/>
      <c r="E312" s="9"/>
      <c r="F312" s="9"/>
      <c r="G312" s="10"/>
      <c r="H312" s="10"/>
      <c r="I312" s="11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7"/>
      <c r="B313" s="7"/>
      <c r="C313" s="5"/>
      <c r="D313" s="8"/>
      <c r="E313" s="9"/>
      <c r="F313" s="9"/>
      <c r="G313" s="10"/>
      <c r="H313" s="10"/>
      <c r="I313" s="11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7"/>
      <c r="B314" s="7"/>
      <c r="C314" s="5"/>
      <c r="D314" s="8"/>
      <c r="E314" s="9"/>
      <c r="F314" s="9"/>
      <c r="G314" s="10"/>
      <c r="H314" s="10"/>
      <c r="I314" s="11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7"/>
      <c r="B315" s="7"/>
      <c r="C315" s="5"/>
      <c r="D315" s="8"/>
      <c r="E315" s="9"/>
      <c r="F315" s="9"/>
      <c r="G315" s="10"/>
      <c r="H315" s="10"/>
      <c r="I315" s="11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7"/>
      <c r="B316" s="7"/>
      <c r="C316" s="5"/>
      <c r="D316" s="8"/>
      <c r="E316" s="9"/>
      <c r="F316" s="9"/>
      <c r="G316" s="10"/>
      <c r="H316" s="10"/>
      <c r="I316" s="11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7"/>
      <c r="B317" s="7"/>
      <c r="C317" s="5"/>
      <c r="D317" s="8"/>
      <c r="E317" s="9"/>
      <c r="F317" s="9"/>
      <c r="G317" s="10"/>
      <c r="H317" s="10"/>
      <c r="I317" s="11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7"/>
      <c r="B318" s="7"/>
      <c r="C318" s="5"/>
      <c r="D318" s="8"/>
      <c r="E318" s="9"/>
      <c r="F318" s="9"/>
      <c r="G318" s="10"/>
      <c r="H318" s="10"/>
      <c r="I318" s="11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7"/>
      <c r="B319" s="7"/>
      <c r="C319" s="5"/>
      <c r="D319" s="8"/>
      <c r="E319" s="9"/>
      <c r="F319" s="9"/>
      <c r="G319" s="10"/>
      <c r="H319" s="10"/>
      <c r="I319" s="11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7"/>
      <c r="B320" s="7"/>
      <c r="C320" s="5"/>
      <c r="D320" s="8"/>
      <c r="E320" s="9"/>
      <c r="F320" s="9"/>
      <c r="G320" s="10"/>
      <c r="H320" s="10"/>
      <c r="I320" s="11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7"/>
      <c r="B321" s="7"/>
      <c r="C321" s="5"/>
      <c r="D321" s="8"/>
      <c r="E321" s="9"/>
      <c r="F321" s="9"/>
      <c r="G321" s="10"/>
      <c r="H321" s="10"/>
      <c r="I321" s="11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7"/>
      <c r="B322" s="7"/>
      <c r="C322" s="5"/>
      <c r="D322" s="8"/>
      <c r="E322" s="9"/>
      <c r="F322" s="9"/>
      <c r="G322" s="10"/>
      <c r="H322" s="10"/>
      <c r="I322" s="11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7"/>
      <c r="B323" s="7"/>
      <c r="C323" s="5"/>
      <c r="D323" s="8"/>
      <c r="E323" s="9"/>
      <c r="F323" s="9"/>
      <c r="G323" s="10"/>
      <c r="H323" s="10"/>
      <c r="I323" s="11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7"/>
      <c r="B324" s="7"/>
      <c r="C324" s="5"/>
      <c r="D324" s="8"/>
      <c r="E324" s="9"/>
      <c r="F324" s="9"/>
      <c r="G324" s="10"/>
      <c r="H324" s="10"/>
      <c r="I324" s="11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7"/>
      <c r="B325" s="7"/>
      <c r="C325" s="5"/>
      <c r="D325" s="8"/>
      <c r="E325" s="9"/>
      <c r="F325" s="9"/>
      <c r="G325" s="10"/>
      <c r="H325" s="10"/>
      <c r="I325" s="11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7"/>
      <c r="B326" s="7"/>
      <c r="C326" s="5"/>
      <c r="D326" s="8"/>
      <c r="E326" s="9"/>
      <c r="F326" s="9"/>
      <c r="G326" s="10"/>
      <c r="H326" s="10"/>
      <c r="I326" s="11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7"/>
      <c r="B327" s="7"/>
      <c r="C327" s="5"/>
      <c r="D327" s="8"/>
      <c r="E327" s="9"/>
      <c r="F327" s="9"/>
      <c r="G327" s="10"/>
      <c r="H327" s="10"/>
      <c r="I327" s="11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7"/>
      <c r="B328" s="7"/>
      <c r="C328" s="5"/>
      <c r="D328" s="8"/>
      <c r="E328" s="9"/>
      <c r="F328" s="9"/>
      <c r="G328" s="10"/>
      <c r="H328" s="10"/>
      <c r="I328" s="11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7"/>
      <c r="B329" s="7"/>
      <c r="C329" s="5"/>
      <c r="D329" s="8"/>
      <c r="E329" s="9"/>
      <c r="F329" s="9"/>
      <c r="G329" s="10"/>
      <c r="H329" s="10"/>
      <c r="I329" s="11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7"/>
      <c r="B330" s="7"/>
      <c r="C330" s="5"/>
      <c r="D330" s="8"/>
      <c r="E330" s="9"/>
      <c r="F330" s="9"/>
      <c r="G330" s="10"/>
      <c r="H330" s="10"/>
      <c r="I330" s="11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7"/>
      <c r="B331" s="7"/>
      <c r="C331" s="5"/>
      <c r="D331" s="8"/>
      <c r="E331" s="9"/>
      <c r="F331" s="9"/>
      <c r="G331" s="10"/>
      <c r="H331" s="10"/>
      <c r="I331" s="11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7"/>
      <c r="B332" s="7"/>
      <c r="C332" s="5"/>
      <c r="D332" s="8"/>
      <c r="E332" s="9"/>
      <c r="F332" s="9"/>
      <c r="G332" s="10"/>
      <c r="H332" s="10"/>
      <c r="I332" s="11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7"/>
      <c r="B333" s="7"/>
      <c r="C333" s="5"/>
      <c r="D333" s="8"/>
      <c r="E333" s="9"/>
      <c r="F333" s="9"/>
      <c r="G333" s="10"/>
      <c r="H333" s="10"/>
      <c r="I333" s="11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7"/>
      <c r="B334" s="7"/>
      <c r="C334" s="5"/>
      <c r="D334" s="8"/>
      <c r="E334" s="9"/>
      <c r="F334" s="9"/>
      <c r="G334" s="10"/>
      <c r="H334" s="10"/>
      <c r="I334" s="11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7"/>
      <c r="B335" s="7"/>
      <c r="C335" s="5"/>
      <c r="D335" s="8"/>
      <c r="E335" s="9"/>
      <c r="F335" s="9"/>
      <c r="G335" s="10"/>
      <c r="H335" s="10"/>
      <c r="I335" s="11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7"/>
      <c r="B336" s="7"/>
      <c r="C336" s="5"/>
      <c r="D336" s="8"/>
      <c r="E336" s="9"/>
      <c r="F336" s="9"/>
      <c r="G336" s="10"/>
      <c r="H336" s="10"/>
      <c r="I336" s="11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7"/>
      <c r="B337" s="7"/>
      <c r="C337" s="5"/>
      <c r="D337" s="8"/>
      <c r="E337" s="9"/>
      <c r="F337" s="9"/>
      <c r="G337" s="10"/>
      <c r="H337" s="10"/>
      <c r="I337" s="11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7"/>
      <c r="B338" s="7"/>
      <c r="C338" s="5"/>
      <c r="D338" s="8"/>
      <c r="E338" s="9"/>
      <c r="F338" s="9"/>
      <c r="G338" s="10"/>
      <c r="H338" s="10"/>
      <c r="I338" s="11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7"/>
      <c r="B339" s="7"/>
      <c r="C339" s="5"/>
      <c r="D339" s="8"/>
      <c r="E339" s="9"/>
      <c r="F339" s="9"/>
      <c r="G339" s="10"/>
      <c r="H339" s="10"/>
      <c r="I339" s="11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7"/>
      <c r="B340" s="7"/>
      <c r="C340" s="5"/>
      <c r="D340" s="8"/>
      <c r="E340" s="9"/>
      <c r="F340" s="9"/>
      <c r="G340" s="10"/>
      <c r="H340" s="10"/>
      <c r="I340" s="11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7"/>
      <c r="B341" s="7"/>
      <c r="C341" s="5"/>
      <c r="D341" s="8"/>
      <c r="E341" s="9"/>
      <c r="F341" s="9"/>
      <c r="G341" s="10"/>
      <c r="H341" s="10"/>
      <c r="I341" s="11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7"/>
      <c r="B342" s="7"/>
      <c r="C342" s="5"/>
      <c r="D342" s="8"/>
      <c r="E342" s="9"/>
      <c r="F342" s="9"/>
      <c r="G342" s="10"/>
      <c r="H342" s="10"/>
      <c r="I342" s="11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7"/>
      <c r="B343" s="7"/>
      <c r="C343" s="5"/>
      <c r="D343" s="8"/>
      <c r="E343" s="9"/>
      <c r="F343" s="9"/>
      <c r="G343" s="10"/>
      <c r="H343" s="10"/>
      <c r="I343" s="11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7"/>
      <c r="B344" s="7"/>
      <c r="C344" s="5"/>
      <c r="D344" s="8"/>
      <c r="E344" s="9"/>
      <c r="F344" s="9"/>
      <c r="G344" s="10"/>
      <c r="H344" s="10"/>
      <c r="I344" s="11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7"/>
      <c r="B345" s="7"/>
      <c r="C345" s="5"/>
      <c r="D345" s="8"/>
      <c r="E345" s="9"/>
      <c r="F345" s="9"/>
      <c r="G345" s="10"/>
      <c r="H345" s="10"/>
      <c r="I345" s="11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7"/>
      <c r="B346" s="7"/>
      <c r="C346" s="5"/>
      <c r="D346" s="8"/>
      <c r="E346" s="9"/>
      <c r="F346" s="9"/>
      <c r="G346" s="10"/>
      <c r="H346" s="10"/>
      <c r="I346" s="11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7"/>
      <c r="B347" s="7"/>
      <c r="C347" s="5"/>
      <c r="D347" s="8"/>
      <c r="E347" s="9"/>
      <c r="F347" s="9"/>
      <c r="G347" s="10"/>
      <c r="H347" s="10"/>
      <c r="I347" s="11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7"/>
      <c r="B348" s="7"/>
      <c r="C348" s="5"/>
      <c r="D348" s="8"/>
      <c r="E348" s="9"/>
      <c r="F348" s="9"/>
      <c r="G348" s="10"/>
      <c r="H348" s="10"/>
      <c r="I348" s="11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7"/>
      <c r="B349" s="7"/>
      <c r="C349" s="5"/>
      <c r="D349" s="8"/>
      <c r="E349" s="9"/>
      <c r="F349" s="9"/>
      <c r="G349" s="10"/>
      <c r="H349" s="10"/>
      <c r="I349" s="11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7"/>
      <c r="B350" s="7"/>
      <c r="C350" s="5"/>
      <c r="D350" s="8"/>
      <c r="E350" s="9"/>
      <c r="F350" s="9"/>
      <c r="G350" s="10"/>
      <c r="H350" s="10"/>
      <c r="I350" s="11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7"/>
      <c r="B351" s="7"/>
      <c r="C351" s="5"/>
      <c r="D351" s="8"/>
      <c r="E351" s="9"/>
      <c r="F351" s="9"/>
      <c r="G351" s="10"/>
      <c r="H351" s="10"/>
      <c r="I351" s="11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7"/>
      <c r="B352" s="7"/>
      <c r="C352" s="5"/>
      <c r="D352" s="8"/>
      <c r="E352" s="9"/>
      <c r="F352" s="9"/>
      <c r="G352" s="10"/>
      <c r="H352" s="10"/>
      <c r="I352" s="11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7"/>
      <c r="B353" s="7"/>
      <c r="C353" s="5"/>
      <c r="D353" s="8"/>
      <c r="E353" s="9"/>
      <c r="F353" s="9"/>
      <c r="G353" s="10"/>
      <c r="H353" s="10"/>
      <c r="I353" s="11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7"/>
      <c r="B354" s="7"/>
      <c r="C354" s="5"/>
      <c r="D354" s="8"/>
      <c r="E354" s="9"/>
      <c r="F354" s="9"/>
      <c r="G354" s="10"/>
      <c r="H354" s="10"/>
      <c r="I354" s="11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7"/>
      <c r="B355" s="7"/>
      <c r="C355" s="5"/>
      <c r="D355" s="8"/>
      <c r="E355" s="9"/>
      <c r="F355" s="9"/>
      <c r="G355" s="10"/>
      <c r="H355" s="10"/>
      <c r="I355" s="11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7"/>
      <c r="B356" s="7"/>
      <c r="C356" s="5"/>
      <c r="D356" s="8"/>
      <c r="E356" s="9"/>
      <c r="F356" s="9"/>
      <c r="G356" s="10"/>
      <c r="H356" s="10"/>
      <c r="I356" s="11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7"/>
      <c r="B357" s="7"/>
      <c r="C357" s="5"/>
      <c r="D357" s="8"/>
      <c r="E357" s="9"/>
      <c r="F357" s="9"/>
      <c r="G357" s="10"/>
      <c r="H357" s="10"/>
      <c r="I357" s="11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7"/>
      <c r="B358" s="7"/>
      <c r="C358" s="5"/>
      <c r="D358" s="8"/>
      <c r="E358" s="9"/>
      <c r="F358" s="9"/>
      <c r="G358" s="10"/>
      <c r="H358" s="10"/>
      <c r="I358" s="11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7"/>
      <c r="B359" s="7"/>
      <c r="C359" s="5"/>
      <c r="D359" s="8"/>
      <c r="E359" s="9"/>
      <c r="F359" s="9"/>
      <c r="G359" s="10"/>
      <c r="H359" s="10"/>
      <c r="I359" s="11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7"/>
      <c r="B360" s="7"/>
      <c r="C360" s="5"/>
      <c r="D360" s="8"/>
      <c r="E360" s="9"/>
      <c r="F360" s="9"/>
      <c r="G360" s="10"/>
      <c r="H360" s="10"/>
      <c r="I360" s="11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7"/>
      <c r="B361" s="7"/>
      <c r="C361" s="5"/>
      <c r="D361" s="8"/>
      <c r="E361" s="9"/>
      <c r="F361" s="9"/>
      <c r="G361" s="10"/>
      <c r="H361" s="10"/>
      <c r="I361" s="11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7"/>
      <c r="B362" s="7"/>
      <c r="C362" s="5"/>
      <c r="D362" s="8"/>
      <c r="E362" s="9"/>
      <c r="F362" s="9"/>
      <c r="G362" s="10"/>
      <c r="H362" s="10"/>
      <c r="I362" s="11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7"/>
      <c r="B363" s="7"/>
      <c r="C363" s="5"/>
      <c r="D363" s="8"/>
      <c r="E363" s="9"/>
      <c r="F363" s="9"/>
      <c r="G363" s="10"/>
      <c r="H363" s="10"/>
      <c r="I363" s="11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7"/>
      <c r="B364" s="7"/>
      <c r="C364" s="5"/>
      <c r="D364" s="8"/>
      <c r="E364" s="9"/>
      <c r="F364" s="9"/>
      <c r="G364" s="10"/>
      <c r="H364" s="10"/>
      <c r="I364" s="11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7"/>
      <c r="B365" s="7"/>
      <c r="C365" s="5"/>
      <c r="D365" s="8"/>
      <c r="E365" s="9"/>
      <c r="F365" s="9"/>
      <c r="G365" s="10"/>
      <c r="H365" s="10"/>
      <c r="I365" s="11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7"/>
      <c r="B366" s="7"/>
      <c r="C366" s="5"/>
      <c r="D366" s="8"/>
      <c r="E366" s="9"/>
      <c r="F366" s="9"/>
      <c r="G366" s="10"/>
      <c r="H366" s="10"/>
      <c r="I366" s="11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7"/>
      <c r="B367" s="7"/>
      <c r="C367" s="5"/>
      <c r="D367" s="8"/>
      <c r="E367" s="9"/>
      <c r="F367" s="9"/>
      <c r="G367" s="10"/>
      <c r="H367" s="10"/>
      <c r="I367" s="11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7"/>
      <c r="B368" s="7"/>
      <c r="C368" s="5"/>
      <c r="D368" s="8"/>
      <c r="E368" s="9"/>
      <c r="F368" s="9"/>
      <c r="G368" s="10"/>
      <c r="H368" s="10"/>
      <c r="I368" s="11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7"/>
      <c r="B369" s="7"/>
      <c r="C369" s="5"/>
      <c r="D369" s="8"/>
      <c r="E369" s="9"/>
      <c r="F369" s="9"/>
      <c r="G369" s="10"/>
      <c r="H369" s="10"/>
      <c r="I369" s="11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7"/>
      <c r="B370" s="7"/>
      <c r="C370" s="5"/>
      <c r="D370" s="8"/>
      <c r="E370" s="9"/>
      <c r="F370" s="9"/>
      <c r="G370" s="10"/>
      <c r="H370" s="10"/>
      <c r="I370" s="11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7"/>
      <c r="B371" s="7"/>
      <c r="C371" s="5"/>
      <c r="D371" s="8"/>
      <c r="E371" s="9"/>
      <c r="F371" s="9"/>
      <c r="G371" s="10"/>
      <c r="H371" s="10"/>
      <c r="I371" s="11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7"/>
      <c r="B372" s="7"/>
      <c r="C372" s="5"/>
      <c r="D372" s="8"/>
      <c r="E372" s="9"/>
      <c r="F372" s="9"/>
      <c r="G372" s="10"/>
      <c r="H372" s="10"/>
      <c r="I372" s="11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7"/>
      <c r="B373" s="7"/>
      <c r="C373" s="5"/>
      <c r="D373" s="8"/>
      <c r="E373" s="9"/>
      <c r="F373" s="9"/>
      <c r="G373" s="10"/>
      <c r="H373" s="10"/>
      <c r="I373" s="11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7"/>
      <c r="B374" s="7"/>
      <c r="C374" s="5"/>
      <c r="D374" s="8"/>
      <c r="E374" s="9"/>
      <c r="F374" s="9"/>
      <c r="G374" s="10"/>
      <c r="H374" s="10"/>
      <c r="I374" s="11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7"/>
      <c r="B375" s="7"/>
      <c r="C375" s="5"/>
      <c r="D375" s="8"/>
      <c r="E375" s="9"/>
      <c r="F375" s="9"/>
      <c r="G375" s="10"/>
      <c r="H375" s="10"/>
      <c r="I375" s="11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7"/>
      <c r="B376" s="7"/>
      <c r="C376" s="5"/>
      <c r="D376" s="8"/>
      <c r="E376" s="9"/>
      <c r="F376" s="9"/>
      <c r="G376" s="10"/>
      <c r="H376" s="10"/>
      <c r="I376" s="11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7"/>
      <c r="B377" s="7"/>
      <c r="C377" s="5"/>
      <c r="D377" s="8"/>
      <c r="E377" s="9"/>
      <c r="F377" s="9"/>
      <c r="G377" s="10"/>
      <c r="H377" s="10"/>
      <c r="I377" s="11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7"/>
      <c r="B378" s="7"/>
      <c r="C378" s="5"/>
      <c r="D378" s="8"/>
      <c r="E378" s="9"/>
      <c r="F378" s="9"/>
      <c r="G378" s="10"/>
      <c r="H378" s="10"/>
      <c r="I378" s="11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7"/>
      <c r="B379" s="7"/>
      <c r="C379" s="5"/>
      <c r="D379" s="8"/>
      <c r="E379" s="9"/>
      <c r="F379" s="9"/>
      <c r="G379" s="10"/>
      <c r="H379" s="10"/>
      <c r="I379" s="11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7"/>
      <c r="B380" s="7"/>
      <c r="C380" s="5"/>
      <c r="D380" s="8"/>
      <c r="E380" s="9"/>
      <c r="F380" s="9"/>
      <c r="G380" s="10"/>
      <c r="H380" s="10"/>
      <c r="I380" s="11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7"/>
      <c r="B381" s="7"/>
      <c r="C381" s="5"/>
      <c r="D381" s="8"/>
      <c r="E381" s="9"/>
      <c r="F381" s="9"/>
      <c r="G381" s="10"/>
      <c r="H381" s="10"/>
      <c r="I381" s="11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7"/>
      <c r="B382" s="7"/>
      <c r="C382" s="5"/>
      <c r="D382" s="8"/>
      <c r="E382" s="9"/>
      <c r="F382" s="9"/>
      <c r="G382" s="10"/>
      <c r="H382" s="10"/>
      <c r="I382" s="11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7"/>
      <c r="B383" s="7"/>
      <c r="C383" s="5"/>
      <c r="D383" s="8"/>
      <c r="E383" s="9"/>
      <c r="F383" s="9"/>
      <c r="G383" s="10"/>
      <c r="H383" s="10"/>
      <c r="I383" s="11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7"/>
      <c r="B384" s="7"/>
      <c r="C384" s="5"/>
      <c r="D384" s="8"/>
      <c r="E384" s="9"/>
      <c r="F384" s="9"/>
      <c r="G384" s="10"/>
      <c r="H384" s="10"/>
      <c r="I384" s="11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7"/>
      <c r="B385" s="7"/>
      <c r="C385" s="5"/>
      <c r="D385" s="8"/>
      <c r="E385" s="9"/>
      <c r="F385" s="9"/>
      <c r="G385" s="10"/>
      <c r="H385" s="10"/>
      <c r="I385" s="11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7"/>
      <c r="B386" s="7"/>
      <c r="C386" s="5"/>
      <c r="D386" s="8"/>
      <c r="E386" s="9"/>
      <c r="F386" s="9"/>
      <c r="G386" s="10"/>
      <c r="H386" s="10"/>
      <c r="I386" s="11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7"/>
      <c r="B387" s="7"/>
      <c r="C387" s="5"/>
      <c r="D387" s="8"/>
      <c r="E387" s="9"/>
      <c r="F387" s="9"/>
      <c r="G387" s="10"/>
      <c r="H387" s="10"/>
      <c r="I387" s="11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7"/>
      <c r="B388" s="7"/>
      <c r="C388" s="5"/>
      <c r="D388" s="8"/>
      <c r="E388" s="9"/>
      <c r="F388" s="9"/>
      <c r="G388" s="10"/>
      <c r="H388" s="10"/>
      <c r="I388" s="11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7"/>
      <c r="B389" s="7"/>
      <c r="C389" s="5"/>
      <c r="D389" s="8"/>
      <c r="E389" s="9"/>
      <c r="F389" s="9"/>
      <c r="G389" s="10"/>
      <c r="H389" s="10"/>
      <c r="I389" s="11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7"/>
      <c r="B390" s="7"/>
      <c r="C390" s="5"/>
      <c r="D390" s="8"/>
      <c r="E390" s="9"/>
      <c r="F390" s="9"/>
      <c r="G390" s="10"/>
      <c r="H390" s="10"/>
      <c r="I390" s="11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7"/>
      <c r="B391" s="7"/>
      <c r="C391" s="5"/>
      <c r="D391" s="8"/>
      <c r="E391" s="9"/>
      <c r="F391" s="9"/>
      <c r="G391" s="10"/>
      <c r="H391" s="10"/>
      <c r="I391" s="11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7"/>
      <c r="B392" s="7"/>
      <c r="C392" s="5"/>
      <c r="D392" s="8"/>
      <c r="E392" s="9"/>
      <c r="F392" s="9"/>
      <c r="G392" s="10"/>
      <c r="H392" s="10"/>
      <c r="I392" s="11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7"/>
      <c r="B393" s="7"/>
      <c r="C393" s="5"/>
      <c r="D393" s="8"/>
      <c r="E393" s="9"/>
      <c r="F393" s="9"/>
      <c r="G393" s="10"/>
      <c r="H393" s="10"/>
      <c r="I393" s="11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7"/>
      <c r="B394" s="7"/>
      <c r="C394" s="5"/>
      <c r="D394" s="8"/>
      <c r="E394" s="9"/>
      <c r="F394" s="9"/>
      <c r="G394" s="10"/>
      <c r="H394" s="10"/>
      <c r="I394" s="11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7"/>
      <c r="B395" s="7"/>
      <c r="C395" s="5"/>
      <c r="D395" s="8"/>
      <c r="E395" s="9"/>
      <c r="F395" s="9"/>
      <c r="G395" s="10"/>
      <c r="H395" s="10"/>
      <c r="I395" s="11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7"/>
      <c r="B396" s="7"/>
      <c r="C396" s="5"/>
      <c r="D396" s="8"/>
      <c r="E396" s="9"/>
      <c r="F396" s="9"/>
      <c r="G396" s="10"/>
      <c r="H396" s="10"/>
      <c r="I396" s="11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7"/>
      <c r="B397" s="7"/>
      <c r="C397" s="5"/>
      <c r="D397" s="8"/>
      <c r="E397" s="9"/>
      <c r="F397" s="9"/>
      <c r="G397" s="10"/>
      <c r="H397" s="10"/>
      <c r="I397" s="11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7"/>
      <c r="B398" s="7"/>
      <c r="C398" s="5"/>
      <c r="D398" s="8"/>
      <c r="E398" s="9"/>
      <c r="F398" s="9"/>
      <c r="G398" s="10"/>
      <c r="H398" s="10"/>
      <c r="I398" s="11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7"/>
      <c r="B399" s="7"/>
      <c r="C399" s="5"/>
      <c r="D399" s="8"/>
      <c r="E399" s="9"/>
      <c r="F399" s="9"/>
      <c r="G399" s="10"/>
      <c r="H399" s="10"/>
      <c r="I399" s="11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7"/>
      <c r="B400" s="7"/>
      <c r="C400" s="5"/>
      <c r="D400" s="8"/>
      <c r="E400" s="9"/>
      <c r="F400" s="9"/>
      <c r="G400" s="10"/>
      <c r="H400" s="10"/>
      <c r="I400" s="11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7"/>
      <c r="B401" s="7"/>
      <c r="C401" s="5"/>
      <c r="D401" s="8"/>
      <c r="E401" s="9"/>
      <c r="F401" s="9"/>
      <c r="G401" s="10"/>
      <c r="H401" s="10"/>
      <c r="I401" s="11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7"/>
      <c r="B402" s="7"/>
      <c r="C402" s="5"/>
      <c r="D402" s="8"/>
      <c r="E402" s="9"/>
      <c r="F402" s="9"/>
      <c r="G402" s="10"/>
      <c r="H402" s="10"/>
      <c r="I402" s="11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7"/>
      <c r="B403" s="7"/>
      <c r="C403" s="5"/>
      <c r="D403" s="8"/>
      <c r="E403" s="9"/>
      <c r="F403" s="9"/>
      <c r="G403" s="10"/>
      <c r="H403" s="10"/>
      <c r="I403" s="11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7"/>
      <c r="B404" s="7"/>
      <c r="C404" s="5"/>
      <c r="D404" s="8"/>
      <c r="E404" s="9"/>
      <c r="F404" s="9"/>
      <c r="G404" s="10"/>
      <c r="H404" s="10"/>
      <c r="I404" s="11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7"/>
      <c r="B405" s="7"/>
      <c r="C405" s="5"/>
      <c r="D405" s="8"/>
      <c r="E405" s="9"/>
      <c r="F405" s="9"/>
      <c r="G405" s="10"/>
      <c r="H405" s="10"/>
      <c r="I405" s="11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7"/>
      <c r="B406" s="7"/>
      <c r="C406" s="5"/>
      <c r="D406" s="8"/>
      <c r="E406" s="9"/>
      <c r="F406" s="9"/>
      <c r="G406" s="10"/>
      <c r="H406" s="10"/>
      <c r="I406" s="11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7"/>
      <c r="B407" s="7"/>
      <c r="C407" s="5"/>
      <c r="D407" s="8"/>
      <c r="E407" s="9"/>
      <c r="F407" s="9"/>
      <c r="G407" s="10"/>
      <c r="H407" s="10"/>
      <c r="I407" s="11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7"/>
      <c r="B408" s="7"/>
      <c r="C408" s="5"/>
      <c r="D408" s="8"/>
      <c r="E408" s="9"/>
      <c r="F408" s="9"/>
      <c r="G408" s="10"/>
      <c r="H408" s="10"/>
      <c r="I408" s="11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7"/>
      <c r="B409" s="7"/>
      <c r="C409" s="5"/>
      <c r="D409" s="8"/>
      <c r="E409" s="9"/>
      <c r="F409" s="9"/>
      <c r="G409" s="10"/>
      <c r="H409" s="10"/>
      <c r="I409" s="11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7"/>
      <c r="B410" s="7"/>
      <c r="C410" s="5"/>
      <c r="D410" s="8"/>
      <c r="E410" s="9"/>
      <c r="F410" s="9"/>
      <c r="G410" s="10"/>
      <c r="H410" s="10"/>
      <c r="I410" s="11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7"/>
      <c r="B411" s="7"/>
      <c r="C411" s="5"/>
      <c r="D411" s="8"/>
      <c r="E411" s="9"/>
      <c r="F411" s="9"/>
      <c r="G411" s="10"/>
      <c r="H411" s="10"/>
      <c r="I411" s="11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7"/>
      <c r="B412" s="7"/>
      <c r="C412" s="5"/>
      <c r="D412" s="8"/>
      <c r="E412" s="9"/>
      <c r="F412" s="9"/>
      <c r="G412" s="10"/>
      <c r="H412" s="10"/>
      <c r="I412" s="11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7"/>
      <c r="B413" s="7"/>
      <c r="C413" s="5"/>
      <c r="D413" s="8"/>
      <c r="E413" s="9"/>
      <c r="F413" s="9"/>
      <c r="G413" s="10"/>
      <c r="H413" s="10"/>
      <c r="I413" s="11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7"/>
      <c r="B414" s="7"/>
      <c r="C414" s="5"/>
      <c r="D414" s="8"/>
      <c r="E414" s="9"/>
      <c r="F414" s="9"/>
      <c r="G414" s="10"/>
      <c r="H414" s="10"/>
      <c r="I414" s="11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7"/>
      <c r="B415" s="7"/>
      <c r="C415" s="5"/>
      <c r="D415" s="8"/>
      <c r="E415" s="9"/>
      <c r="F415" s="9"/>
      <c r="G415" s="10"/>
      <c r="H415" s="10"/>
      <c r="I415" s="11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7"/>
      <c r="B416" s="7"/>
      <c r="C416" s="5"/>
      <c r="D416" s="8"/>
      <c r="E416" s="9"/>
      <c r="F416" s="9"/>
      <c r="G416" s="10"/>
      <c r="H416" s="10"/>
      <c r="I416" s="11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7"/>
      <c r="B417" s="7"/>
      <c r="C417" s="5"/>
      <c r="D417" s="8"/>
      <c r="E417" s="9"/>
      <c r="F417" s="9"/>
      <c r="G417" s="10"/>
      <c r="H417" s="10"/>
      <c r="I417" s="11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7"/>
      <c r="B418" s="7"/>
      <c r="C418" s="5"/>
      <c r="D418" s="8"/>
      <c r="E418" s="9"/>
      <c r="F418" s="9"/>
      <c r="G418" s="10"/>
      <c r="H418" s="10"/>
      <c r="I418" s="11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7"/>
      <c r="B419" s="7"/>
      <c r="C419" s="5"/>
      <c r="D419" s="8"/>
      <c r="E419" s="9"/>
      <c r="F419" s="9"/>
      <c r="G419" s="10"/>
      <c r="H419" s="10"/>
      <c r="I419" s="11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7"/>
      <c r="B420" s="7"/>
      <c r="C420" s="5"/>
      <c r="D420" s="8"/>
      <c r="E420" s="9"/>
      <c r="F420" s="9"/>
      <c r="G420" s="10"/>
      <c r="H420" s="10"/>
      <c r="I420" s="11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7"/>
      <c r="B421" s="7"/>
      <c r="C421" s="5"/>
      <c r="D421" s="8"/>
      <c r="E421" s="9"/>
      <c r="F421" s="9"/>
      <c r="G421" s="10"/>
      <c r="H421" s="10"/>
      <c r="I421" s="11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7"/>
      <c r="B422" s="7"/>
      <c r="C422" s="5"/>
      <c r="D422" s="8"/>
      <c r="E422" s="9"/>
      <c r="F422" s="9"/>
      <c r="G422" s="10"/>
      <c r="H422" s="10"/>
      <c r="I422" s="11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7"/>
      <c r="B423" s="7"/>
      <c r="C423" s="5"/>
      <c r="D423" s="8"/>
      <c r="E423" s="9"/>
      <c r="F423" s="9"/>
      <c r="G423" s="10"/>
      <c r="H423" s="10"/>
      <c r="I423" s="11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7"/>
      <c r="B424" s="7"/>
      <c r="C424" s="5"/>
      <c r="D424" s="8"/>
      <c r="E424" s="9"/>
      <c r="F424" s="9"/>
      <c r="G424" s="10"/>
      <c r="H424" s="10"/>
      <c r="I424" s="11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7"/>
      <c r="B425" s="7"/>
      <c r="C425" s="5"/>
      <c r="D425" s="8"/>
      <c r="E425" s="9"/>
      <c r="F425" s="9"/>
      <c r="G425" s="10"/>
      <c r="H425" s="10"/>
      <c r="I425" s="11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7"/>
      <c r="B426" s="7"/>
      <c r="C426" s="5"/>
      <c r="D426" s="8"/>
      <c r="E426" s="9"/>
      <c r="F426" s="9"/>
      <c r="G426" s="10"/>
      <c r="H426" s="10"/>
      <c r="I426" s="11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7"/>
      <c r="B427" s="7"/>
      <c r="C427" s="5"/>
      <c r="D427" s="8"/>
      <c r="E427" s="9"/>
      <c r="F427" s="9"/>
      <c r="G427" s="10"/>
      <c r="H427" s="10"/>
      <c r="I427" s="11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7"/>
      <c r="B428" s="7"/>
      <c r="C428" s="5"/>
      <c r="D428" s="8"/>
      <c r="E428" s="9"/>
      <c r="F428" s="9"/>
      <c r="G428" s="10"/>
      <c r="H428" s="10"/>
      <c r="I428" s="11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7"/>
      <c r="B429" s="7"/>
      <c r="C429" s="5"/>
      <c r="D429" s="8"/>
      <c r="E429" s="9"/>
      <c r="F429" s="9"/>
      <c r="G429" s="10"/>
      <c r="H429" s="10"/>
      <c r="I429" s="11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7"/>
      <c r="B430" s="7"/>
      <c r="C430" s="5"/>
      <c r="D430" s="8"/>
      <c r="E430" s="9"/>
      <c r="F430" s="9"/>
      <c r="G430" s="10"/>
      <c r="H430" s="10"/>
      <c r="I430" s="11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7"/>
      <c r="B431" s="7"/>
      <c r="C431" s="5"/>
      <c r="D431" s="8"/>
      <c r="E431" s="9"/>
      <c r="F431" s="9"/>
      <c r="G431" s="10"/>
      <c r="H431" s="10"/>
      <c r="I431" s="11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7"/>
      <c r="B432" s="7"/>
      <c r="C432" s="5"/>
      <c r="D432" s="8"/>
      <c r="E432" s="9"/>
      <c r="F432" s="9"/>
      <c r="G432" s="10"/>
      <c r="H432" s="10"/>
      <c r="I432" s="11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7"/>
      <c r="B433" s="7"/>
      <c r="C433" s="5"/>
      <c r="D433" s="8"/>
      <c r="E433" s="9"/>
      <c r="F433" s="9"/>
      <c r="G433" s="10"/>
      <c r="H433" s="10"/>
      <c r="I433" s="11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7"/>
      <c r="B434" s="7"/>
      <c r="C434" s="5"/>
      <c r="D434" s="8"/>
      <c r="E434" s="9"/>
      <c r="F434" s="9"/>
      <c r="G434" s="10"/>
      <c r="H434" s="10"/>
      <c r="I434" s="11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7"/>
      <c r="B435" s="7"/>
      <c r="C435" s="5"/>
      <c r="D435" s="8"/>
      <c r="E435" s="9"/>
      <c r="F435" s="9"/>
      <c r="G435" s="10"/>
      <c r="H435" s="10"/>
      <c r="I435" s="11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7"/>
      <c r="B436" s="7"/>
      <c r="C436" s="5"/>
      <c r="D436" s="8"/>
      <c r="E436" s="9"/>
      <c r="F436" s="9"/>
      <c r="G436" s="10"/>
      <c r="H436" s="10"/>
      <c r="I436" s="11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7"/>
      <c r="B437" s="7"/>
      <c r="C437" s="5"/>
      <c r="D437" s="8"/>
      <c r="E437" s="9"/>
      <c r="F437" s="9"/>
      <c r="G437" s="10"/>
      <c r="H437" s="10"/>
      <c r="I437" s="11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7"/>
      <c r="B438" s="7"/>
      <c r="C438" s="5"/>
      <c r="D438" s="8"/>
      <c r="E438" s="9"/>
      <c r="F438" s="9"/>
      <c r="G438" s="10"/>
      <c r="H438" s="10"/>
      <c r="I438" s="11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7"/>
      <c r="B439" s="7"/>
      <c r="C439" s="5"/>
      <c r="D439" s="8"/>
      <c r="E439" s="9"/>
      <c r="F439" s="9"/>
      <c r="G439" s="10"/>
      <c r="H439" s="10"/>
      <c r="I439" s="11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7"/>
      <c r="B440" s="7"/>
      <c r="C440" s="5"/>
      <c r="D440" s="8"/>
      <c r="E440" s="9"/>
      <c r="F440" s="9"/>
      <c r="G440" s="10"/>
      <c r="H440" s="10"/>
      <c r="I440" s="11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7"/>
      <c r="B441" s="7"/>
      <c r="C441" s="5"/>
      <c r="D441" s="8"/>
      <c r="E441" s="9"/>
      <c r="F441" s="9"/>
      <c r="G441" s="10"/>
      <c r="H441" s="10"/>
      <c r="I441" s="11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7"/>
      <c r="B442" s="7"/>
      <c r="C442" s="5"/>
      <c r="D442" s="8"/>
      <c r="E442" s="9"/>
      <c r="F442" s="9"/>
      <c r="G442" s="10"/>
      <c r="H442" s="10"/>
      <c r="I442" s="11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7"/>
      <c r="B443" s="7"/>
      <c r="C443" s="5"/>
      <c r="D443" s="8"/>
      <c r="E443" s="9"/>
      <c r="F443" s="9"/>
      <c r="G443" s="10"/>
      <c r="H443" s="10"/>
      <c r="I443" s="11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7"/>
      <c r="B444" s="7"/>
      <c r="C444" s="5"/>
      <c r="D444" s="8"/>
      <c r="E444" s="9"/>
      <c r="F444" s="9"/>
      <c r="G444" s="10"/>
      <c r="H444" s="10"/>
      <c r="I444" s="11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7"/>
      <c r="B445" s="7"/>
      <c r="C445" s="5"/>
      <c r="D445" s="8"/>
      <c r="E445" s="9"/>
      <c r="F445" s="9"/>
      <c r="G445" s="10"/>
      <c r="H445" s="10"/>
      <c r="I445" s="11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7"/>
      <c r="B446" s="7"/>
      <c r="C446" s="5"/>
      <c r="D446" s="8"/>
      <c r="E446" s="9"/>
      <c r="F446" s="9"/>
      <c r="G446" s="10"/>
      <c r="H446" s="10"/>
      <c r="I446" s="11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7"/>
      <c r="B447" s="7"/>
      <c r="C447" s="5"/>
      <c r="D447" s="8"/>
      <c r="E447" s="9"/>
      <c r="F447" s="9"/>
      <c r="G447" s="10"/>
      <c r="H447" s="10"/>
      <c r="I447" s="11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7"/>
      <c r="B448" s="7"/>
      <c r="C448" s="5"/>
      <c r="D448" s="8"/>
      <c r="E448" s="9"/>
      <c r="F448" s="9"/>
      <c r="G448" s="10"/>
      <c r="H448" s="10"/>
      <c r="I448" s="11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7"/>
      <c r="B449" s="7"/>
      <c r="C449" s="5"/>
      <c r="D449" s="8"/>
      <c r="E449" s="9"/>
      <c r="F449" s="9"/>
      <c r="G449" s="10"/>
      <c r="H449" s="10"/>
      <c r="I449" s="11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7"/>
      <c r="B450" s="7"/>
      <c r="C450" s="5"/>
      <c r="D450" s="8"/>
      <c r="E450" s="9"/>
      <c r="F450" s="9"/>
      <c r="G450" s="10"/>
      <c r="H450" s="10"/>
      <c r="I450" s="11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7"/>
      <c r="B451" s="7"/>
      <c r="C451" s="5"/>
      <c r="D451" s="8"/>
      <c r="E451" s="9"/>
      <c r="F451" s="9"/>
      <c r="G451" s="10"/>
      <c r="H451" s="10"/>
      <c r="I451" s="11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7"/>
      <c r="B452" s="7"/>
      <c r="C452" s="5"/>
      <c r="D452" s="8"/>
      <c r="E452" s="9"/>
      <c r="F452" s="9"/>
      <c r="G452" s="10"/>
      <c r="H452" s="10"/>
      <c r="I452" s="11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7"/>
      <c r="B453" s="7"/>
      <c r="C453" s="5"/>
      <c r="D453" s="8"/>
      <c r="E453" s="9"/>
      <c r="F453" s="9"/>
      <c r="G453" s="10"/>
      <c r="H453" s="10"/>
      <c r="I453" s="11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7"/>
      <c r="B454" s="7"/>
      <c r="C454" s="5"/>
      <c r="D454" s="8"/>
      <c r="E454" s="9"/>
      <c r="F454" s="9"/>
      <c r="G454" s="10"/>
      <c r="H454" s="10"/>
      <c r="I454" s="11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7"/>
      <c r="B455" s="7"/>
      <c r="C455" s="5"/>
      <c r="D455" s="8"/>
      <c r="E455" s="9"/>
      <c r="F455" s="9"/>
      <c r="G455" s="10"/>
      <c r="H455" s="10"/>
      <c r="I455" s="11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7"/>
      <c r="B456" s="7"/>
      <c r="C456" s="5"/>
      <c r="D456" s="8"/>
      <c r="E456" s="9"/>
      <c r="F456" s="9"/>
      <c r="G456" s="10"/>
      <c r="H456" s="10"/>
      <c r="I456" s="11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7"/>
      <c r="B457" s="7"/>
      <c r="C457" s="5"/>
      <c r="D457" s="8"/>
      <c r="E457" s="9"/>
      <c r="F457" s="9"/>
      <c r="G457" s="10"/>
      <c r="H457" s="10"/>
      <c r="I457" s="11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7"/>
      <c r="B458" s="7"/>
      <c r="C458" s="5"/>
      <c r="D458" s="8"/>
      <c r="E458" s="9"/>
      <c r="F458" s="9"/>
      <c r="G458" s="10"/>
      <c r="H458" s="10"/>
      <c r="I458" s="11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7"/>
      <c r="B459" s="7"/>
      <c r="C459" s="5"/>
      <c r="D459" s="8"/>
      <c r="E459" s="9"/>
      <c r="F459" s="9"/>
      <c r="G459" s="10"/>
      <c r="H459" s="10"/>
      <c r="I459" s="11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7"/>
      <c r="B460" s="7"/>
      <c r="C460" s="5"/>
      <c r="D460" s="8"/>
      <c r="E460" s="9"/>
      <c r="F460" s="9"/>
      <c r="G460" s="10"/>
      <c r="H460" s="10"/>
      <c r="I460" s="11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7"/>
      <c r="B461" s="7"/>
      <c r="C461" s="5"/>
      <c r="D461" s="8"/>
      <c r="E461" s="9"/>
      <c r="F461" s="9"/>
      <c r="G461" s="10"/>
      <c r="H461" s="10"/>
      <c r="I461" s="11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7"/>
      <c r="B462" s="7"/>
      <c r="C462" s="5"/>
      <c r="D462" s="8"/>
      <c r="E462" s="9"/>
      <c r="F462" s="9"/>
      <c r="G462" s="10"/>
      <c r="H462" s="10"/>
      <c r="I462" s="11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7"/>
      <c r="B463" s="7"/>
      <c r="C463" s="5"/>
      <c r="D463" s="8"/>
      <c r="E463" s="9"/>
      <c r="F463" s="9"/>
      <c r="G463" s="10"/>
      <c r="H463" s="10"/>
      <c r="I463" s="11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7"/>
      <c r="B464" s="7"/>
      <c r="C464" s="5"/>
      <c r="D464" s="8"/>
      <c r="E464" s="9"/>
      <c r="F464" s="9"/>
      <c r="G464" s="10"/>
      <c r="H464" s="10"/>
      <c r="I464" s="11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7"/>
      <c r="B465" s="7"/>
      <c r="C465" s="5"/>
      <c r="D465" s="8"/>
      <c r="E465" s="9"/>
      <c r="F465" s="9"/>
      <c r="G465" s="10"/>
      <c r="H465" s="10"/>
      <c r="I465" s="11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7"/>
      <c r="B466" s="7"/>
      <c r="C466" s="5"/>
      <c r="D466" s="8"/>
      <c r="E466" s="9"/>
      <c r="F466" s="9"/>
      <c r="G466" s="10"/>
      <c r="H466" s="10"/>
      <c r="I466" s="11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7"/>
      <c r="B467" s="7"/>
      <c r="C467" s="5"/>
      <c r="D467" s="8"/>
      <c r="E467" s="9"/>
      <c r="F467" s="9"/>
      <c r="G467" s="10"/>
      <c r="H467" s="10"/>
      <c r="I467" s="11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7"/>
      <c r="B468" s="7"/>
      <c r="C468" s="5"/>
      <c r="D468" s="8"/>
      <c r="E468" s="9"/>
      <c r="F468" s="9"/>
      <c r="G468" s="10"/>
      <c r="H468" s="10"/>
      <c r="I468" s="11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7"/>
      <c r="B469" s="7"/>
      <c r="C469" s="5"/>
      <c r="D469" s="8"/>
      <c r="E469" s="9"/>
      <c r="F469" s="9"/>
      <c r="G469" s="10"/>
      <c r="H469" s="10"/>
      <c r="I469" s="11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7"/>
      <c r="B470" s="7"/>
      <c r="C470" s="5"/>
      <c r="D470" s="8"/>
      <c r="E470" s="9"/>
      <c r="F470" s="9"/>
      <c r="G470" s="10"/>
      <c r="H470" s="10"/>
      <c r="I470" s="11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7"/>
      <c r="B471" s="7"/>
      <c r="C471" s="5"/>
      <c r="D471" s="8"/>
      <c r="E471" s="9"/>
      <c r="F471" s="9"/>
      <c r="G471" s="10"/>
      <c r="H471" s="10"/>
      <c r="I471" s="11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7"/>
      <c r="B472" s="7"/>
      <c r="C472" s="5"/>
      <c r="D472" s="8"/>
      <c r="E472" s="9"/>
      <c r="F472" s="9"/>
      <c r="G472" s="10"/>
      <c r="H472" s="10"/>
      <c r="I472" s="11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7"/>
      <c r="B473" s="7"/>
      <c r="C473" s="5"/>
      <c r="D473" s="8"/>
      <c r="E473" s="9"/>
      <c r="F473" s="9"/>
      <c r="G473" s="10"/>
      <c r="H473" s="10"/>
      <c r="I473" s="11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7"/>
      <c r="B474" s="7"/>
      <c r="C474" s="5"/>
      <c r="D474" s="8"/>
      <c r="E474" s="9"/>
      <c r="F474" s="9"/>
      <c r="G474" s="10"/>
      <c r="H474" s="10"/>
      <c r="I474" s="11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7"/>
      <c r="B475" s="7"/>
      <c r="C475" s="5"/>
      <c r="D475" s="8"/>
      <c r="E475" s="9"/>
      <c r="F475" s="9"/>
      <c r="G475" s="10"/>
      <c r="H475" s="10"/>
      <c r="I475" s="11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7"/>
      <c r="B476" s="7"/>
      <c r="C476" s="5"/>
      <c r="D476" s="8"/>
      <c r="E476" s="9"/>
      <c r="F476" s="9"/>
      <c r="G476" s="10"/>
      <c r="H476" s="10"/>
      <c r="I476" s="11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7"/>
      <c r="B477" s="7"/>
      <c r="C477" s="5"/>
      <c r="D477" s="8"/>
      <c r="E477" s="9"/>
      <c r="F477" s="9"/>
      <c r="G477" s="10"/>
      <c r="H477" s="10"/>
      <c r="I477" s="11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7"/>
      <c r="B478" s="7"/>
      <c r="C478" s="5"/>
      <c r="D478" s="8"/>
      <c r="E478" s="9"/>
      <c r="F478" s="9"/>
      <c r="G478" s="10"/>
      <c r="H478" s="10"/>
      <c r="I478" s="11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7"/>
      <c r="B479" s="7"/>
      <c r="C479" s="5"/>
      <c r="D479" s="8"/>
      <c r="E479" s="9"/>
      <c r="F479" s="9"/>
      <c r="G479" s="10"/>
      <c r="H479" s="10"/>
      <c r="I479" s="11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7"/>
      <c r="B480" s="7"/>
      <c r="C480" s="5"/>
      <c r="D480" s="8"/>
      <c r="E480" s="9"/>
      <c r="F480" s="9"/>
      <c r="G480" s="10"/>
      <c r="H480" s="10"/>
      <c r="I480" s="11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7"/>
      <c r="B481" s="7"/>
      <c r="C481" s="5"/>
      <c r="D481" s="8"/>
      <c r="E481" s="9"/>
      <c r="F481" s="9"/>
      <c r="G481" s="10"/>
      <c r="H481" s="10"/>
      <c r="I481" s="11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7"/>
      <c r="B482" s="7"/>
      <c r="C482" s="5"/>
      <c r="D482" s="8"/>
      <c r="E482" s="9"/>
      <c r="F482" s="9"/>
      <c r="G482" s="10"/>
      <c r="H482" s="10"/>
      <c r="I482" s="11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7"/>
      <c r="B483" s="7"/>
      <c r="C483" s="5"/>
      <c r="D483" s="8"/>
      <c r="E483" s="9"/>
      <c r="F483" s="9"/>
      <c r="G483" s="10"/>
      <c r="H483" s="10"/>
      <c r="I483" s="11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7"/>
      <c r="B484" s="7"/>
      <c r="C484" s="5"/>
      <c r="D484" s="8"/>
      <c r="E484" s="9"/>
      <c r="F484" s="9"/>
      <c r="G484" s="10"/>
      <c r="H484" s="10"/>
      <c r="I484" s="11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7"/>
      <c r="B485" s="7"/>
      <c r="C485" s="5"/>
      <c r="D485" s="8"/>
      <c r="E485" s="9"/>
      <c r="F485" s="9"/>
      <c r="G485" s="10"/>
      <c r="H485" s="10"/>
      <c r="I485" s="11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7"/>
      <c r="B486" s="7"/>
      <c r="C486" s="5"/>
      <c r="D486" s="8"/>
      <c r="E486" s="9"/>
      <c r="F486" s="9"/>
      <c r="G486" s="10"/>
      <c r="H486" s="10"/>
      <c r="I486" s="11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7"/>
      <c r="B487" s="7"/>
      <c r="C487" s="5"/>
      <c r="D487" s="8"/>
      <c r="E487" s="9"/>
      <c r="F487" s="9"/>
      <c r="G487" s="10"/>
      <c r="H487" s="10"/>
      <c r="I487" s="11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7"/>
      <c r="B488" s="7"/>
      <c r="C488" s="5"/>
      <c r="D488" s="8"/>
      <c r="E488" s="9"/>
      <c r="F488" s="9"/>
      <c r="G488" s="10"/>
      <c r="H488" s="10"/>
      <c r="I488" s="11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7"/>
      <c r="B489" s="7"/>
      <c r="C489" s="5"/>
      <c r="D489" s="8"/>
      <c r="E489" s="9"/>
      <c r="F489" s="9"/>
      <c r="G489" s="10"/>
      <c r="H489" s="10"/>
      <c r="I489" s="11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7"/>
      <c r="B490" s="7"/>
      <c r="C490" s="5"/>
      <c r="D490" s="8"/>
      <c r="E490" s="9"/>
      <c r="F490" s="9"/>
      <c r="G490" s="10"/>
      <c r="H490" s="10"/>
      <c r="I490" s="11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7"/>
      <c r="B491" s="7"/>
      <c r="C491" s="5"/>
      <c r="D491" s="8"/>
      <c r="E491" s="9"/>
      <c r="F491" s="9"/>
      <c r="G491" s="10"/>
      <c r="H491" s="10"/>
      <c r="I491" s="11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7"/>
      <c r="B492" s="7"/>
      <c r="C492" s="5"/>
      <c r="D492" s="8"/>
      <c r="E492" s="9"/>
      <c r="F492" s="9"/>
      <c r="G492" s="10"/>
      <c r="H492" s="10"/>
      <c r="I492" s="11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7"/>
      <c r="B493" s="7"/>
      <c r="C493" s="5"/>
      <c r="D493" s="8"/>
      <c r="E493" s="9"/>
      <c r="F493" s="9"/>
      <c r="G493" s="10"/>
      <c r="H493" s="10"/>
      <c r="I493" s="11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7"/>
      <c r="B494" s="7"/>
      <c r="C494" s="5"/>
      <c r="D494" s="8"/>
      <c r="E494" s="9"/>
      <c r="F494" s="9"/>
      <c r="G494" s="10"/>
      <c r="H494" s="10"/>
      <c r="I494" s="11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7"/>
      <c r="B495" s="7"/>
      <c r="C495" s="5"/>
      <c r="D495" s="8"/>
      <c r="E495" s="9"/>
      <c r="F495" s="9"/>
      <c r="G495" s="10"/>
      <c r="H495" s="10"/>
      <c r="I495" s="11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7"/>
      <c r="B496" s="7"/>
      <c r="C496" s="5"/>
      <c r="D496" s="8"/>
      <c r="E496" s="9"/>
      <c r="F496" s="9"/>
      <c r="G496" s="10"/>
      <c r="H496" s="10"/>
      <c r="I496" s="11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7"/>
      <c r="B497" s="7"/>
      <c r="C497" s="5"/>
      <c r="D497" s="8"/>
      <c r="E497" s="9"/>
      <c r="F497" s="9"/>
      <c r="G497" s="10"/>
      <c r="H497" s="10"/>
      <c r="I497" s="11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7"/>
      <c r="B498" s="7"/>
      <c r="C498" s="5"/>
      <c r="D498" s="8"/>
      <c r="E498" s="9"/>
      <c r="F498" s="9"/>
      <c r="G498" s="10"/>
      <c r="H498" s="10"/>
      <c r="I498" s="11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7"/>
      <c r="B499" s="7"/>
      <c r="C499" s="5"/>
      <c r="D499" s="8"/>
      <c r="E499" s="9"/>
      <c r="F499" s="9"/>
      <c r="G499" s="10"/>
      <c r="H499" s="10"/>
      <c r="I499" s="11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7"/>
      <c r="B500" s="7"/>
      <c r="C500" s="5"/>
      <c r="D500" s="8"/>
      <c r="E500" s="9"/>
      <c r="F500" s="9"/>
      <c r="G500" s="10"/>
      <c r="H500" s="10"/>
      <c r="I500" s="11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7"/>
      <c r="B501" s="7"/>
      <c r="C501" s="5"/>
      <c r="D501" s="8"/>
      <c r="E501" s="9"/>
      <c r="F501" s="9"/>
      <c r="G501" s="10"/>
      <c r="H501" s="10"/>
      <c r="I501" s="11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7"/>
      <c r="B502" s="7"/>
      <c r="C502" s="5"/>
      <c r="D502" s="8"/>
      <c r="E502" s="9"/>
      <c r="F502" s="9"/>
      <c r="G502" s="10"/>
      <c r="H502" s="10"/>
      <c r="I502" s="11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7"/>
      <c r="B503" s="7"/>
      <c r="C503" s="5"/>
      <c r="D503" s="8"/>
      <c r="E503" s="9"/>
      <c r="F503" s="9"/>
      <c r="G503" s="10"/>
      <c r="H503" s="10"/>
      <c r="I503" s="11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7"/>
      <c r="B504" s="7"/>
      <c r="C504" s="5"/>
      <c r="D504" s="8"/>
      <c r="E504" s="9"/>
      <c r="F504" s="9"/>
      <c r="G504" s="10"/>
      <c r="H504" s="10"/>
      <c r="I504" s="11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7"/>
      <c r="B505" s="7"/>
      <c r="C505" s="5"/>
      <c r="D505" s="8"/>
      <c r="E505" s="9"/>
      <c r="F505" s="9"/>
      <c r="G505" s="10"/>
      <c r="H505" s="10"/>
      <c r="I505" s="11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7"/>
      <c r="B506" s="7"/>
      <c r="C506" s="5"/>
      <c r="D506" s="8"/>
      <c r="E506" s="9"/>
      <c r="F506" s="9"/>
      <c r="G506" s="10"/>
      <c r="H506" s="10"/>
      <c r="I506" s="11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7"/>
      <c r="B507" s="7"/>
      <c r="C507" s="5"/>
      <c r="D507" s="8"/>
      <c r="E507" s="9"/>
      <c r="F507" s="9"/>
      <c r="G507" s="10"/>
      <c r="H507" s="10"/>
      <c r="I507" s="11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7"/>
      <c r="B508" s="7"/>
      <c r="C508" s="5"/>
      <c r="D508" s="8"/>
      <c r="E508" s="9"/>
      <c r="F508" s="9"/>
      <c r="G508" s="10"/>
      <c r="H508" s="10"/>
      <c r="I508" s="11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7"/>
      <c r="B509" s="7"/>
      <c r="C509" s="5"/>
      <c r="D509" s="8"/>
      <c r="E509" s="9"/>
      <c r="F509" s="9"/>
      <c r="G509" s="10"/>
      <c r="H509" s="10"/>
      <c r="I509" s="11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7"/>
      <c r="B510" s="7"/>
      <c r="C510" s="5"/>
      <c r="D510" s="8"/>
      <c r="E510" s="9"/>
      <c r="F510" s="9"/>
      <c r="G510" s="10"/>
      <c r="H510" s="10"/>
      <c r="I510" s="11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7"/>
      <c r="B511" s="7"/>
      <c r="C511" s="5"/>
      <c r="D511" s="8"/>
      <c r="E511" s="9"/>
      <c r="F511" s="9"/>
      <c r="G511" s="10"/>
      <c r="H511" s="10"/>
      <c r="I511" s="11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7"/>
      <c r="B512" s="7"/>
      <c r="C512" s="5"/>
      <c r="D512" s="8"/>
      <c r="E512" s="9"/>
      <c r="F512" s="9"/>
      <c r="G512" s="10"/>
      <c r="H512" s="10"/>
      <c r="I512" s="11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7"/>
      <c r="B513" s="7"/>
      <c r="C513" s="5"/>
      <c r="D513" s="8"/>
      <c r="E513" s="9"/>
      <c r="F513" s="9"/>
      <c r="G513" s="10"/>
      <c r="H513" s="10"/>
      <c r="I513" s="11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7"/>
      <c r="B514" s="7"/>
      <c r="C514" s="5"/>
      <c r="D514" s="8"/>
      <c r="E514" s="9"/>
      <c r="F514" s="9"/>
      <c r="G514" s="10"/>
      <c r="H514" s="10"/>
      <c r="I514" s="11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7"/>
      <c r="B515" s="7"/>
      <c r="C515" s="5"/>
      <c r="D515" s="8"/>
      <c r="E515" s="9"/>
      <c r="F515" s="9"/>
      <c r="G515" s="10"/>
      <c r="H515" s="10"/>
      <c r="I515" s="11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7"/>
      <c r="B516" s="7"/>
      <c r="C516" s="5"/>
      <c r="D516" s="8"/>
      <c r="E516" s="9"/>
      <c r="F516" s="9"/>
      <c r="G516" s="10"/>
      <c r="H516" s="10"/>
      <c r="I516" s="11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7"/>
      <c r="B517" s="7"/>
      <c r="C517" s="5"/>
      <c r="D517" s="8"/>
      <c r="E517" s="9"/>
      <c r="F517" s="9"/>
      <c r="G517" s="10"/>
      <c r="H517" s="10"/>
      <c r="I517" s="11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7"/>
      <c r="B518" s="7"/>
      <c r="C518" s="5"/>
      <c r="D518" s="8"/>
      <c r="E518" s="9"/>
      <c r="F518" s="9"/>
      <c r="G518" s="10"/>
      <c r="H518" s="10"/>
      <c r="I518" s="11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7"/>
      <c r="B519" s="7"/>
      <c r="C519" s="5"/>
      <c r="D519" s="8"/>
      <c r="E519" s="9"/>
      <c r="F519" s="9"/>
      <c r="G519" s="10"/>
      <c r="H519" s="10"/>
      <c r="I519" s="11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7"/>
      <c r="B520" s="7"/>
      <c r="C520" s="5"/>
      <c r="D520" s="8"/>
      <c r="E520" s="9"/>
      <c r="F520" s="9"/>
      <c r="G520" s="10"/>
      <c r="H520" s="10"/>
      <c r="I520" s="11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7"/>
      <c r="B521" s="7"/>
      <c r="C521" s="5"/>
      <c r="D521" s="8"/>
      <c r="E521" s="9"/>
      <c r="F521" s="9"/>
      <c r="G521" s="10"/>
      <c r="H521" s="10"/>
      <c r="I521" s="11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7"/>
      <c r="B522" s="7"/>
      <c r="C522" s="5"/>
      <c r="D522" s="8"/>
      <c r="E522" s="9"/>
      <c r="F522" s="9"/>
      <c r="G522" s="10"/>
      <c r="H522" s="10"/>
      <c r="I522" s="11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7"/>
      <c r="B523" s="7"/>
      <c r="C523" s="5"/>
      <c r="D523" s="8"/>
      <c r="E523" s="9"/>
      <c r="F523" s="9"/>
      <c r="G523" s="10"/>
      <c r="H523" s="10"/>
      <c r="I523" s="11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7"/>
      <c r="B524" s="7"/>
      <c r="C524" s="5"/>
      <c r="D524" s="8"/>
      <c r="E524" s="9"/>
      <c r="F524" s="9"/>
      <c r="G524" s="10"/>
      <c r="H524" s="10"/>
      <c r="I524" s="11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7"/>
      <c r="B525" s="7"/>
      <c r="C525" s="5"/>
      <c r="D525" s="8"/>
      <c r="E525" s="9"/>
      <c r="F525" s="9"/>
      <c r="G525" s="10"/>
      <c r="H525" s="10"/>
      <c r="I525" s="11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7"/>
      <c r="B526" s="7"/>
      <c r="C526" s="5"/>
      <c r="D526" s="8"/>
      <c r="E526" s="9"/>
      <c r="F526" s="9"/>
      <c r="G526" s="10"/>
      <c r="H526" s="10"/>
      <c r="I526" s="11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7"/>
      <c r="B527" s="7"/>
      <c r="C527" s="5"/>
      <c r="D527" s="8"/>
      <c r="E527" s="9"/>
      <c r="F527" s="9"/>
      <c r="G527" s="10"/>
      <c r="H527" s="10"/>
      <c r="I527" s="11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7"/>
      <c r="B528" s="7"/>
      <c r="C528" s="5"/>
      <c r="D528" s="8"/>
      <c r="E528" s="9"/>
      <c r="F528" s="9"/>
      <c r="G528" s="10"/>
      <c r="H528" s="10"/>
      <c r="I528" s="11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7"/>
      <c r="B529" s="7"/>
      <c r="C529" s="5"/>
      <c r="D529" s="8"/>
      <c r="E529" s="9"/>
      <c r="F529" s="9"/>
      <c r="G529" s="10"/>
      <c r="H529" s="10"/>
      <c r="I529" s="11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7"/>
      <c r="B530" s="7"/>
      <c r="C530" s="5"/>
      <c r="D530" s="8"/>
      <c r="E530" s="9"/>
      <c r="F530" s="9"/>
      <c r="G530" s="10"/>
      <c r="H530" s="10"/>
      <c r="I530" s="11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7"/>
      <c r="B531" s="7"/>
      <c r="C531" s="5"/>
      <c r="D531" s="8"/>
      <c r="E531" s="9"/>
      <c r="F531" s="9"/>
      <c r="G531" s="10"/>
      <c r="H531" s="10"/>
      <c r="I531" s="11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7"/>
      <c r="B532" s="7"/>
      <c r="C532" s="5"/>
      <c r="D532" s="8"/>
      <c r="E532" s="9"/>
      <c r="F532" s="9"/>
      <c r="G532" s="10"/>
      <c r="H532" s="10"/>
      <c r="I532" s="11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7"/>
      <c r="B533" s="7"/>
      <c r="C533" s="5"/>
      <c r="D533" s="8"/>
      <c r="E533" s="9"/>
      <c r="F533" s="9"/>
      <c r="G533" s="10"/>
      <c r="H533" s="10"/>
      <c r="I533" s="11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7"/>
      <c r="B534" s="7"/>
      <c r="C534" s="5"/>
      <c r="D534" s="8"/>
      <c r="E534" s="9"/>
      <c r="F534" s="9"/>
      <c r="G534" s="10"/>
      <c r="H534" s="10"/>
      <c r="I534" s="11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7"/>
      <c r="B535" s="7"/>
      <c r="C535" s="5"/>
      <c r="D535" s="8"/>
      <c r="E535" s="9"/>
      <c r="F535" s="9"/>
      <c r="G535" s="10"/>
      <c r="H535" s="10"/>
      <c r="I535" s="11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7"/>
      <c r="B536" s="7"/>
      <c r="C536" s="5"/>
      <c r="D536" s="8"/>
      <c r="E536" s="9"/>
      <c r="F536" s="9"/>
      <c r="G536" s="10"/>
      <c r="H536" s="10"/>
      <c r="I536" s="11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7"/>
      <c r="B537" s="7"/>
      <c r="C537" s="5"/>
      <c r="D537" s="8"/>
      <c r="E537" s="9"/>
      <c r="F537" s="9"/>
      <c r="G537" s="10"/>
      <c r="H537" s="10"/>
      <c r="I537" s="11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7"/>
      <c r="B538" s="7"/>
      <c r="C538" s="5"/>
      <c r="D538" s="8"/>
      <c r="E538" s="9"/>
      <c r="F538" s="9"/>
      <c r="G538" s="10"/>
      <c r="H538" s="10"/>
      <c r="I538" s="11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7"/>
      <c r="B539" s="7"/>
      <c r="C539" s="5"/>
      <c r="D539" s="8"/>
      <c r="E539" s="9"/>
      <c r="F539" s="9"/>
      <c r="G539" s="10"/>
      <c r="H539" s="10"/>
      <c r="I539" s="11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7"/>
      <c r="B540" s="7"/>
      <c r="C540" s="5"/>
      <c r="D540" s="8"/>
      <c r="E540" s="9"/>
      <c r="F540" s="9"/>
      <c r="G540" s="10"/>
      <c r="H540" s="10"/>
      <c r="I540" s="11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7"/>
      <c r="B541" s="7"/>
      <c r="C541" s="5"/>
      <c r="D541" s="8"/>
      <c r="E541" s="9"/>
      <c r="F541" s="9"/>
      <c r="G541" s="10"/>
      <c r="H541" s="10"/>
      <c r="I541" s="11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7"/>
      <c r="B542" s="7"/>
      <c r="C542" s="5"/>
      <c r="D542" s="8"/>
      <c r="E542" s="9"/>
      <c r="F542" s="9"/>
      <c r="G542" s="10"/>
      <c r="H542" s="10"/>
      <c r="I542" s="11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7"/>
      <c r="B543" s="7"/>
      <c r="C543" s="5"/>
      <c r="D543" s="8"/>
      <c r="E543" s="9"/>
      <c r="F543" s="9"/>
      <c r="G543" s="10"/>
      <c r="H543" s="10"/>
      <c r="I543" s="11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7"/>
      <c r="B544" s="7"/>
      <c r="C544" s="5"/>
      <c r="D544" s="8"/>
      <c r="E544" s="9"/>
      <c r="F544" s="9"/>
      <c r="G544" s="10"/>
      <c r="H544" s="10"/>
      <c r="I544" s="11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7"/>
      <c r="B545" s="7"/>
      <c r="C545" s="5"/>
      <c r="D545" s="8"/>
      <c r="E545" s="9"/>
      <c r="F545" s="9"/>
      <c r="G545" s="10"/>
      <c r="H545" s="10"/>
      <c r="I545" s="11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7"/>
      <c r="B546" s="7"/>
      <c r="C546" s="5"/>
      <c r="D546" s="8"/>
      <c r="E546" s="9"/>
      <c r="F546" s="9"/>
      <c r="G546" s="10"/>
      <c r="H546" s="10"/>
      <c r="I546" s="11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7"/>
      <c r="B547" s="7"/>
      <c r="C547" s="5"/>
      <c r="D547" s="8"/>
      <c r="E547" s="9"/>
      <c r="F547" s="9"/>
      <c r="G547" s="10"/>
      <c r="H547" s="10"/>
      <c r="I547" s="11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7"/>
      <c r="B548" s="7"/>
      <c r="C548" s="5"/>
      <c r="D548" s="8"/>
      <c r="E548" s="9"/>
      <c r="F548" s="9"/>
      <c r="G548" s="10"/>
      <c r="H548" s="10"/>
      <c r="I548" s="11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7"/>
      <c r="B549" s="7"/>
      <c r="C549" s="5"/>
      <c r="D549" s="8"/>
      <c r="E549" s="9"/>
      <c r="F549" s="9"/>
      <c r="G549" s="10"/>
      <c r="H549" s="10"/>
      <c r="I549" s="11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7"/>
      <c r="B550" s="7"/>
      <c r="C550" s="5"/>
      <c r="D550" s="8"/>
      <c r="E550" s="9"/>
      <c r="F550" s="9"/>
      <c r="G550" s="10"/>
      <c r="H550" s="10"/>
      <c r="I550" s="11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7"/>
      <c r="B551" s="7"/>
      <c r="C551" s="5"/>
      <c r="D551" s="8"/>
      <c r="E551" s="9"/>
      <c r="F551" s="9"/>
      <c r="G551" s="10"/>
      <c r="H551" s="10"/>
      <c r="I551" s="11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7"/>
      <c r="B552" s="7"/>
      <c r="C552" s="5"/>
      <c r="D552" s="8"/>
      <c r="E552" s="9"/>
      <c r="F552" s="9"/>
      <c r="G552" s="10"/>
      <c r="H552" s="10"/>
      <c r="I552" s="11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7"/>
      <c r="B553" s="7"/>
      <c r="C553" s="5"/>
      <c r="D553" s="8"/>
      <c r="E553" s="9"/>
      <c r="F553" s="9"/>
      <c r="G553" s="10"/>
      <c r="H553" s="10"/>
      <c r="I553" s="11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7"/>
      <c r="B554" s="7"/>
      <c r="C554" s="5"/>
      <c r="D554" s="8"/>
      <c r="E554" s="9"/>
      <c r="F554" s="9"/>
      <c r="G554" s="10"/>
      <c r="H554" s="10"/>
      <c r="I554" s="11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7"/>
      <c r="B555" s="7"/>
      <c r="C555" s="5"/>
      <c r="D555" s="8"/>
      <c r="E555" s="9"/>
      <c r="F555" s="9"/>
      <c r="G555" s="10"/>
      <c r="H555" s="10"/>
      <c r="I555" s="11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7"/>
      <c r="B556" s="7"/>
      <c r="C556" s="5"/>
      <c r="D556" s="8"/>
      <c r="E556" s="9"/>
      <c r="F556" s="9"/>
      <c r="G556" s="10"/>
      <c r="H556" s="10"/>
      <c r="I556" s="11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7"/>
      <c r="B557" s="7"/>
      <c r="C557" s="5"/>
      <c r="D557" s="8"/>
      <c r="E557" s="9"/>
      <c r="F557" s="9"/>
      <c r="G557" s="10"/>
      <c r="H557" s="10"/>
      <c r="I557" s="11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7"/>
      <c r="B558" s="7"/>
      <c r="C558" s="5"/>
      <c r="D558" s="8"/>
      <c r="E558" s="9"/>
      <c r="F558" s="9"/>
      <c r="G558" s="10"/>
      <c r="H558" s="10"/>
      <c r="I558" s="11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7"/>
      <c r="B559" s="7"/>
      <c r="C559" s="5"/>
      <c r="D559" s="8"/>
      <c r="E559" s="9"/>
      <c r="F559" s="9"/>
      <c r="G559" s="10"/>
      <c r="H559" s="10"/>
      <c r="I559" s="11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7"/>
      <c r="B560" s="7"/>
      <c r="C560" s="5"/>
      <c r="D560" s="8"/>
      <c r="E560" s="9"/>
      <c r="F560" s="9"/>
      <c r="G560" s="10"/>
      <c r="H560" s="10"/>
      <c r="I560" s="11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7"/>
      <c r="B561" s="7"/>
      <c r="C561" s="5"/>
      <c r="D561" s="8"/>
      <c r="E561" s="9"/>
      <c r="F561" s="9"/>
      <c r="G561" s="10"/>
      <c r="H561" s="10"/>
      <c r="I561" s="11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7"/>
      <c r="B562" s="7"/>
      <c r="C562" s="5"/>
      <c r="D562" s="8"/>
      <c r="E562" s="9"/>
      <c r="F562" s="9"/>
      <c r="G562" s="10"/>
      <c r="H562" s="10"/>
      <c r="I562" s="11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7"/>
      <c r="B563" s="7"/>
      <c r="C563" s="5"/>
      <c r="D563" s="8"/>
      <c r="E563" s="9"/>
      <c r="F563" s="9"/>
      <c r="G563" s="10"/>
      <c r="H563" s="10"/>
      <c r="I563" s="11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7"/>
      <c r="B564" s="7"/>
      <c r="C564" s="5"/>
      <c r="D564" s="8"/>
      <c r="E564" s="9"/>
      <c r="F564" s="9"/>
      <c r="G564" s="10"/>
      <c r="H564" s="10"/>
      <c r="I564" s="11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7"/>
      <c r="B565" s="7"/>
      <c r="C565" s="5"/>
      <c r="D565" s="8"/>
      <c r="E565" s="9"/>
      <c r="F565" s="9"/>
      <c r="G565" s="10"/>
      <c r="H565" s="10"/>
      <c r="I565" s="11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7"/>
      <c r="B566" s="7"/>
      <c r="C566" s="5"/>
      <c r="D566" s="8"/>
      <c r="E566" s="9"/>
      <c r="F566" s="9"/>
      <c r="G566" s="10"/>
      <c r="H566" s="10"/>
      <c r="I566" s="11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7"/>
      <c r="B567" s="7"/>
      <c r="C567" s="5"/>
      <c r="D567" s="8"/>
      <c r="E567" s="9"/>
      <c r="F567" s="9"/>
      <c r="G567" s="10"/>
      <c r="H567" s="10"/>
      <c r="I567" s="11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7"/>
      <c r="B568" s="7"/>
      <c r="C568" s="5"/>
      <c r="D568" s="8"/>
      <c r="E568" s="9"/>
      <c r="F568" s="9"/>
      <c r="G568" s="10"/>
      <c r="H568" s="10"/>
      <c r="I568" s="11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7"/>
      <c r="B569" s="7"/>
      <c r="C569" s="5"/>
      <c r="D569" s="8"/>
      <c r="E569" s="9"/>
      <c r="F569" s="9"/>
      <c r="G569" s="10"/>
      <c r="H569" s="10"/>
      <c r="I569" s="11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7"/>
      <c r="B570" s="7"/>
      <c r="C570" s="5"/>
      <c r="D570" s="8"/>
      <c r="E570" s="9"/>
      <c r="F570" s="9"/>
      <c r="G570" s="10"/>
      <c r="H570" s="10"/>
      <c r="I570" s="11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7"/>
      <c r="B571" s="7"/>
      <c r="C571" s="5"/>
      <c r="D571" s="8"/>
      <c r="E571" s="9"/>
      <c r="F571" s="9"/>
      <c r="G571" s="10"/>
      <c r="H571" s="10"/>
      <c r="I571" s="11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7"/>
      <c r="B572" s="7"/>
      <c r="C572" s="5"/>
      <c r="D572" s="8"/>
      <c r="E572" s="9"/>
      <c r="F572" s="9"/>
      <c r="G572" s="10"/>
      <c r="H572" s="10"/>
      <c r="I572" s="11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7"/>
      <c r="B573" s="7"/>
      <c r="C573" s="5"/>
      <c r="D573" s="8"/>
      <c r="E573" s="9"/>
      <c r="F573" s="9"/>
      <c r="G573" s="10"/>
      <c r="H573" s="10"/>
      <c r="I573" s="11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7"/>
      <c r="B574" s="7"/>
      <c r="C574" s="5"/>
      <c r="D574" s="8"/>
      <c r="E574" s="9"/>
      <c r="F574" s="9"/>
      <c r="G574" s="10"/>
      <c r="H574" s="10"/>
      <c r="I574" s="11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7"/>
      <c r="B575" s="7"/>
      <c r="C575" s="5"/>
      <c r="D575" s="8"/>
      <c r="E575" s="9"/>
      <c r="F575" s="9"/>
      <c r="G575" s="10"/>
      <c r="H575" s="10"/>
      <c r="I575" s="11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7"/>
      <c r="B576" s="7"/>
      <c r="C576" s="5"/>
      <c r="D576" s="8"/>
      <c r="E576" s="9"/>
      <c r="F576" s="9"/>
      <c r="G576" s="10"/>
      <c r="H576" s="10"/>
      <c r="I576" s="11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7"/>
      <c r="B577" s="7"/>
      <c r="C577" s="5"/>
      <c r="D577" s="8"/>
      <c r="E577" s="9"/>
      <c r="F577" s="9"/>
      <c r="G577" s="10"/>
      <c r="H577" s="10"/>
      <c r="I577" s="11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7"/>
      <c r="B578" s="7"/>
      <c r="C578" s="5"/>
      <c r="D578" s="8"/>
      <c r="E578" s="9"/>
      <c r="F578" s="9"/>
      <c r="G578" s="10"/>
      <c r="H578" s="10"/>
      <c r="I578" s="11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7"/>
      <c r="B579" s="7"/>
      <c r="C579" s="5"/>
      <c r="D579" s="8"/>
      <c r="E579" s="9"/>
      <c r="F579" s="9"/>
      <c r="G579" s="10"/>
      <c r="H579" s="10"/>
      <c r="I579" s="11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7"/>
      <c r="B580" s="7"/>
      <c r="C580" s="5"/>
      <c r="D580" s="8"/>
      <c r="E580" s="9"/>
      <c r="F580" s="9"/>
      <c r="G580" s="10"/>
      <c r="H580" s="10"/>
      <c r="I580" s="11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7"/>
      <c r="B581" s="7"/>
      <c r="C581" s="5"/>
      <c r="D581" s="8"/>
      <c r="E581" s="9"/>
      <c r="F581" s="9"/>
      <c r="G581" s="10"/>
      <c r="H581" s="10"/>
      <c r="I581" s="11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7"/>
      <c r="B582" s="7"/>
      <c r="C582" s="5"/>
      <c r="D582" s="8"/>
      <c r="E582" s="9"/>
      <c r="F582" s="9"/>
      <c r="G582" s="10"/>
      <c r="H582" s="10"/>
      <c r="I582" s="11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7"/>
      <c r="B583" s="7"/>
      <c r="C583" s="5"/>
      <c r="D583" s="8"/>
      <c r="E583" s="9"/>
      <c r="F583" s="9"/>
      <c r="G583" s="10"/>
      <c r="H583" s="10"/>
      <c r="I583" s="11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7"/>
      <c r="B584" s="7"/>
      <c r="C584" s="5"/>
      <c r="D584" s="8"/>
      <c r="E584" s="9"/>
      <c r="F584" s="9"/>
      <c r="G584" s="10"/>
      <c r="H584" s="10"/>
      <c r="I584" s="11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7"/>
      <c r="B585" s="7"/>
      <c r="C585" s="5"/>
      <c r="D585" s="8"/>
      <c r="E585" s="9"/>
      <c r="F585" s="9"/>
      <c r="G585" s="10"/>
      <c r="H585" s="10"/>
      <c r="I585" s="11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7"/>
      <c r="B586" s="7"/>
      <c r="C586" s="5"/>
      <c r="D586" s="8"/>
      <c r="E586" s="9"/>
      <c r="F586" s="9"/>
      <c r="G586" s="10"/>
      <c r="H586" s="10"/>
      <c r="I586" s="11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7"/>
      <c r="B587" s="7"/>
      <c r="C587" s="5"/>
      <c r="D587" s="8"/>
      <c r="E587" s="9"/>
      <c r="F587" s="9"/>
      <c r="G587" s="10"/>
      <c r="H587" s="10"/>
      <c r="I587" s="11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7"/>
      <c r="B588" s="7"/>
      <c r="C588" s="5"/>
      <c r="D588" s="8"/>
      <c r="E588" s="9"/>
      <c r="F588" s="9"/>
      <c r="G588" s="10"/>
      <c r="H588" s="10"/>
      <c r="I588" s="11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7"/>
      <c r="B589" s="7"/>
      <c r="C589" s="5"/>
      <c r="D589" s="8"/>
      <c r="E589" s="9"/>
      <c r="F589" s="9"/>
      <c r="G589" s="10"/>
      <c r="H589" s="10"/>
      <c r="I589" s="11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7"/>
      <c r="B590" s="7"/>
      <c r="C590" s="5"/>
      <c r="D590" s="8"/>
      <c r="E590" s="9"/>
      <c r="F590" s="9"/>
      <c r="G590" s="10"/>
      <c r="H590" s="10"/>
      <c r="I590" s="11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7"/>
      <c r="B591" s="7"/>
      <c r="C591" s="5"/>
      <c r="D591" s="8"/>
      <c r="E591" s="9"/>
      <c r="F591" s="9"/>
      <c r="G591" s="10"/>
      <c r="H591" s="10"/>
      <c r="I591" s="11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7"/>
      <c r="B592" s="7"/>
      <c r="C592" s="5"/>
      <c r="D592" s="8"/>
      <c r="E592" s="9"/>
      <c r="F592" s="9"/>
      <c r="G592" s="10"/>
      <c r="H592" s="10"/>
      <c r="I592" s="11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7"/>
      <c r="B593" s="7"/>
      <c r="C593" s="5"/>
      <c r="D593" s="8"/>
      <c r="E593" s="9"/>
      <c r="F593" s="9"/>
      <c r="G593" s="10"/>
      <c r="H593" s="10"/>
      <c r="I593" s="11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7"/>
      <c r="B594" s="7"/>
      <c r="C594" s="5"/>
      <c r="D594" s="8"/>
      <c r="E594" s="9"/>
      <c r="F594" s="9"/>
      <c r="G594" s="10"/>
      <c r="H594" s="10"/>
      <c r="I594" s="11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7"/>
      <c r="B595" s="7"/>
      <c r="C595" s="5"/>
      <c r="D595" s="8"/>
      <c r="E595" s="9"/>
      <c r="F595" s="9"/>
      <c r="G595" s="10"/>
      <c r="H595" s="10"/>
      <c r="I595" s="11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7"/>
      <c r="B596" s="7"/>
      <c r="C596" s="5"/>
      <c r="D596" s="8"/>
      <c r="E596" s="9"/>
      <c r="F596" s="9"/>
      <c r="G596" s="10"/>
      <c r="H596" s="10"/>
      <c r="I596" s="11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7"/>
      <c r="B597" s="7"/>
      <c r="C597" s="5"/>
      <c r="D597" s="8"/>
      <c r="E597" s="9"/>
      <c r="F597" s="9"/>
      <c r="G597" s="10"/>
      <c r="H597" s="10"/>
      <c r="I597" s="11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7"/>
      <c r="B598" s="7"/>
      <c r="C598" s="5"/>
      <c r="D598" s="8"/>
      <c r="E598" s="9"/>
      <c r="F598" s="9"/>
      <c r="G598" s="10"/>
      <c r="H598" s="10"/>
      <c r="I598" s="11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7"/>
      <c r="B599" s="7"/>
      <c r="C599" s="5"/>
      <c r="D599" s="8"/>
      <c r="E599" s="9"/>
      <c r="F599" s="9"/>
      <c r="G599" s="10"/>
      <c r="H599" s="10"/>
      <c r="I599" s="11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7"/>
      <c r="B600" s="7"/>
      <c r="C600" s="5"/>
      <c r="D600" s="8"/>
      <c r="E600" s="9"/>
      <c r="F600" s="9"/>
      <c r="G600" s="10"/>
      <c r="H600" s="10"/>
      <c r="I600" s="11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7"/>
      <c r="B601" s="7"/>
      <c r="C601" s="5"/>
      <c r="D601" s="8"/>
      <c r="E601" s="9"/>
      <c r="F601" s="9"/>
      <c r="G601" s="10"/>
      <c r="H601" s="10"/>
      <c r="I601" s="11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7"/>
      <c r="B602" s="7"/>
      <c r="C602" s="5"/>
      <c r="D602" s="8"/>
      <c r="E602" s="9"/>
      <c r="F602" s="9"/>
      <c r="G602" s="10"/>
      <c r="H602" s="10"/>
      <c r="I602" s="11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7"/>
      <c r="B603" s="7"/>
      <c r="C603" s="5"/>
      <c r="D603" s="8"/>
      <c r="E603" s="9"/>
      <c r="F603" s="9"/>
      <c r="G603" s="10"/>
      <c r="H603" s="10"/>
      <c r="I603" s="11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7"/>
      <c r="B604" s="7"/>
      <c r="C604" s="5"/>
      <c r="D604" s="8"/>
      <c r="E604" s="9"/>
      <c r="F604" s="9"/>
      <c r="G604" s="10"/>
      <c r="H604" s="10"/>
      <c r="I604" s="11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7"/>
      <c r="B605" s="7"/>
      <c r="C605" s="5"/>
      <c r="D605" s="8"/>
      <c r="E605" s="9"/>
      <c r="F605" s="9"/>
      <c r="G605" s="10"/>
      <c r="H605" s="10"/>
      <c r="I605" s="11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7"/>
      <c r="B606" s="7"/>
      <c r="C606" s="5"/>
      <c r="D606" s="8"/>
      <c r="E606" s="9"/>
      <c r="F606" s="9"/>
      <c r="G606" s="10"/>
      <c r="H606" s="10"/>
      <c r="I606" s="11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7"/>
      <c r="B607" s="7"/>
      <c r="C607" s="5"/>
      <c r="D607" s="8"/>
      <c r="E607" s="9"/>
      <c r="F607" s="9"/>
      <c r="G607" s="10"/>
      <c r="H607" s="10"/>
      <c r="I607" s="11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7"/>
      <c r="B608" s="7"/>
      <c r="C608" s="5"/>
      <c r="D608" s="8"/>
      <c r="E608" s="9"/>
      <c r="F608" s="9"/>
      <c r="G608" s="10"/>
      <c r="H608" s="10"/>
      <c r="I608" s="11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7"/>
      <c r="B609" s="7"/>
      <c r="C609" s="5"/>
      <c r="D609" s="8"/>
      <c r="E609" s="9"/>
      <c r="F609" s="9"/>
      <c r="G609" s="10"/>
      <c r="H609" s="10"/>
      <c r="I609" s="11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7"/>
      <c r="B610" s="7"/>
      <c r="C610" s="5"/>
      <c r="D610" s="8"/>
      <c r="E610" s="9"/>
      <c r="F610" s="9"/>
      <c r="G610" s="10"/>
      <c r="H610" s="10"/>
      <c r="I610" s="11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7"/>
      <c r="B611" s="7"/>
      <c r="C611" s="5"/>
      <c r="D611" s="8"/>
      <c r="E611" s="9"/>
      <c r="F611" s="9"/>
      <c r="G611" s="10"/>
      <c r="H611" s="10"/>
      <c r="I611" s="11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7"/>
      <c r="B612" s="7"/>
      <c r="C612" s="5"/>
      <c r="D612" s="8"/>
      <c r="E612" s="9"/>
      <c r="F612" s="9"/>
      <c r="G612" s="10"/>
      <c r="H612" s="10"/>
      <c r="I612" s="11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7"/>
      <c r="B613" s="7"/>
      <c r="C613" s="5"/>
      <c r="D613" s="8"/>
      <c r="E613" s="9"/>
      <c r="F613" s="9"/>
      <c r="G613" s="10"/>
      <c r="H613" s="10"/>
      <c r="I613" s="11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7"/>
      <c r="B614" s="7"/>
      <c r="C614" s="5"/>
      <c r="D614" s="8"/>
      <c r="E614" s="9"/>
      <c r="F614" s="9"/>
      <c r="G614" s="10"/>
      <c r="H614" s="10"/>
      <c r="I614" s="11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7"/>
      <c r="B615" s="7"/>
      <c r="C615" s="5"/>
      <c r="D615" s="8"/>
      <c r="E615" s="9"/>
      <c r="F615" s="9"/>
      <c r="G615" s="10"/>
      <c r="H615" s="10"/>
      <c r="I615" s="11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7"/>
      <c r="B616" s="7"/>
      <c r="C616" s="5"/>
      <c r="D616" s="8"/>
      <c r="E616" s="9"/>
      <c r="F616" s="9"/>
      <c r="G616" s="10"/>
      <c r="H616" s="10"/>
      <c r="I616" s="11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7"/>
      <c r="B617" s="7"/>
      <c r="C617" s="5"/>
      <c r="D617" s="8"/>
      <c r="E617" s="9"/>
      <c r="F617" s="9"/>
      <c r="G617" s="10"/>
      <c r="H617" s="10"/>
      <c r="I617" s="11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7"/>
      <c r="B618" s="7"/>
      <c r="C618" s="5"/>
      <c r="D618" s="8"/>
      <c r="E618" s="9"/>
      <c r="F618" s="9"/>
      <c r="G618" s="10"/>
      <c r="H618" s="10"/>
      <c r="I618" s="11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7"/>
      <c r="B619" s="7"/>
      <c r="C619" s="5"/>
      <c r="D619" s="8"/>
      <c r="E619" s="9"/>
      <c r="F619" s="9"/>
      <c r="G619" s="10"/>
      <c r="H619" s="10"/>
      <c r="I619" s="11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7"/>
      <c r="B620" s="7"/>
      <c r="C620" s="5"/>
      <c r="D620" s="8"/>
      <c r="E620" s="9"/>
      <c r="F620" s="9"/>
      <c r="G620" s="10"/>
      <c r="H620" s="10"/>
      <c r="I620" s="11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7"/>
      <c r="B621" s="7"/>
      <c r="C621" s="5"/>
      <c r="D621" s="8"/>
      <c r="E621" s="9"/>
      <c r="F621" s="9"/>
      <c r="G621" s="10"/>
      <c r="H621" s="10"/>
      <c r="I621" s="11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7"/>
      <c r="B622" s="7"/>
      <c r="C622" s="5"/>
      <c r="D622" s="8"/>
      <c r="E622" s="9"/>
      <c r="F622" s="9"/>
      <c r="G622" s="10"/>
      <c r="H622" s="10"/>
      <c r="I622" s="11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7"/>
      <c r="B623" s="7"/>
      <c r="C623" s="5"/>
      <c r="D623" s="8"/>
      <c r="E623" s="9"/>
      <c r="F623" s="9"/>
      <c r="G623" s="10"/>
      <c r="H623" s="10"/>
      <c r="I623" s="11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7"/>
      <c r="B624" s="7"/>
      <c r="C624" s="5"/>
      <c r="D624" s="8"/>
      <c r="E624" s="9"/>
      <c r="F624" s="9"/>
      <c r="G624" s="10"/>
      <c r="H624" s="10"/>
      <c r="I624" s="11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7"/>
      <c r="B625" s="7"/>
      <c r="C625" s="5"/>
      <c r="D625" s="8"/>
      <c r="E625" s="9"/>
      <c r="F625" s="9"/>
      <c r="G625" s="10"/>
      <c r="H625" s="10"/>
      <c r="I625" s="11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7"/>
      <c r="B626" s="7"/>
      <c r="C626" s="5"/>
      <c r="D626" s="8"/>
      <c r="E626" s="9"/>
      <c r="F626" s="9"/>
      <c r="G626" s="10"/>
      <c r="H626" s="10"/>
      <c r="I626" s="11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7"/>
      <c r="B627" s="7"/>
      <c r="C627" s="5"/>
      <c r="D627" s="8"/>
      <c r="E627" s="9"/>
      <c r="F627" s="9"/>
      <c r="G627" s="10"/>
      <c r="H627" s="10"/>
      <c r="I627" s="11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7"/>
      <c r="B628" s="7"/>
      <c r="C628" s="5"/>
      <c r="D628" s="8"/>
      <c r="E628" s="9"/>
      <c r="F628" s="9"/>
      <c r="G628" s="10"/>
      <c r="H628" s="10"/>
      <c r="I628" s="11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7"/>
      <c r="B629" s="7"/>
      <c r="C629" s="5"/>
      <c r="D629" s="8"/>
      <c r="E629" s="9"/>
      <c r="F629" s="9"/>
      <c r="G629" s="10"/>
      <c r="H629" s="10"/>
      <c r="I629" s="11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7"/>
      <c r="B630" s="7"/>
      <c r="C630" s="5"/>
      <c r="D630" s="8"/>
      <c r="E630" s="9"/>
      <c r="F630" s="9"/>
      <c r="G630" s="10"/>
      <c r="H630" s="10"/>
      <c r="I630" s="11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7"/>
      <c r="B631" s="7"/>
      <c r="C631" s="5"/>
      <c r="D631" s="8"/>
      <c r="E631" s="9"/>
      <c r="F631" s="9"/>
      <c r="G631" s="10"/>
      <c r="H631" s="10"/>
      <c r="I631" s="11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7"/>
      <c r="B632" s="7"/>
      <c r="C632" s="5"/>
      <c r="D632" s="8"/>
      <c r="E632" s="9"/>
      <c r="F632" s="9"/>
      <c r="G632" s="10"/>
      <c r="H632" s="10"/>
      <c r="I632" s="11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7"/>
      <c r="B633" s="7"/>
      <c r="C633" s="5"/>
      <c r="D633" s="8"/>
      <c r="E633" s="9"/>
      <c r="F633" s="9"/>
      <c r="G633" s="10"/>
      <c r="H633" s="10"/>
      <c r="I633" s="11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7"/>
      <c r="B634" s="7"/>
      <c r="C634" s="5"/>
      <c r="D634" s="8"/>
      <c r="E634" s="9"/>
      <c r="F634" s="9"/>
      <c r="G634" s="10"/>
      <c r="H634" s="10"/>
      <c r="I634" s="11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7"/>
      <c r="B635" s="7"/>
      <c r="C635" s="5"/>
      <c r="D635" s="8"/>
      <c r="E635" s="9"/>
      <c r="F635" s="9"/>
      <c r="G635" s="10"/>
      <c r="H635" s="10"/>
      <c r="I635" s="11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7"/>
      <c r="B636" s="7"/>
      <c r="C636" s="5"/>
      <c r="D636" s="8"/>
      <c r="E636" s="9"/>
      <c r="F636" s="9"/>
      <c r="G636" s="10"/>
      <c r="H636" s="10"/>
      <c r="I636" s="11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7"/>
      <c r="B637" s="7"/>
      <c r="C637" s="5"/>
      <c r="D637" s="8"/>
      <c r="E637" s="9"/>
      <c r="F637" s="9"/>
      <c r="G637" s="10"/>
      <c r="H637" s="10"/>
      <c r="I637" s="11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7"/>
      <c r="B638" s="7"/>
      <c r="C638" s="5"/>
      <c r="D638" s="8"/>
      <c r="E638" s="9"/>
      <c r="F638" s="9"/>
      <c r="G638" s="10"/>
      <c r="H638" s="10"/>
      <c r="I638" s="11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7"/>
      <c r="B639" s="7"/>
      <c r="C639" s="5"/>
      <c r="D639" s="8"/>
      <c r="E639" s="9"/>
      <c r="F639" s="9"/>
      <c r="G639" s="10"/>
      <c r="H639" s="10"/>
      <c r="I639" s="11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7"/>
      <c r="B640" s="7"/>
      <c r="C640" s="5"/>
      <c r="D640" s="8"/>
      <c r="E640" s="9"/>
      <c r="F640" s="9"/>
      <c r="G640" s="10"/>
      <c r="H640" s="10"/>
      <c r="I640" s="11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7"/>
      <c r="B641" s="7"/>
      <c r="C641" s="5"/>
      <c r="D641" s="8"/>
      <c r="E641" s="9"/>
      <c r="F641" s="9"/>
      <c r="G641" s="10"/>
      <c r="H641" s="10"/>
      <c r="I641" s="11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7"/>
      <c r="B642" s="7"/>
      <c r="C642" s="5"/>
      <c r="D642" s="8"/>
      <c r="E642" s="9"/>
      <c r="F642" s="9"/>
      <c r="G642" s="10"/>
      <c r="H642" s="10"/>
      <c r="I642" s="11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7"/>
      <c r="B643" s="7"/>
      <c r="C643" s="5"/>
      <c r="D643" s="8"/>
      <c r="E643" s="9"/>
      <c r="F643" s="9"/>
      <c r="G643" s="10"/>
      <c r="H643" s="10"/>
      <c r="I643" s="11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7"/>
      <c r="B644" s="7"/>
      <c r="C644" s="5"/>
      <c r="D644" s="8"/>
      <c r="E644" s="9"/>
      <c r="F644" s="9"/>
      <c r="G644" s="10"/>
      <c r="H644" s="10"/>
      <c r="I644" s="11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7"/>
      <c r="B645" s="7"/>
      <c r="C645" s="5"/>
      <c r="D645" s="8"/>
      <c r="E645" s="9"/>
      <c r="F645" s="9"/>
      <c r="G645" s="10"/>
      <c r="H645" s="10"/>
      <c r="I645" s="11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7"/>
      <c r="B646" s="7"/>
      <c r="C646" s="5"/>
      <c r="D646" s="8"/>
      <c r="E646" s="9"/>
      <c r="F646" s="9"/>
      <c r="G646" s="10"/>
      <c r="H646" s="10"/>
      <c r="I646" s="11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7"/>
      <c r="B647" s="7"/>
      <c r="C647" s="5"/>
      <c r="D647" s="8"/>
      <c r="E647" s="9"/>
      <c r="F647" s="9"/>
      <c r="G647" s="10"/>
      <c r="H647" s="10"/>
      <c r="I647" s="11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7"/>
      <c r="B648" s="7"/>
      <c r="C648" s="5"/>
      <c r="D648" s="8"/>
      <c r="E648" s="9"/>
      <c r="F648" s="9"/>
      <c r="G648" s="10"/>
      <c r="H648" s="10"/>
      <c r="I648" s="11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7"/>
      <c r="B649" s="7"/>
      <c r="C649" s="5"/>
      <c r="D649" s="8"/>
      <c r="E649" s="9"/>
      <c r="F649" s="9"/>
      <c r="G649" s="10"/>
      <c r="H649" s="10"/>
      <c r="I649" s="11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7"/>
      <c r="B650" s="7"/>
      <c r="C650" s="5"/>
      <c r="D650" s="8"/>
      <c r="E650" s="9"/>
      <c r="F650" s="9"/>
      <c r="G650" s="10"/>
      <c r="H650" s="10"/>
      <c r="I650" s="11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7"/>
      <c r="B651" s="7"/>
      <c r="C651" s="5"/>
      <c r="D651" s="8"/>
      <c r="E651" s="9"/>
      <c r="F651" s="9"/>
      <c r="G651" s="10"/>
      <c r="H651" s="10"/>
      <c r="I651" s="11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7"/>
      <c r="B652" s="7"/>
      <c r="C652" s="5"/>
      <c r="D652" s="8"/>
      <c r="E652" s="9"/>
      <c r="F652" s="9"/>
      <c r="G652" s="10"/>
      <c r="H652" s="10"/>
      <c r="I652" s="11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7"/>
      <c r="B653" s="7"/>
      <c r="C653" s="5"/>
      <c r="D653" s="8"/>
      <c r="E653" s="9"/>
      <c r="F653" s="9"/>
      <c r="G653" s="10"/>
      <c r="H653" s="10"/>
      <c r="I653" s="11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7"/>
      <c r="B654" s="7"/>
      <c r="C654" s="5"/>
      <c r="D654" s="8"/>
      <c r="E654" s="9"/>
      <c r="F654" s="9"/>
      <c r="G654" s="10"/>
      <c r="H654" s="10"/>
      <c r="I654" s="11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7"/>
      <c r="B655" s="7"/>
      <c r="C655" s="5"/>
      <c r="D655" s="8"/>
      <c r="E655" s="9"/>
      <c r="F655" s="9"/>
      <c r="G655" s="10"/>
      <c r="H655" s="10"/>
      <c r="I655" s="11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7"/>
      <c r="B656" s="7"/>
      <c r="C656" s="5"/>
      <c r="D656" s="8"/>
      <c r="E656" s="9"/>
      <c r="F656" s="9"/>
      <c r="G656" s="10"/>
      <c r="H656" s="10"/>
      <c r="I656" s="11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7"/>
      <c r="B657" s="7"/>
      <c r="C657" s="5"/>
      <c r="D657" s="8"/>
      <c r="E657" s="9"/>
      <c r="F657" s="9"/>
      <c r="G657" s="10"/>
      <c r="H657" s="10"/>
      <c r="I657" s="11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7"/>
      <c r="B658" s="7"/>
      <c r="C658" s="5"/>
      <c r="D658" s="8"/>
      <c r="E658" s="9"/>
      <c r="F658" s="9"/>
      <c r="G658" s="10"/>
      <c r="H658" s="10"/>
      <c r="I658" s="11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7"/>
      <c r="B659" s="7"/>
      <c r="C659" s="5"/>
      <c r="D659" s="8"/>
      <c r="E659" s="9"/>
      <c r="F659" s="9"/>
      <c r="G659" s="10"/>
      <c r="H659" s="10"/>
      <c r="I659" s="11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7"/>
      <c r="B660" s="7"/>
      <c r="C660" s="5"/>
      <c r="D660" s="8"/>
      <c r="E660" s="9"/>
      <c r="F660" s="9"/>
      <c r="G660" s="10"/>
      <c r="H660" s="10"/>
      <c r="I660" s="11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7"/>
      <c r="B661" s="7"/>
      <c r="C661" s="5"/>
      <c r="D661" s="8"/>
      <c r="E661" s="9"/>
      <c r="F661" s="9"/>
      <c r="G661" s="10"/>
      <c r="H661" s="10"/>
      <c r="I661" s="11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7"/>
      <c r="B662" s="7"/>
      <c r="C662" s="5"/>
      <c r="D662" s="8"/>
      <c r="E662" s="9"/>
      <c r="F662" s="9"/>
      <c r="G662" s="10"/>
      <c r="H662" s="10"/>
      <c r="I662" s="11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7"/>
      <c r="B663" s="7"/>
      <c r="C663" s="5"/>
      <c r="D663" s="8"/>
      <c r="E663" s="9"/>
      <c r="F663" s="9"/>
      <c r="G663" s="10"/>
      <c r="H663" s="10"/>
      <c r="I663" s="11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7"/>
      <c r="B664" s="7"/>
      <c r="C664" s="5"/>
      <c r="D664" s="8"/>
      <c r="E664" s="9"/>
      <c r="F664" s="9"/>
      <c r="G664" s="10"/>
      <c r="H664" s="10"/>
      <c r="I664" s="11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7"/>
      <c r="B665" s="7"/>
      <c r="C665" s="5"/>
      <c r="D665" s="8"/>
      <c r="E665" s="9"/>
      <c r="F665" s="9"/>
      <c r="G665" s="10"/>
      <c r="H665" s="10"/>
      <c r="I665" s="11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7"/>
      <c r="B666" s="7"/>
      <c r="C666" s="5"/>
      <c r="D666" s="8"/>
      <c r="E666" s="9"/>
      <c r="F666" s="9"/>
      <c r="G666" s="10"/>
      <c r="H666" s="10"/>
      <c r="I666" s="11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7"/>
      <c r="B667" s="7"/>
      <c r="C667" s="5"/>
      <c r="D667" s="8"/>
      <c r="E667" s="9"/>
      <c r="F667" s="9"/>
      <c r="G667" s="10"/>
      <c r="H667" s="10"/>
      <c r="I667" s="11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7"/>
      <c r="B668" s="7"/>
      <c r="C668" s="5"/>
      <c r="D668" s="8"/>
      <c r="E668" s="9"/>
      <c r="F668" s="9"/>
      <c r="G668" s="10"/>
      <c r="H668" s="10"/>
      <c r="I668" s="11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7"/>
      <c r="B669" s="7"/>
      <c r="C669" s="5"/>
      <c r="D669" s="8"/>
      <c r="E669" s="9"/>
      <c r="F669" s="9"/>
      <c r="G669" s="10"/>
      <c r="H669" s="10"/>
      <c r="I669" s="11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7"/>
      <c r="B670" s="7"/>
      <c r="C670" s="5"/>
      <c r="D670" s="8"/>
      <c r="E670" s="9"/>
      <c r="F670" s="9"/>
      <c r="G670" s="10"/>
      <c r="H670" s="10"/>
      <c r="I670" s="11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7"/>
      <c r="B671" s="7"/>
      <c r="C671" s="5"/>
      <c r="D671" s="8"/>
      <c r="E671" s="9"/>
      <c r="F671" s="9"/>
      <c r="G671" s="10"/>
      <c r="H671" s="10"/>
      <c r="I671" s="11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7"/>
      <c r="B672" s="7"/>
      <c r="C672" s="5"/>
      <c r="D672" s="8"/>
      <c r="E672" s="9"/>
      <c r="F672" s="9"/>
      <c r="G672" s="10"/>
      <c r="H672" s="10"/>
      <c r="I672" s="11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7"/>
      <c r="B673" s="7"/>
      <c r="C673" s="5"/>
      <c r="D673" s="8"/>
      <c r="E673" s="9"/>
      <c r="F673" s="9"/>
      <c r="G673" s="10"/>
      <c r="H673" s="10"/>
      <c r="I673" s="11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7"/>
      <c r="B674" s="7"/>
      <c r="C674" s="5"/>
      <c r="D674" s="8"/>
      <c r="E674" s="9"/>
      <c r="F674" s="9"/>
      <c r="G674" s="10"/>
      <c r="H674" s="10"/>
      <c r="I674" s="11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7"/>
      <c r="B675" s="7"/>
      <c r="C675" s="5"/>
      <c r="D675" s="8"/>
      <c r="E675" s="9"/>
      <c r="F675" s="9"/>
      <c r="G675" s="10"/>
      <c r="H675" s="10"/>
      <c r="I675" s="11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7"/>
      <c r="B676" s="7"/>
      <c r="C676" s="5"/>
      <c r="D676" s="8"/>
      <c r="E676" s="9"/>
      <c r="F676" s="9"/>
      <c r="G676" s="10"/>
      <c r="H676" s="10"/>
      <c r="I676" s="11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7"/>
      <c r="B677" s="7"/>
      <c r="C677" s="5"/>
      <c r="D677" s="8"/>
      <c r="E677" s="9"/>
      <c r="F677" s="9"/>
      <c r="G677" s="10"/>
      <c r="H677" s="10"/>
      <c r="I677" s="11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7"/>
      <c r="B678" s="7"/>
      <c r="C678" s="5"/>
      <c r="D678" s="8"/>
      <c r="E678" s="9"/>
      <c r="F678" s="9"/>
      <c r="G678" s="10"/>
      <c r="H678" s="10"/>
      <c r="I678" s="11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7"/>
      <c r="B679" s="7"/>
      <c r="C679" s="5"/>
      <c r="D679" s="8"/>
      <c r="E679" s="9"/>
      <c r="F679" s="9"/>
      <c r="G679" s="10"/>
      <c r="H679" s="10"/>
      <c r="I679" s="11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7"/>
      <c r="B680" s="7"/>
      <c r="C680" s="5"/>
      <c r="D680" s="8"/>
      <c r="E680" s="9"/>
      <c r="F680" s="9"/>
      <c r="G680" s="10"/>
      <c r="H680" s="10"/>
      <c r="I680" s="11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7"/>
      <c r="B681" s="7"/>
      <c r="C681" s="5"/>
      <c r="D681" s="8"/>
      <c r="E681" s="9"/>
      <c r="F681" s="9"/>
      <c r="G681" s="10"/>
      <c r="H681" s="10"/>
      <c r="I681" s="11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7"/>
      <c r="B682" s="7"/>
      <c r="C682" s="5"/>
      <c r="D682" s="8"/>
      <c r="E682" s="9"/>
      <c r="F682" s="9"/>
      <c r="G682" s="10"/>
      <c r="H682" s="10"/>
      <c r="I682" s="11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7"/>
      <c r="B683" s="7"/>
      <c r="C683" s="5"/>
      <c r="D683" s="8"/>
      <c r="E683" s="9"/>
      <c r="F683" s="9"/>
      <c r="G683" s="10"/>
      <c r="H683" s="10"/>
      <c r="I683" s="11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7"/>
      <c r="B684" s="7"/>
      <c r="C684" s="5"/>
      <c r="D684" s="8"/>
      <c r="E684" s="9"/>
      <c r="F684" s="9"/>
      <c r="G684" s="10"/>
      <c r="H684" s="10"/>
      <c r="I684" s="11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7"/>
      <c r="B685" s="7"/>
      <c r="C685" s="5"/>
      <c r="D685" s="8"/>
      <c r="E685" s="9"/>
      <c r="F685" s="9"/>
      <c r="G685" s="10"/>
      <c r="H685" s="10"/>
      <c r="I685" s="11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7"/>
      <c r="B686" s="7"/>
      <c r="C686" s="5"/>
      <c r="D686" s="8"/>
      <c r="E686" s="9"/>
      <c r="F686" s="9"/>
      <c r="G686" s="10"/>
      <c r="H686" s="10"/>
      <c r="I686" s="11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7"/>
      <c r="B687" s="7"/>
      <c r="C687" s="5"/>
      <c r="D687" s="8"/>
      <c r="E687" s="9"/>
      <c r="F687" s="9"/>
      <c r="G687" s="10"/>
      <c r="H687" s="10"/>
      <c r="I687" s="11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7"/>
      <c r="B688" s="7"/>
      <c r="C688" s="5"/>
      <c r="D688" s="8"/>
      <c r="E688" s="9"/>
      <c r="F688" s="9"/>
      <c r="G688" s="10"/>
      <c r="H688" s="10"/>
      <c r="I688" s="11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7"/>
      <c r="B689" s="7"/>
      <c r="C689" s="5"/>
      <c r="D689" s="8"/>
      <c r="E689" s="9"/>
      <c r="F689" s="9"/>
      <c r="G689" s="10"/>
      <c r="H689" s="10"/>
      <c r="I689" s="11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7"/>
      <c r="B690" s="7"/>
      <c r="C690" s="5"/>
      <c r="D690" s="8"/>
      <c r="E690" s="9"/>
      <c r="F690" s="9"/>
      <c r="G690" s="10"/>
      <c r="H690" s="10"/>
      <c r="I690" s="11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7"/>
      <c r="B691" s="7"/>
      <c r="C691" s="5"/>
      <c r="D691" s="8"/>
      <c r="E691" s="9"/>
      <c r="F691" s="9"/>
      <c r="G691" s="10"/>
      <c r="H691" s="10"/>
      <c r="I691" s="11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7"/>
      <c r="B692" s="7"/>
      <c r="C692" s="5"/>
      <c r="D692" s="8"/>
      <c r="E692" s="9"/>
      <c r="F692" s="9"/>
      <c r="G692" s="10"/>
      <c r="H692" s="10"/>
      <c r="I692" s="11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7"/>
      <c r="B693" s="7"/>
      <c r="C693" s="5"/>
      <c r="D693" s="8"/>
      <c r="E693" s="9"/>
      <c r="F693" s="9"/>
      <c r="G693" s="10"/>
      <c r="H693" s="10"/>
      <c r="I693" s="11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7"/>
      <c r="B694" s="7"/>
      <c r="C694" s="5"/>
      <c r="D694" s="8"/>
      <c r="E694" s="9"/>
      <c r="F694" s="9"/>
      <c r="G694" s="10"/>
      <c r="H694" s="10"/>
      <c r="I694" s="11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7"/>
      <c r="B695" s="7"/>
      <c r="C695" s="5"/>
      <c r="D695" s="8"/>
      <c r="E695" s="9"/>
      <c r="F695" s="9"/>
      <c r="G695" s="10"/>
      <c r="H695" s="10"/>
      <c r="I695" s="11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7"/>
      <c r="B696" s="7"/>
      <c r="C696" s="5"/>
      <c r="D696" s="8"/>
      <c r="E696" s="9"/>
      <c r="F696" s="9"/>
      <c r="G696" s="10"/>
      <c r="H696" s="10"/>
      <c r="I696" s="11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7"/>
      <c r="B697" s="7"/>
      <c r="C697" s="5"/>
      <c r="D697" s="8"/>
      <c r="E697" s="9"/>
      <c r="F697" s="9"/>
      <c r="G697" s="10"/>
      <c r="H697" s="10"/>
      <c r="I697" s="11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7"/>
      <c r="B698" s="7"/>
      <c r="C698" s="5"/>
      <c r="D698" s="8"/>
      <c r="E698" s="9"/>
      <c r="F698" s="9"/>
      <c r="G698" s="10"/>
      <c r="H698" s="10"/>
      <c r="I698" s="11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7"/>
      <c r="B699" s="7"/>
      <c r="C699" s="5"/>
      <c r="D699" s="8"/>
      <c r="E699" s="9"/>
      <c r="F699" s="9"/>
      <c r="G699" s="10"/>
      <c r="H699" s="10"/>
      <c r="I699" s="11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7"/>
      <c r="B700" s="7"/>
      <c r="C700" s="5"/>
      <c r="D700" s="8"/>
      <c r="E700" s="9"/>
      <c r="F700" s="9"/>
      <c r="G700" s="10"/>
      <c r="H700" s="10"/>
      <c r="I700" s="11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7"/>
      <c r="B701" s="7"/>
      <c r="C701" s="5"/>
      <c r="D701" s="8"/>
      <c r="E701" s="9"/>
      <c r="F701" s="9"/>
      <c r="G701" s="10"/>
      <c r="H701" s="10"/>
      <c r="I701" s="11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7"/>
      <c r="B702" s="7"/>
      <c r="C702" s="5"/>
      <c r="D702" s="8"/>
      <c r="E702" s="9"/>
      <c r="F702" s="9"/>
      <c r="G702" s="10"/>
      <c r="H702" s="10"/>
      <c r="I702" s="11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7"/>
      <c r="B703" s="7"/>
      <c r="C703" s="5"/>
      <c r="D703" s="8"/>
      <c r="E703" s="9"/>
      <c r="F703" s="9"/>
      <c r="G703" s="10"/>
      <c r="H703" s="10"/>
      <c r="I703" s="11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7"/>
      <c r="B704" s="7"/>
      <c r="C704" s="5"/>
      <c r="D704" s="8"/>
      <c r="E704" s="9"/>
      <c r="F704" s="9"/>
      <c r="G704" s="10"/>
      <c r="H704" s="10"/>
      <c r="I704" s="11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7"/>
      <c r="B705" s="7"/>
      <c r="C705" s="5"/>
      <c r="D705" s="8"/>
      <c r="E705" s="9"/>
      <c r="F705" s="9"/>
      <c r="G705" s="10"/>
      <c r="H705" s="10"/>
      <c r="I705" s="11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7"/>
      <c r="B706" s="7"/>
      <c r="C706" s="5"/>
      <c r="D706" s="8"/>
      <c r="E706" s="9"/>
      <c r="F706" s="9"/>
      <c r="G706" s="10"/>
      <c r="H706" s="10"/>
      <c r="I706" s="11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7"/>
      <c r="B707" s="7"/>
      <c r="C707" s="5"/>
      <c r="D707" s="8"/>
      <c r="E707" s="9"/>
      <c r="F707" s="9"/>
      <c r="G707" s="10"/>
      <c r="H707" s="10"/>
      <c r="I707" s="11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7"/>
      <c r="B708" s="7"/>
      <c r="C708" s="5"/>
      <c r="D708" s="8"/>
      <c r="E708" s="9"/>
      <c r="F708" s="9"/>
      <c r="G708" s="10"/>
      <c r="H708" s="10"/>
      <c r="I708" s="11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7"/>
      <c r="B709" s="7"/>
      <c r="C709" s="5"/>
      <c r="D709" s="8"/>
      <c r="E709" s="9"/>
      <c r="F709" s="9"/>
      <c r="G709" s="10"/>
      <c r="H709" s="10"/>
      <c r="I709" s="11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7"/>
      <c r="B710" s="7"/>
      <c r="C710" s="5"/>
      <c r="D710" s="8"/>
      <c r="E710" s="9"/>
      <c r="F710" s="9"/>
      <c r="G710" s="10"/>
      <c r="H710" s="10"/>
      <c r="I710" s="11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7"/>
      <c r="B711" s="7"/>
      <c r="C711" s="5"/>
      <c r="D711" s="8"/>
      <c r="E711" s="9"/>
      <c r="F711" s="9"/>
      <c r="G711" s="10"/>
      <c r="H711" s="10"/>
      <c r="I711" s="11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7"/>
      <c r="B712" s="7"/>
      <c r="C712" s="5"/>
      <c r="D712" s="8"/>
      <c r="E712" s="9"/>
      <c r="F712" s="9"/>
      <c r="G712" s="10"/>
      <c r="H712" s="10"/>
      <c r="I712" s="11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7"/>
      <c r="B713" s="7"/>
      <c r="C713" s="5"/>
      <c r="D713" s="8"/>
      <c r="E713" s="9"/>
      <c r="F713" s="9"/>
      <c r="G713" s="10"/>
      <c r="H713" s="10"/>
      <c r="I713" s="11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7"/>
      <c r="B714" s="7"/>
      <c r="C714" s="5"/>
      <c r="D714" s="8"/>
      <c r="E714" s="9"/>
      <c r="F714" s="9"/>
      <c r="G714" s="10"/>
      <c r="H714" s="10"/>
      <c r="I714" s="11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7"/>
      <c r="B715" s="7"/>
      <c r="C715" s="5"/>
      <c r="D715" s="8"/>
      <c r="E715" s="9"/>
      <c r="F715" s="9"/>
      <c r="G715" s="10"/>
      <c r="H715" s="10"/>
      <c r="I715" s="11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7"/>
      <c r="B716" s="7"/>
      <c r="C716" s="5"/>
      <c r="D716" s="8"/>
      <c r="E716" s="9"/>
      <c r="F716" s="9"/>
      <c r="G716" s="10"/>
      <c r="H716" s="10"/>
      <c r="I716" s="11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7"/>
      <c r="B717" s="7"/>
      <c r="C717" s="5"/>
      <c r="D717" s="8"/>
      <c r="E717" s="9"/>
      <c r="F717" s="9"/>
      <c r="G717" s="10"/>
      <c r="H717" s="10"/>
      <c r="I717" s="11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7"/>
      <c r="B718" s="7"/>
      <c r="C718" s="5"/>
      <c r="D718" s="8"/>
      <c r="E718" s="9"/>
      <c r="F718" s="9"/>
      <c r="G718" s="10"/>
      <c r="H718" s="10"/>
      <c r="I718" s="11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7"/>
      <c r="B719" s="7"/>
      <c r="C719" s="5"/>
      <c r="D719" s="8"/>
      <c r="E719" s="9"/>
      <c r="F719" s="9"/>
      <c r="G719" s="10"/>
      <c r="H719" s="10"/>
      <c r="I719" s="11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7"/>
      <c r="B720" s="7"/>
      <c r="C720" s="5"/>
      <c r="D720" s="8"/>
      <c r="E720" s="9"/>
      <c r="F720" s="9"/>
      <c r="G720" s="10"/>
      <c r="H720" s="10"/>
      <c r="I720" s="11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7"/>
      <c r="B721" s="7"/>
      <c r="C721" s="5"/>
      <c r="D721" s="8"/>
      <c r="E721" s="9"/>
      <c r="F721" s="9"/>
      <c r="G721" s="10"/>
      <c r="H721" s="10"/>
      <c r="I721" s="11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7"/>
      <c r="B722" s="7"/>
      <c r="C722" s="5"/>
      <c r="D722" s="8"/>
      <c r="E722" s="9"/>
      <c r="F722" s="9"/>
      <c r="G722" s="10"/>
      <c r="H722" s="10"/>
      <c r="I722" s="11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7"/>
      <c r="B723" s="7"/>
      <c r="C723" s="5"/>
      <c r="D723" s="8"/>
      <c r="E723" s="9"/>
      <c r="F723" s="9"/>
      <c r="G723" s="10"/>
      <c r="H723" s="10"/>
      <c r="I723" s="11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7"/>
      <c r="B724" s="7"/>
      <c r="C724" s="5"/>
      <c r="D724" s="8"/>
      <c r="E724" s="9"/>
      <c r="F724" s="9"/>
      <c r="G724" s="10"/>
      <c r="H724" s="10"/>
      <c r="I724" s="11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7"/>
      <c r="B725" s="7"/>
      <c r="C725" s="5"/>
      <c r="D725" s="8"/>
      <c r="E725" s="9"/>
      <c r="F725" s="9"/>
      <c r="G725" s="10"/>
      <c r="H725" s="10"/>
      <c r="I725" s="11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7"/>
      <c r="B726" s="7"/>
      <c r="C726" s="5"/>
      <c r="D726" s="8"/>
      <c r="E726" s="9"/>
      <c r="F726" s="9"/>
      <c r="G726" s="10"/>
      <c r="H726" s="10"/>
      <c r="I726" s="11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7"/>
      <c r="B727" s="7"/>
      <c r="C727" s="5"/>
      <c r="D727" s="8"/>
      <c r="E727" s="9"/>
      <c r="F727" s="9"/>
      <c r="G727" s="10"/>
      <c r="H727" s="10"/>
      <c r="I727" s="11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7"/>
      <c r="B728" s="7"/>
      <c r="C728" s="5"/>
      <c r="D728" s="8"/>
      <c r="E728" s="9"/>
      <c r="F728" s="9"/>
      <c r="G728" s="10"/>
      <c r="H728" s="10"/>
      <c r="I728" s="11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7"/>
      <c r="B729" s="7"/>
      <c r="C729" s="5"/>
      <c r="D729" s="8"/>
      <c r="E729" s="9"/>
      <c r="F729" s="9"/>
      <c r="G729" s="10"/>
      <c r="H729" s="10"/>
      <c r="I729" s="11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7"/>
      <c r="B730" s="7"/>
      <c r="C730" s="5"/>
      <c r="D730" s="8"/>
      <c r="E730" s="9"/>
      <c r="F730" s="9"/>
      <c r="G730" s="10"/>
      <c r="H730" s="10"/>
      <c r="I730" s="11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7"/>
      <c r="B731" s="7"/>
      <c r="C731" s="5"/>
      <c r="D731" s="8"/>
      <c r="E731" s="9"/>
      <c r="F731" s="9"/>
      <c r="G731" s="10"/>
      <c r="H731" s="10"/>
      <c r="I731" s="11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7"/>
      <c r="B732" s="7"/>
      <c r="C732" s="5"/>
      <c r="D732" s="8"/>
      <c r="E732" s="9"/>
      <c r="F732" s="9"/>
      <c r="G732" s="10"/>
      <c r="H732" s="10"/>
      <c r="I732" s="11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7"/>
      <c r="B733" s="7"/>
      <c r="C733" s="5"/>
      <c r="D733" s="8"/>
      <c r="E733" s="9"/>
      <c r="F733" s="9"/>
      <c r="G733" s="10"/>
      <c r="H733" s="10"/>
      <c r="I733" s="11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7"/>
      <c r="B734" s="7"/>
      <c r="C734" s="5"/>
      <c r="D734" s="8"/>
      <c r="E734" s="9"/>
      <c r="F734" s="9"/>
      <c r="G734" s="10"/>
      <c r="H734" s="10"/>
      <c r="I734" s="11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7"/>
      <c r="B735" s="7"/>
      <c r="C735" s="5"/>
      <c r="D735" s="8"/>
      <c r="E735" s="9"/>
      <c r="F735" s="9"/>
      <c r="G735" s="10"/>
      <c r="H735" s="10"/>
      <c r="I735" s="11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7"/>
      <c r="B736" s="7"/>
      <c r="C736" s="5"/>
      <c r="D736" s="8"/>
      <c r="E736" s="9"/>
      <c r="F736" s="9"/>
      <c r="G736" s="10"/>
      <c r="H736" s="10"/>
      <c r="I736" s="11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7"/>
      <c r="B737" s="7"/>
      <c r="C737" s="5"/>
      <c r="D737" s="8"/>
      <c r="E737" s="9"/>
      <c r="F737" s="9"/>
      <c r="G737" s="10"/>
      <c r="H737" s="10"/>
      <c r="I737" s="11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7"/>
      <c r="B738" s="7"/>
      <c r="C738" s="5"/>
      <c r="D738" s="8"/>
      <c r="E738" s="9"/>
      <c r="F738" s="9"/>
      <c r="G738" s="10"/>
      <c r="H738" s="10"/>
      <c r="I738" s="11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7"/>
      <c r="B739" s="7"/>
      <c r="C739" s="5"/>
      <c r="D739" s="8"/>
      <c r="E739" s="9"/>
      <c r="F739" s="9"/>
      <c r="G739" s="10"/>
      <c r="H739" s="10"/>
      <c r="I739" s="11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7"/>
      <c r="B740" s="7"/>
      <c r="C740" s="5"/>
      <c r="D740" s="8"/>
      <c r="E740" s="9"/>
      <c r="F740" s="9"/>
      <c r="G740" s="10"/>
      <c r="H740" s="10"/>
      <c r="I740" s="11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7"/>
      <c r="B741" s="7"/>
      <c r="C741" s="5"/>
      <c r="D741" s="8"/>
      <c r="E741" s="9"/>
      <c r="F741" s="9"/>
      <c r="G741" s="10"/>
      <c r="H741" s="10"/>
      <c r="I741" s="11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7"/>
      <c r="B742" s="7"/>
      <c r="C742" s="5"/>
      <c r="D742" s="8"/>
      <c r="E742" s="9"/>
      <c r="F742" s="9"/>
      <c r="G742" s="10"/>
      <c r="H742" s="10"/>
      <c r="I742" s="11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7"/>
      <c r="B743" s="7"/>
      <c r="C743" s="5"/>
      <c r="D743" s="8"/>
      <c r="E743" s="9"/>
      <c r="F743" s="9"/>
      <c r="G743" s="10"/>
      <c r="H743" s="10"/>
      <c r="I743" s="11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7"/>
      <c r="B744" s="7"/>
      <c r="C744" s="5"/>
      <c r="D744" s="8"/>
      <c r="E744" s="9"/>
      <c r="F744" s="9"/>
      <c r="G744" s="10"/>
      <c r="H744" s="10"/>
      <c r="I744" s="11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7"/>
      <c r="B745" s="7"/>
      <c r="C745" s="5"/>
      <c r="D745" s="8"/>
      <c r="E745" s="9"/>
      <c r="F745" s="9"/>
      <c r="G745" s="10"/>
      <c r="H745" s="10"/>
      <c r="I745" s="11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7"/>
      <c r="B746" s="7"/>
      <c r="C746" s="5"/>
      <c r="D746" s="8"/>
      <c r="E746" s="9"/>
      <c r="F746" s="9"/>
      <c r="G746" s="10"/>
      <c r="H746" s="10"/>
      <c r="I746" s="11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7"/>
      <c r="B747" s="7"/>
      <c r="C747" s="5"/>
      <c r="D747" s="8"/>
      <c r="E747" s="9"/>
      <c r="F747" s="9"/>
      <c r="G747" s="10"/>
      <c r="H747" s="10"/>
      <c r="I747" s="11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7"/>
      <c r="B748" s="7"/>
      <c r="C748" s="5"/>
      <c r="D748" s="8"/>
      <c r="E748" s="9"/>
      <c r="F748" s="9"/>
      <c r="G748" s="10"/>
      <c r="H748" s="10"/>
      <c r="I748" s="11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7"/>
      <c r="B749" s="7"/>
      <c r="C749" s="5"/>
      <c r="D749" s="8"/>
      <c r="E749" s="9"/>
      <c r="F749" s="9"/>
      <c r="G749" s="10"/>
      <c r="H749" s="10"/>
      <c r="I749" s="11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7"/>
      <c r="B750" s="7"/>
      <c r="C750" s="5"/>
      <c r="D750" s="8"/>
      <c r="E750" s="9"/>
      <c r="F750" s="9"/>
      <c r="G750" s="10"/>
      <c r="H750" s="10"/>
      <c r="I750" s="11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7"/>
      <c r="B751" s="7"/>
      <c r="C751" s="5"/>
      <c r="D751" s="8"/>
      <c r="E751" s="9"/>
      <c r="F751" s="9"/>
      <c r="G751" s="10"/>
      <c r="H751" s="10"/>
      <c r="I751" s="11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7"/>
      <c r="B752" s="7"/>
      <c r="C752" s="5"/>
      <c r="D752" s="8"/>
      <c r="E752" s="9"/>
      <c r="F752" s="9"/>
      <c r="G752" s="10"/>
      <c r="H752" s="10"/>
      <c r="I752" s="11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7"/>
      <c r="B753" s="7"/>
      <c r="C753" s="5"/>
      <c r="D753" s="8"/>
      <c r="E753" s="9"/>
      <c r="F753" s="9"/>
      <c r="G753" s="10"/>
      <c r="H753" s="10"/>
      <c r="I753" s="11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7"/>
      <c r="B754" s="7"/>
      <c r="C754" s="5"/>
      <c r="D754" s="8"/>
      <c r="E754" s="9"/>
      <c r="F754" s="9"/>
      <c r="G754" s="10"/>
      <c r="H754" s="10"/>
      <c r="I754" s="11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7"/>
      <c r="B755" s="7"/>
      <c r="C755" s="5"/>
      <c r="D755" s="8"/>
      <c r="E755" s="9"/>
      <c r="F755" s="9"/>
      <c r="G755" s="10"/>
      <c r="H755" s="10"/>
      <c r="I755" s="11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7"/>
      <c r="B756" s="7"/>
      <c r="C756" s="5"/>
      <c r="D756" s="8"/>
      <c r="E756" s="9"/>
      <c r="F756" s="9"/>
      <c r="G756" s="10"/>
      <c r="H756" s="10"/>
      <c r="I756" s="11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7"/>
      <c r="B757" s="7"/>
      <c r="C757" s="5"/>
      <c r="D757" s="8"/>
      <c r="E757" s="9"/>
      <c r="F757" s="9"/>
      <c r="G757" s="10"/>
      <c r="H757" s="10"/>
      <c r="I757" s="11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7"/>
      <c r="B758" s="7"/>
      <c r="C758" s="5"/>
      <c r="D758" s="8"/>
      <c r="E758" s="9"/>
      <c r="F758" s="9"/>
      <c r="G758" s="10"/>
      <c r="H758" s="10"/>
      <c r="I758" s="11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7"/>
      <c r="B759" s="7"/>
      <c r="C759" s="5"/>
      <c r="D759" s="8"/>
      <c r="E759" s="9"/>
      <c r="F759" s="9"/>
      <c r="G759" s="10"/>
      <c r="H759" s="10"/>
      <c r="I759" s="11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7"/>
      <c r="B760" s="7"/>
      <c r="C760" s="5"/>
      <c r="D760" s="8"/>
      <c r="E760" s="9"/>
      <c r="F760" s="9"/>
      <c r="G760" s="10"/>
      <c r="H760" s="10"/>
      <c r="I760" s="11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7"/>
      <c r="B761" s="7"/>
      <c r="C761" s="5"/>
      <c r="D761" s="8"/>
      <c r="E761" s="9"/>
      <c r="F761" s="9"/>
      <c r="G761" s="10"/>
      <c r="H761" s="10"/>
      <c r="I761" s="11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7"/>
      <c r="B762" s="7"/>
      <c r="C762" s="5"/>
      <c r="D762" s="8"/>
      <c r="E762" s="9"/>
      <c r="F762" s="9"/>
      <c r="G762" s="10"/>
      <c r="H762" s="10"/>
      <c r="I762" s="11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7"/>
      <c r="B763" s="7"/>
      <c r="C763" s="5"/>
      <c r="D763" s="8"/>
      <c r="E763" s="9"/>
      <c r="F763" s="9"/>
      <c r="G763" s="10"/>
      <c r="H763" s="10"/>
      <c r="I763" s="11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7"/>
      <c r="B764" s="7"/>
      <c r="C764" s="5"/>
      <c r="D764" s="8"/>
      <c r="E764" s="9"/>
      <c r="F764" s="9"/>
      <c r="G764" s="10"/>
      <c r="H764" s="10"/>
      <c r="I764" s="11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7"/>
      <c r="B765" s="7"/>
      <c r="C765" s="5"/>
      <c r="D765" s="8"/>
      <c r="E765" s="9"/>
      <c r="F765" s="9"/>
      <c r="G765" s="10"/>
      <c r="H765" s="10"/>
      <c r="I765" s="11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7"/>
      <c r="B766" s="7"/>
      <c r="C766" s="5"/>
      <c r="D766" s="8"/>
      <c r="E766" s="9"/>
      <c r="F766" s="9"/>
      <c r="G766" s="10"/>
      <c r="H766" s="10"/>
      <c r="I766" s="11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7"/>
      <c r="B767" s="7"/>
      <c r="C767" s="5"/>
      <c r="D767" s="8"/>
      <c r="E767" s="9"/>
      <c r="F767" s="9"/>
      <c r="G767" s="10"/>
      <c r="H767" s="10"/>
      <c r="I767" s="11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7"/>
      <c r="B768" s="7"/>
      <c r="C768" s="5"/>
      <c r="D768" s="8"/>
      <c r="E768" s="9"/>
      <c r="F768" s="9"/>
      <c r="G768" s="10"/>
      <c r="H768" s="10"/>
      <c r="I768" s="11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7"/>
      <c r="B769" s="7"/>
      <c r="C769" s="5"/>
      <c r="D769" s="8"/>
      <c r="E769" s="9"/>
      <c r="F769" s="9"/>
      <c r="G769" s="10"/>
      <c r="H769" s="10"/>
      <c r="I769" s="11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7"/>
      <c r="B770" s="7"/>
      <c r="C770" s="5"/>
      <c r="D770" s="8"/>
      <c r="E770" s="9"/>
      <c r="F770" s="9"/>
      <c r="G770" s="10"/>
      <c r="H770" s="10"/>
      <c r="I770" s="11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7"/>
      <c r="B771" s="7"/>
      <c r="C771" s="5"/>
      <c r="D771" s="8"/>
      <c r="E771" s="9"/>
      <c r="F771" s="9"/>
      <c r="G771" s="10"/>
      <c r="H771" s="10"/>
      <c r="I771" s="11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7"/>
      <c r="B772" s="7"/>
      <c r="C772" s="5"/>
      <c r="D772" s="8"/>
      <c r="E772" s="9"/>
      <c r="F772" s="9"/>
      <c r="G772" s="10"/>
      <c r="H772" s="10"/>
      <c r="I772" s="11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7"/>
      <c r="B773" s="7"/>
      <c r="C773" s="5"/>
      <c r="D773" s="8"/>
      <c r="E773" s="9"/>
      <c r="F773" s="9"/>
      <c r="G773" s="10"/>
      <c r="H773" s="10"/>
      <c r="I773" s="11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7"/>
      <c r="B774" s="7"/>
      <c r="C774" s="5"/>
      <c r="D774" s="8"/>
      <c r="E774" s="9"/>
      <c r="F774" s="9"/>
      <c r="G774" s="10"/>
      <c r="H774" s="10"/>
      <c r="I774" s="11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7"/>
      <c r="B775" s="7"/>
      <c r="C775" s="5"/>
      <c r="D775" s="8"/>
      <c r="E775" s="9"/>
      <c r="F775" s="9"/>
      <c r="G775" s="10"/>
      <c r="H775" s="10"/>
      <c r="I775" s="11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7"/>
      <c r="B776" s="7"/>
      <c r="C776" s="5"/>
      <c r="D776" s="8"/>
      <c r="E776" s="9"/>
      <c r="F776" s="9"/>
      <c r="G776" s="10"/>
      <c r="H776" s="10"/>
      <c r="I776" s="11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7"/>
      <c r="B777" s="7"/>
      <c r="C777" s="5"/>
      <c r="D777" s="8"/>
      <c r="E777" s="9"/>
      <c r="F777" s="9"/>
      <c r="G777" s="10"/>
      <c r="H777" s="10"/>
      <c r="I777" s="11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7"/>
      <c r="B778" s="7"/>
      <c r="C778" s="5"/>
      <c r="D778" s="8"/>
      <c r="E778" s="9"/>
      <c r="F778" s="9"/>
      <c r="G778" s="10"/>
      <c r="H778" s="10"/>
      <c r="I778" s="11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7"/>
      <c r="B779" s="7"/>
      <c r="C779" s="5"/>
      <c r="D779" s="8"/>
      <c r="E779" s="9"/>
      <c r="F779" s="9"/>
      <c r="G779" s="10"/>
      <c r="H779" s="10"/>
      <c r="I779" s="11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7"/>
      <c r="B780" s="7"/>
      <c r="C780" s="5"/>
      <c r="D780" s="8"/>
      <c r="E780" s="9"/>
      <c r="F780" s="9"/>
      <c r="G780" s="10"/>
      <c r="H780" s="10"/>
      <c r="I780" s="11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7"/>
      <c r="B781" s="7"/>
      <c r="C781" s="5"/>
      <c r="D781" s="8"/>
      <c r="E781" s="9"/>
      <c r="F781" s="9"/>
      <c r="G781" s="10"/>
      <c r="H781" s="10"/>
      <c r="I781" s="11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7"/>
      <c r="B782" s="7"/>
      <c r="C782" s="5"/>
      <c r="D782" s="8"/>
      <c r="E782" s="9"/>
      <c r="F782" s="9"/>
      <c r="G782" s="10"/>
      <c r="H782" s="10"/>
      <c r="I782" s="11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7"/>
      <c r="B783" s="7"/>
      <c r="C783" s="5"/>
      <c r="D783" s="8"/>
      <c r="E783" s="9"/>
      <c r="F783" s="9"/>
      <c r="G783" s="10"/>
      <c r="H783" s="10"/>
      <c r="I783" s="11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7"/>
      <c r="B784" s="7"/>
      <c r="C784" s="5"/>
      <c r="D784" s="8"/>
      <c r="E784" s="9"/>
      <c r="F784" s="9"/>
      <c r="G784" s="10"/>
      <c r="H784" s="10"/>
      <c r="I784" s="11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7"/>
      <c r="B785" s="7"/>
      <c r="C785" s="5"/>
      <c r="D785" s="8"/>
      <c r="E785" s="9"/>
      <c r="F785" s="9"/>
      <c r="G785" s="10"/>
      <c r="H785" s="10"/>
      <c r="I785" s="11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7"/>
      <c r="B786" s="7"/>
      <c r="C786" s="5"/>
      <c r="D786" s="8"/>
      <c r="E786" s="9"/>
      <c r="F786" s="9"/>
      <c r="G786" s="10"/>
      <c r="H786" s="10"/>
      <c r="I786" s="11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7"/>
      <c r="B787" s="7"/>
      <c r="C787" s="5"/>
      <c r="D787" s="8"/>
      <c r="E787" s="9"/>
      <c r="F787" s="9"/>
      <c r="G787" s="10"/>
      <c r="H787" s="10"/>
      <c r="I787" s="11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7"/>
      <c r="B788" s="7"/>
      <c r="C788" s="5"/>
      <c r="D788" s="8"/>
      <c r="E788" s="9"/>
      <c r="F788" s="9"/>
      <c r="G788" s="10"/>
      <c r="H788" s="10"/>
      <c r="I788" s="11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7"/>
      <c r="B789" s="7"/>
      <c r="C789" s="5"/>
      <c r="D789" s="8"/>
      <c r="E789" s="9"/>
      <c r="F789" s="9"/>
      <c r="G789" s="10"/>
      <c r="H789" s="10"/>
      <c r="I789" s="11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7"/>
      <c r="B790" s="7"/>
      <c r="C790" s="5"/>
      <c r="D790" s="8"/>
      <c r="E790" s="9"/>
      <c r="F790" s="9"/>
      <c r="G790" s="10"/>
      <c r="H790" s="10"/>
      <c r="I790" s="11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7"/>
      <c r="B791" s="7"/>
      <c r="C791" s="5"/>
      <c r="D791" s="8"/>
      <c r="E791" s="9"/>
      <c r="F791" s="9"/>
      <c r="G791" s="10"/>
      <c r="H791" s="10"/>
      <c r="I791" s="11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7"/>
      <c r="B792" s="7"/>
      <c r="C792" s="5"/>
      <c r="D792" s="8"/>
      <c r="E792" s="9"/>
      <c r="F792" s="9"/>
      <c r="G792" s="10"/>
      <c r="H792" s="10"/>
      <c r="I792" s="11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7"/>
      <c r="B793" s="7"/>
      <c r="C793" s="5"/>
      <c r="D793" s="8"/>
      <c r="E793" s="9"/>
      <c r="F793" s="9"/>
      <c r="G793" s="10"/>
      <c r="H793" s="10"/>
      <c r="I793" s="11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7"/>
      <c r="B794" s="7"/>
      <c r="C794" s="5"/>
      <c r="D794" s="8"/>
      <c r="E794" s="9"/>
      <c r="F794" s="9"/>
      <c r="G794" s="10"/>
      <c r="H794" s="10"/>
      <c r="I794" s="11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7"/>
      <c r="B795" s="7"/>
      <c r="C795" s="5"/>
      <c r="D795" s="8"/>
      <c r="E795" s="9"/>
      <c r="F795" s="9"/>
      <c r="G795" s="10"/>
      <c r="H795" s="10"/>
      <c r="I795" s="11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7"/>
      <c r="B796" s="7"/>
      <c r="C796" s="5"/>
      <c r="D796" s="8"/>
      <c r="E796" s="9"/>
      <c r="F796" s="9"/>
      <c r="G796" s="10"/>
      <c r="H796" s="10"/>
      <c r="I796" s="11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7"/>
      <c r="B797" s="7"/>
      <c r="C797" s="5"/>
      <c r="D797" s="8"/>
      <c r="E797" s="9"/>
      <c r="F797" s="9"/>
      <c r="G797" s="10"/>
      <c r="H797" s="10"/>
      <c r="I797" s="11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7"/>
      <c r="B798" s="7"/>
      <c r="C798" s="5"/>
      <c r="D798" s="8"/>
      <c r="E798" s="9"/>
      <c r="F798" s="9"/>
      <c r="G798" s="10"/>
      <c r="H798" s="10"/>
      <c r="I798" s="11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7"/>
      <c r="B799" s="7"/>
      <c r="C799" s="5"/>
      <c r="D799" s="8"/>
      <c r="E799" s="9"/>
      <c r="F799" s="9"/>
      <c r="G799" s="10"/>
      <c r="H799" s="10"/>
      <c r="I799" s="11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7"/>
      <c r="B800" s="7"/>
      <c r="C800" s="5"/>
      <c r="D800" s="8"/>
      <c r="E800" s="9"/>
      <c r="F800" s="9"/>
      <c r="G800" s="10"/>
      <c r="H800" s="10"/>
      <c r="I800" s="11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7"/>
      <c r="B801" s="7"/>
      <c r="C801" s="5"/>
      <c r="D801" s="8"/>
      <c r="E801" s="9"/>
      <c r="F801" s="9"/>
      <c r="G801" s="10"/>
      <c r="H801" s="10"/>
      <c r="I801" s="11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7"/>
      <c r="B802" s="7"/>
      <c r="C802" s="5"/>
      <c r="D802" s="8"/>
      <c r="E802" s="9"/>
      <c r="F802" s="9"/>
      <c r="G802" s="10"/>
      <c r="H802" s="10"/>
      <c r="I802" s="11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7"/>
      <c r="B803" s="7"/>
      <c r="C803" s="5"/>
      <c r="D803" s="8"/>
      <c r="E803" s="9"/>
      <c r="F803" s="9"/>
      <c r="G803" s="10"/>
      <c r="H803" s="10"/>
      <c r="I803" s="11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7"/>
      <c r="B804" s="7"/>
      <c r="C804" s="5"/>
      <c r="D804" s="8"/>
      <c r="E804" s="9"/>
      <c r="F804" s="9"/>
      <c r="G804" s="10"/>
      <c r="H804" s="10"/>
      <c r="I804" s="11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7"/>
      <c r="B805" s="7"/>
      <c r="C805" s="5"/>
      <c r="D805" s="8"/>
      <c r="E805" s="9"/>
      <c r="F805" s="9"/>
      <c r="G805" s="10"/>
      <c r="H805" s="10"/>
      <c r="I805" s="11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7"/>
      <c r="B806" s="7"/>
      <c r="C806" s="5"/>
      <c r="D806" s="8"/>
      <c r="E806" s="9"/>
      <c r="F806" s="9"/>
      <c r="G806" s="10"/>
      <c r="H806" s="10"/>
      <c r="I806" s="11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7"/>
      <c r="B807" s="7"/>
      <c r="C807" s="5"/>
      <c r="D807" s="8"/>
      <c r="E807" s="9"/>
      <c r="F807" s="9"/>
      <c r="G807" s="10"/>
      <c r="H807" s="10"/>
      <c r="I807" s="11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7"/>
      <c r="B808" s="7"/>
      <c r="C808" s="5"/>
      <c r="D808" s="8"/>
      <c r="E808" s="9"/>
      <c r="F808" s="9"/>
      <c r="G808" s="10"/>
      <c r="H808" s="10"/>
      <c r="I808" s="11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7"/>
      <c r="B809" s="7"/>
      <c r="C809" s="5"/>
      <c r="D809" s="8"/>
      <c r="E809" s="9"/>
      <c r="F809" s="9"/>
      <c r="G809" s="10"/>
      <c r="H809" s="10"/>
      <c r="I809" s="11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7"/>
      <c r="B810" s="7"/>
      <c r="C810" s="5"/>
      <c r="D810" s="8"/>
      <c r="E810" s="9"/>
      <c r="F810" s="9"/>
      <c r="G810" s="10"/>
      <c r="H810" s="10"/>
      <c r="I810" s="11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7"/>
      <c r="B811" s="7"/>
      <c r="C811" s="5"/>
      <c r="D811" s="8"/>
      <c r="E811" s="9"/>
      <c r="F811" s="9"/>
      <c r="G811" s="10"/>
      <c r="H811" s="10"/>
      <c r="I811" s="11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7"/>
      <c r="B812" s="7"/>
      <c r="C812" s="5"/>
      <c r="D812" s="8"/>
      <c r="E812" s="9"/>
      <c r="F812" s="9"/>
      <c r="G812" s="10"/>
      <c r="H812" s="10"/>
      <c r="I812" s="11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7"/>
      <c r="B813" s="7"/>
      <c r="C813" s="5"/>
      <c r="D813" s="8"/>
      <c r="E813" s="9"/>
      <c r="F813" s="9"/>
      <c r="G813" s="10"/>
      <c r="H813" s="10"/>
      <c r="I813" s="11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7"/>
      <c r="B814" s="7"/>
      <c r="C814" s="5"/>
      <c r="D814" s="8"/>
      <c r="E814" s="9"/>
      <c r="F814" s="9"/>
      <c r="G814" s="10"/>
      <c r="H814" s="10"/>
      <c r="I814" s="11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7"/>
      <c r="B815" s="7"/>
      <c r="C815" s="5"/>
      <c r="D815" s="8"/>
      <c r="E815" s="9"/>
      <c r="F815" s="9"/>
      <c r="G815" s="10"/>
      <c r="H815" s="10"/>
      <c r="I815" s="11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7"/>
      <c r="B816" s="7"/>
      <c r="C816" s="5"/>
      <c r="D816" s="8"/>
      <c r="E816" s="9"/>
      <c r="F816" s="9"/>
      <c r="G816" s="10"/>
      <c r="H816" s="10"/>
      <c r="I816" s="11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7"/>
      <c r="B817" s="7"/>
      <c r="C817" s="5"/>
      <c r="D817" s="8"/>
      <c r="E817" s="9"/>
      <c r="F817" s="9"/>
      <c r="G817" s="10"/>
      <c r="H817" s="10"/>
      <c r="I817" s="11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7"/>
      <c r="B818" s="7"/>
      <c r="C818" s="5"/>
      <c r="D818" s="8"/>
      <c r="E818" s="9"/>
      <c r="F818" s="9"/>
      <c r="G818" s="10"/>
      <c r="H818" s="10"/>
      <c r="I818" s="11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7"/>
      <c r="B819" s="7"/>
      <c r="C819" s="5"/>
      <c r="D819" s="8"/>
      <c r="E819" s="9"/>
      <c r="F819" s="9"/>
      <c r="G819" s="10"/>
      <c r="H819" s="10"/>
      <c r="I819" s="11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7"/>
      <c r="B820" s="7"/>
      <c r="C820" s="5"/>
      <c r="D820" s="8"/>
      <c r="E820" s="9"/>
      <c r="F820" s="9"/>
      <c r="G820" s="10"/>
      <c r="H820" s="10"/>
      <c r="I820" s="11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7"/>
      <c r="B821" s="7"/>
      <c r="C821" s="5"/>
      <c r="D821" s="8"/>
      <c r="E821" s="9"/>
      <c r="F821" s="9"/>
      <c r="G821" s="10"/>
      <c r="H821" s="10"/>
      <c r="I821" s="11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7"/>
      <c r="B822" s="7"/>
      <c r="C822" s="5"/>
      <c r="D822" s="8"/>
      <c r="E822" s="9"/>
      <c r="F822" s="9"/>
      <c r="G822" s="10"/>
      <c r="H822" s="10"/>
      <c r="I822" s="11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7"/>
      <c r="B823" s="7"/>
      <c r="C823" s="5"/>
      <c r="D823" s="8"/>
      <c r="E823" s="9"/>
      <c r="F823" s="9"/>
      <c r="G823" s="10"/>
      <c r="H823" s="10"/>
      <c r="I823" s="11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7"/>
      <c r="B824" s="7"/>
      <c r="C824" s="5"/>
      <c r="D824" s="8"/>
      <c r="E824" s="9"/>
      <c r="F824" s="9"/>
      <c r="G824" s="10"/>
      <c r="H824" s="10"/>
      <c r="I824" s="11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7"/>
      <c r="B825" s="7"/>
      <c r="C825" s="5"/>
      <c r="D825" s="8"/>
      <c r="E825" s="9"/>
      <c r="F825" s="9"/>
      <c r="G825" s="10"/>
      <c r="H825" s="10"/>
      <c r="I825" s="11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7"/>
      <c r="B826" s="7"/>
      <c r="C826" s="5"/>
      <c r="D826" s="8"/>
      <c r="E826" s="9"/>
      <c r="F826" s="9"/>
      <c r="G826" s="10"/>
      <c r="H826" s="10"/>
      <c r="I826" s="11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7"/>
      <c r="B827" s="7"/>
      <c r="C827" s="5"/>
      <c r="D827" s="8"/>
      <c r="E827" s="9"/>
      <c r="F827" s="9"/>
      <c r="G827" s="10"/>
      <c r="H827" s="10"/>
      <c r="I827" s="11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7"/>
      <c r="B828" s="7"/>
      <c r="C828" s="5"/>
      <c r="D828" s="8"/>
      <c r="E828" s="9"/>
      <c r="F828" s="9"/>
      <c r="G828" s="10"/>
      <c r="H828" s="10"/>
      <c r="I828" s="11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7"/>
      <c r="B829" s="7"/>
      <c r="C829" s="5"/>
      <c r="D829" s="8"/>
      <c r="E829" s="9"/>
      <c r="F829" s="9"/>
      <c r="G829" s="10"/>
      <c r="H829" s="10"/>
      <c r="I829" s="11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7"/>
      <c r="B830" s="7"/>
      <c r="C830" s="5"/>
      <c r="D830" s="8"/>
      <c r="E830" s="9"/>
      <c r="F830" s="9"/>
      <c r="G830" s="10"/>
      <c r="H830" s="10"/>
      <c r="I830" s="11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7"/>
      <c r="B831" s="7"/>
      <c r="C831" s="5"/>
      <c r="D831" s="8"/>
      <c r="E831" s="9"/>
      <c r="F831" s="9"/>
      <c r="G831" s="10"/>
      <c r="H831" s="10"/>
      <c r="I831" s="11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7"/>
      <c r="B832" s="7"/>
      <c r="C832" s="5"/>
      <c r="D832" s="8"/>
      <c r="E832" s="9"/>
      <c r="F832" s="9"/>
      <c r="G832" s="10"/>
      <c r="H832" s="10"/>
      <c r="I832" s="11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7"/>
      <c r="B833" s="7"/>
      <c r="C833" s="5"/>
      <c r="D833" s="8"/>
      <c r="E833" s="9"/>
      <c r="F833" s="9"/>
      <c r="G833" s="10"/>
      <c r="H833" s="10"/>
      <c r="I833" s="11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7"/>
      <c r="B834" s="7"/>
      <c r="C834" s="5"/>
      <c r="D834" s="8"/>
      <c r="E834" s="9"/>
      <c r="F834" s="9"/>
      <c r="G834" s="10"/>
      <c r="H834" s="10"/>
      <c r="I834" s="11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7"/>
      <c r="B835" s="7"/>
      <c r="C835" s="5"/>
      <c r="D835" s="8"/>
      <c r="E835" s="9"/>
      <c r="F835" s="9"/>
      <c r="G835" s="10"/>
      <c r="H835" s="10"/>
      <c r="I835" s="11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7"/>
      <c r="B836" s="7"/>
      <c r="C836" s="5"/>
      <c r="D836" s="8"/>
      <c r="E836" s="9"/>
      <c r="F836" s="9"/>
      <c r="G836" s="10"/>
      <c r="H836" s="10"/>
      <c r="I836" s="11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7"/>
      <c r="B837" s="7"/>
      <c r="C837" s="5"/>
      <c r="D837" s="8"/>
      <c r="E837" s="9"/>
      <c r="F837" s="9"/>
      <c r="G837" s="10"/>
      <c r="H837" s="10"/>
      <c r="I837" s="11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7"/>
      <c r="B838" s="7"/>
      <c r="C838" s="5"/>
      <c r="D838" s="8"/>
      <c r="E838" s="9"/>
      <c r="F838" s="9"/>
      <c r="G838" s="10"/>
      <c r="H838" s="10"/>
      <c r="I838" s="11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7"/>
      <c r="B839" s="7"/>
      <c r="C839" s="5"/>
      <c r="D839" s="8"/>
      <c r="E839" s="9"/>
      <c r="F839" s="9"/>
      <c r="G839" s="10"/>
      <c r="H839" s="10"/>
      <c r="I839" s="11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7"/>
      <c r="B840" s="7"/>
      <c r="C840" s="5"/>
      <c r="D840" s="8"/>
      <c r="E840" s="9"/>
      <c r="F840" s="9"/>
      <c r="G840" s="10"/>
      <c r="H840" s="10"/>
      <c r="I840" s="11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7"/>
      <c r="B841" s="7"/>
      <c r="C841" s="5"/>
      <c r="D841" s="8"/>
      <c r="E841" s="9"/>
      <c r="F841" s="9"/>
      <c r="G841" s="10"/>
      <c r="H841" s="10"/>
      <c r="I841" s="11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7"/>
      <c r="B842" s="7"/>
      <c r="C842" s="5"/>
      <c r="D842" s="8"/>
      <c r="E842" s="9"/>
      <c r="F842" s="9"/>
      <c r="G842" s="10"/>
      <c r="H842" s="10"/>
      <c r="I842" s="11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7"/>
      <c r="B843" s="7"/>
      <c r="C843" s="5"/>
      <c r="D843" s="8"/>
      <c r="E843" s="9"/>
      <c r="F843" s="9"/>
      <c r="G843" s="10"/>
      <c r="H843" s="10"/>
      <c r="I843" s="11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7"/>
      <c r="B844" s="7"/>
      <c r="C844" s="5"/>
      <c r="D844" s="8"/>
      <c r="E844" s="9"/>
      <c r="F844" s="9"/>
      <c r="G844" s="10"/>
      <c r="H844" s="10"/>
      <c r="I844" s="11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7"/>
      <c r="B845" s="7"/>
      <c r="C845" s="5"/>
      <c r="D845" s="8"/>
      <c r="E845" s="9"/>
      <c r="F845" s="9"/>
      <c r="G845" s="10"/>
      <c r="H845" s="10"/>
      <c r="I845" s="11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7"/>
      <c r="B846" s="7"/>
      <c r="C846" s="5"/>
      <c r="D846" s="8"/>
      <c r="E846" s="9"/>
      <c r="F846" s="9"/>
      <c r="G846" s="10"/>
      <c r="H846" s="10"/>
      <c r="I846" s="11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7"/>
      <c r="B847" s="7"/>
      <c r="C847" s="5"/>
      <c r="D847" s="8"/>
      <c r="E847" s="9"/>
      <c r="F847" s="9"/>
      <c r="G847" s="10"/>
      <c r="H847" s="10"/>
      <c r="I847" s="11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7"/>
      <c r="B848" s="7"/>
      <c r="C848" s="5"/>
      <c r="D848" s="8"/>
      <c r="E848" s="9"/>
      <c r="F848" s="9"/>
      <c r="G848" s="10"/>
      <c r="H848" s="10"/>
      <c r="I848" s="11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7"/>
      <c r="B849" s="7"/>
      <c r="C849" s="5"/>
      <c r="D849" s="8"/>
      <c r="E849" s="9"/>
      <c r="F849" s="9"/>
      <c r="G849" s="10"/>
      <c r="H849" s="10"/>
      <c r="I849" s="11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7"/>
      <c r="B850" s="7"/>
      <c r="C850" s="5"/>
      <c r="D850" s="8"/>
      <c r="E850" s="9"/>
      <c r="F850" s="9"/>
      <c r="G850" s="10"/>
      <c r="H850" s="10"/>
      <c r="I850" s="11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7"/>
      <c r="B851" s="7"/>
      <c r="C851" s="5"/>
      <c r="D851" s="8"/>
      <c r="E851" s="9"/>
      <c r="F851" s="9"/>
      <c r="G851" s="10"/>
      <c r="H851" s="10"/>
      <c r="I851" s="11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7"/>
      <c r="B852" s="7"/>
      <c r="C852" s="5"/>
      <c r="D852" s="8"/>
      <c r="E852" s="9"/>
      <c r="F852" s="9"/>
      <c r="G852" s="10"/>
      <c r="H852" s="10"/>
      <c r="I852" s="11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7"/>
      <c r="B853" s="7"/>
      <c r="C853" s="5"/>
      <c r="D853" s="8"/>
      <c r="E853" s="9"/>
      <c r="F853" s="9"/>
      <c r="G853" s="10"/>
      <c r="H853" s="10"/>
      <c r="I853" s="11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7"/>
      <c r="B854" s="7"/>
      <c r="C854" s="5"/>
      <c r="D854" s="8"/>
      <c r="E854" s="9"/>
      <c r="F854" s="9"/>
      <c r="G854" s="10"/>
      <c r="H854" s="10"/>
      <c r="I854" s="11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7"/>
      <c r="B855" s="7"/>
      <c r="C855" s="5"/>
      <c r="D855" s="8"/>
      <c r="E855" s="9"/>
      <c r="F855" s="9"/>
      <c r="G855" s="10"/>
      <c r="H855" s="10"/>
      <c r="I855" s="11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7"/>
      <c r="B856" s="7"/>
      <c r="C856" s="5"/>
      <c r="D856" s="8"/>
      <c r="E856" s="9"/>
      <c r="F856" s="9"/>
      <c r="G856" s="10"/>
      <c r="H856" s="10"/>
      <c r="I856" s="11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7"/>
      <c r="B857" s="7"/>
      <c r="C857" s="5"/>
      <c r="D857" s="8"/>
      <c r="E857" s="9"/>
      <c r="F857" s="9"/>
      <c r="G857" s="10"/>
      <c r="H857" s="10"/>
      <c r="I857" s="11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7"/>
      <c r="B858" s="7"/>
      <c r="C858" s="5"/>
      <c r="D858" s="8"/>
      <c r="E858" s="9"/>
      <c r="F858" s="9"/>
      <c r="G858" s="10"/>
      <c r="H858" s="10"/>
      <c r="I858" s="11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7"/>
      <c r="B859" s="7"/>
      <c r="C859" s="5"/>
      <c r="D859" s="8"/>
      <c r="E859" s="9"/>
      <c r="F859" s="9"/>
      <c r="G859" s="10"/>
      <c r="H859" s="10"/>
      <c r="I859" s="11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7"/>
      <c r="B860" s="7"/>
      <c r="C860" s="5"/>
      <c r="D860" s="8"/>
      <c r="E860" s="9"/>
      <c r="F860" s="9"/>
      <c r="G860" s="10"/>
      <c r="H860" s="10"/>
      <c r="I860" s="11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7"/>
      <c r="B861" s="7"/>
      <c r="C861" s="5"/>
      <c r="D861" s="8"/>
      <c r="E861" s="9"/>
      <c r="F861" s="9"/>
      <c r="G861" s="10"/>
      <c r="H861" s="10"/>
      <c r="I861" s="11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7"/>
      <c r="B862" s="7"/>
      <c r="C862" s="5"/>
      <c r="D862" s="8"/>
      <c r="E862" s="9"/>
      <c r="F862" s="9"/>
      <c r="G862" s="10"/>
      <c r="H862" s="10"/>
      <c r="I862" s="11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7"/>
      <c r="B863" s="7"/>
      <c r="C863" s="5"/>
      <c r="D863" s="8"/>
      <c r="E863" s="9"/>
      <c r="F863" s="9"/>
      <c r="G863" s="10"/>
      <c r="H863" s="10"/>
      <c r="I863" s="11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7"/>
      <c r="B864" s="7"/>
      <c r="C864" s="5"/>
      <c r="D864" s="8"/>
      <c r="E864" s="9"/>
      <c r="F864" s="9"/>
      <c r="G864" s="10"/>
      <c r="H864" s="10"/>
      <c r="I864" s="11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7"/>
      <c r="B865" s="7"/>
      <c r="C865" s="5"/>
      <c r="D865" s="8"/>
      <c r="E865" s="9"/>
      <c r="F865" s="9"/>
      <c r="G865" s="10"/>
      <c r="H865" s="10"/>
      <c r="I865" s="11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7"/>
      <c r="B866" s="7"/>
      <c r="C866" s="5"/>
      <c r="D866" s="8"/>
      <c r="E866" s="9"/>
      <c r="F866" s="9"/>
      <c r="G866" s="10"/>
      <c r="H866" s="10"/>
      <c r="I866" s="11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7"/>
      <c r="B867" s="7"/>
      <c r="C867" s="5"/>
      <c r="D867" s="8"/>
      <c r="E867" s="9"/>
      <c r="F867" s="9"/>
      <c r="G867" s="10"/>
      <c r="H867" s="10"/>
      <c r="I867" s="11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7"/>
      <c r="B868" s="7"/>
      <c r="C868" s="5"/>
      <c r="D868" s="8"/>
      <c r="E868" s="9"/>
      <c r="F868" s="9"/>
      <c r="G868" s="10"/>
      <c r="H868" s="10"/>
      <c r="I868" s="11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7"/>
      <c r="B869" s="7"/>
      <c r="C869" s="5"/>
      <c r="D869" s="8"/>
      <c r="E869" s="9"/>
      <c r="F869" s="9"/>
      <c r="G869" s="10"/>
      <c r="H869" s="10"/>
      <c r="I869" s="11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7"/>
      <c r="B870" s="7"/>
      <c r="C870" s="5"/>
      <c r="D870" s="8"/>
      <c r="E870" s="9"/>
      <c r="F870" s="9"/>
      <c r="G870" s="10"/>
      <c r="H870" s="10"/>
      <c r="I870" s="11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7"/>
      <c r="B871" s="7"/>
      <c r="C871" s="5"/>
      <c r="D871" s="8"/>
      <c r="E871" s="9"/>
      <c r="F871" s="9"/>
      <c r="G871" s="10"/>
      <c r="H871" s="10"/>
      <c r="I871" s="11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7"/>
      <c r="B872" s="7"/>
      <c r="C872" s="5"/>
      <c r="D872" s="8"/>
      <c r="E872" s="9"/>
      <c r="F872" s="9"/>
      <c r="G872" s="10"/>
      <c r="H872" s="10"/>
      <c r="I872" s="11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7"/>
      <c r="B873" s="7"/>
      <c r="C873" s="5"/>
      <c r="D873" s="8"/>
      <c r="E873" s="9"/>
      <c r="F873" s="9"/>
      <c r="G873" s="10"/>
      <c r="H873" s="10"/>
      <c r="I873" s="11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7"/>
      <c r="B874" s="7"/>
      <c r="C874" s="5"/>
      <c r="D874" s="8"/>
      <c r="E874" s="9"/>
      <c r="F874" s="9"/>
      <c r="G874" s="10"/>
      <c r="H874" s="10"/>
      <c r="I874" s="11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7"/>
      <c r="B875" s="7"/>
      <c r="C875" s="5"/>
      <c r="D875" s="8"/>
      <c r="E875" s="9"/>
      <c r="F875" s="9"/>
      <c r="G875" s="10"/>
      <c r="H875" s="10"/>
      <c r="I875" s="11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7"/>
      <c r="B876" s="7"/>
      <c r="C876" s="5"/>
      <c r="D876" s="8"/>
      <c r="E876" s="9"/>
      <c r="F876" s="9"/>
      <c r="G876" s="10"/>
      <c r="H876" s="10"/>
      <c r="I876" s="11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7"/>
      <c r="B877" s="7"/>
      <c r="C877" s="5"/>
      <c r="D877" s="8"/>
      <c r="E877" s="9"/>
      <c r="F877" s="9"/>
      <c r="G877" s="10"/>
      <c r="H877" s="10"/>
      <c r="I877" s="11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7"/>
      <c r="B878" s="7"/>
      <c r="C878" s="5"/>
      <c r="D878" s="8"/>
      <c r="E878" s="9"/>
      <c r="F878" s="9"/>
      <c r="G878" s="10"/>
      <c r="H878" s="10"/>
      <c r="I878" s="11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7"/>
      <c r="B879" s="7"/>
      <c r="C879" s="5"/>
      <c r="D879" s="8"/>
      <c r="E879" s="9"/>
      <c r="F879" s="9"/>
      <c r="G879" s="10"/>
      <c r="H879" s="10"/>
      <c r="I879" s="11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7"/>
      <c r="B880" s="7"/>
      <c r="C880" s="5"/>
      <c r="D880" s="8"/>
      <c r="E880" s="9"/>
      <c r="F880" s="9"/>
      <c r="G880" s="10"/>
      <c r="H880" s="10"/>
      <c r="I880" s="11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7"/>
      <c r="B881" s="7"/>
      <c r="C881" s="5"/>
      <c r="D881" s="8"/>
      <c r="E881" s="9"/>
      <c r="F881" s="9"/>
      <c r="G881" s="10"/>
      <c r="H881" s="10"/>
      <c r="I881" s="11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7"/>
      <c r="B882" s="7"/>
      <c r="C882" s="5"/>
      <c r="D882" s="8"/>
      <c r="E882" s="9"/>
      <c r="F882" s="9"/>
      <c r="G882" s="10"/>
      <c r="H882" s="10"/>
      <c r="I882" s="11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7"/>
      <c r="B883" s="7"/>
      <c r="C883" s="5"/>
      <c r="D883" s="8"/>
      <c r="E883" s="9"/>
      <c r="F883" s="9"/>
      <c r="G883" s="10"/>
      <c r="H883" s="10"/>
      <c r="I883" s="11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7"/>
      <c r="B884" s="7"/>
      <c r="C884" s="5"/>
      <c r="D884" s="8"/>
      <c r="E884" s="9"/>
      <c r="F884" s="9"/>
      <c r="G884" s="10"/>
      <c r="H884" s="10"/>
      <c r="I884" s="11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7"/>
      <c r="B885" s="7"/>
      <c r="C885" s="5"/>
      <c r="D885" s="8"/>
      <c r="E885" s="9"/>
      <c r="F885" s="9"/>
      <c r="G885" s="10"/>
      <c r="H885" s="10"/>
      <c r="I885" s="11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7"/>
      <c r="B886" s="7"/>
      <c r="C886" s="5"/>
      <c r="D886" s="8"/>
      <c r="E886" s="9"/>
      <c r="F886" s="9"/>
      <c r="G886" s="10"/>
      <c r="H886" s="10"/>
      <c r="I886" s="11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7"/>
      <c r="B887" s="7"/>
      <c r="C887" s="5"/>
      <c r="D887" s="8"/>
      <c r="E887" s="9"/>
      <c r="F887" s="9"/>
      <c r="G887" s="10"/>
      <c r="H887" s="10"/>
      <c r="I887" s="11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7"/>
      <c r="B888" s="7"/>
      <c r="C888" s="5"/>
      <c r="D888" s="8"/>
      <c r="E888" s="9"/>
      <c r="F888" s="9"/>
      <c r="G888" s="10"/>
      <c r="H888" s="10"/>
      <c r="I888" s="11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7"/>
      <c r="B889" s="7"/>
      <c r="C889" s="5"/>
      <c r="D889" s="8"/>
      <c r="E889" s="9"/>
      <c r="F889" s="9"/>
      <c r="G889" s="10"/>
      <c r="H889" s="10"/>
      <c r="I889" s="11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7"/>
      <c r="B890" s="7"/>
      <c r="C890" s="5"/>
      <c r="D890" s="8"/>
      <c r="E890" s="9"/>
      <c r="F890" s="9"/>
      <c r="G890" s="10"/>
      <c r="H890" s="10"/>
      <c r="I890" s="11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7"/>
      <c r="B891" s="7"/>
      <c r="C891" s="5"/>
      <c r="D891" s="8"/>
      <c r="E891" s="9"/>
      <c r="F891" s="9"/>
      <c r="G891" s="10"/>
      <c r="H891" s="10"/>
      <c r="I891" s="11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7"/>
      <c r="B892" s="7"/>
      <c r="C892" s="5"/>
      <c r="D892" s="8"/>
      <c r="E892" s="9"/>
      <c r="F892" s="9"/>
      <c r="G892" s="10"/>
      <c r="H892" s="10"/>
      <c r="I892" s="11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7"/>
      <c r="B893" s="7"/>
      <c r="C893" s="5"/>
      <c r="D893" s="8"/>
      <c r="E893" s="9"/>
      <c r="F893" s="9"/>
      <c r="G893" s="10"/>
      <c r="H893" s="10"/>
      <c r="I893" s="11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7"/>
      <c r="B894" s="7"/>
      <c r="C894" s="5"/>
      <c r="D894" s="8"/>
      <c r="E894" s="9"/>
      <c r="F894" s="9"/>
      <c r="G894" s="10"/>
      <c r="H894" s="10"/>
      <c r="I894" s="11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7"/>
      <c r="B895" s="7"/>
      <c r="C895" s="5"/>
      <c r="D895" s="8"/>
      <c r="E895" s="9"/>
      <c r="F895" s="9"/>
      <c r="G895" s="10"/>
      <c r="H895" s="10"/>
      <c r="I895" s="11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7"/>
      <c r="B896" s="7"/>
      <c r="C896" s="5"/>
      <c r="D896" s="8"/>
      <c r="E896" s="9"/>
      <c r="F896" s="9"/>
      <c r="G896" s="10"/>
      <c r="H896" s="10"/>
      <c r="I896" s="11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7"/>
      <c r="B897" s="7"/>
      <c r="C897" s="5"/>
      <c r="D897" s="8"/>
      <c r="E897" s="9"/>
      <c r="F897" s="9"/>
      <c r="G897" s="10"/>
      <c r="H897" s="10"/>
      <c r="I897" s="11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7"/>
      <c r="B898" s="7"/>
      <c r="C898" s="5"/>
      <c r="D898" s="8"/>
      <c r="E898" s="9"/>
      <c r="F898" s="9"/>
      <c r="G898" s="10"/>
      <c r="H898" s="10"/>
      <c r="I898" s="11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7"/>
      <c r="B899" s="7"/>
      <c r="C899" s="5"/>
      <c r="D899" s="8"/>
      <c r="E899" s="9"/>
      <c r="F899" s="9"/>
      <c r="G899" s="10"/>
      <c r="H899" s="10"/>
      <c r="I899" s="11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7"/>
      <c r="B900" s="7"/>
      <c r="C900" s="5"/>
      <c r="D900" s="8"/>
      <c r="E900" s="9"/>
      <c r="F900" s="9"/>
      <c r="G900" s="10"/>
      <c r="H900" s="10"/>
      <c r="I900" s="11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7"/>
      <c r="B901" s="7"/>
      <c r="C901" s="5"/>
      <c r="D901" s="8"/>
      <c r="E901" s="9"/>
      <c r="F901" s="9"/>
      <c r="G901" s="10"/>
      <c r="H901" s="10"/>
      <c r="I901" s="11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7"/>
      <c r="B902" s="7"/>
      <c r="C902" s="5"/>
      <c r="D902" s="8"/>
      <c r="E902" s="9"/>
      <c r="F902" s="9"/>
      <c r="G902" s="10"/>
      <c r="H902" s="10"/>
      <c r="I902" s="11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7"/>
      <c r="B903" s="7"/>
      <c r="C903" s="5"/>
      <c r="D903" s="8"/>
      <c r="E903" s="9"/>
      <c r="F903" s="9"/>
      <c r="G903" s="10"/>
      <c r="H903" s="10"/>
      <c r="I903" s="11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7"/>
      <c r="B904" s="7"/>
      <c r="C904" s="5"/>
      <c r="D904" s="8"/>
      <c r="E904" s="9"/>
      <c r="F904" s="9"/>
      <c r="G904" s="10"/>
      <c r="H904" s="10"/>
      <c r="I904" s="11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7"/>
      <c r="B905" s="7"/>
      <c r="C905" s="5"/>
      <c r="D905" s="8"/>
      <c r="E905" s="9"/>
      <c r="F905" s="9"/>
      <c r="G905" s="10"/>
      <c r="H905" s="10"/>
      <c r="I905" s="11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7"/>
      <c r="B906" s="7"/>
      <c r="C906" s="5"/>
      <c r="D906" s="8"/>
      <c r="E906" s="9"/>
      <c r="F906" s="9"/>
      <c r="G906" s="10"/>
      <c r="H906" s="10"/>
      <c r="I906" s="11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7"/>
      <c r="B907" s="7"/>
      <c r="C907" s="5"/>
      <c r="D907" s="8"/>
      <c r="E907" s="9"/>
      <c r="F907" s="9"/>
      <c r="G907" s="10"/>
      <c r="H907" s="10"/>
      <c r="I907" s="11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7"/>
      <c r="B908" s="7"/>
      <c r="C908" s="5"/>
      <c r="D908" s="8"/>
      <c r="E908" s="9"/>
      <c r="F908" s="9"/>
      <c r="G908" s="10"/>
      <c r="H908" s="10"/>
      <c r="I908" s="11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7"/>
      <c r="B909" s="7"/>
      <c r="C909" s="5"/>
      <c r="D909" s="8"/>
      <c r="E909" s="9"/>
      <c r="F909" s="9"/>
      <c r="G909" s="10"/>
      <c r="H909" s="10"/>
      <c r="I909" s="11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7"/>
      <c r="B910" s="7"/>
      <c r="C910" s="5"/>
      <c r="D910" s="8"/>
      <c r="E910" s="9"/>
      <c r="F910" s="9"/>
      <c r="G910" s="10"/>
      <c r="H910" s="10"/>
      <c r="I910" s="11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7"/>
      <c r="B911" s="7"/>
      <c r="C911" s="5"/>
      <c r="D911" s="8"/>
      <c r="E911" s="9"/>
      <c r="F911" s="9"/>
      <c r="G911" s="10"/>
      <c r="H911" s="10"/>
      <c r="I911" s="11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7"/>
      <c r="B912" s="7"/>
      <c r="C912" s="5"/>
      <c r="D912" s="8"/>
      <c r="E912" s="9"/>
      <c r="F912" s="9"/>
      <c r="G912" s="10"/>
      <c r="H912" s="10"/>
      <c r="I912" s="11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7"/>
      <c r="B913" s="7"/>
      <c r="C913" s="5"/>
      <c r="D913" s="8"/>
      <c r="E913" s="9"/>
      <c r="F913" s="9"/>
      <c r="G913" s="10"/>
      <c r="H913" s="10"/>
      <c r="I913" s="11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7"/>
      <c r="B914" s="7"/>
      <c r="C914" s="5"/>
      <c r="D914" s="8"/>
      <c r="E914" s="9"/>
      <c r="F914" s="9"/>
      <c r="G914" s="10"/>
      <c r="H914" s="10"/>
      <c r="I914" s="11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7"/>
      <c r="B915" s="7"/>
      <c r="C915" s="5"/>
      <c r="D915" s="8"/>
      <c r="E915" s="9"/>
      <c r="F915" s="9"/>
      <c r="G915" s="10"/>
      <c r="H915" s="10"/>
      <c r="I915" s="11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7"/>
      <c r="B916" s="7"/>
      <c r="C916" s="5"/>
      <c r="D916" s="8"/>
      <c r="E916" s="9"/>
      <c r="F916" s="9"/>
      <c r="G916" s="10"/>
      <c r="H916" s="10"/>
      <c r="I916" s="11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7"/>
      <c r="B917" s="7"/>
      <c r="C917" s="5"/>
      <c r="D917" s="8"/>
      <c r="E917" s="9"/>
      <c r="F917" s="9"/>
      <c r="G917" s="10"/>
      <c r="H917" s="10"/>
      <c r="I917" s="11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7"/>
      <c r="B918" s="7"/>
      <c r="C918" s="5"/>
      <c r="D918" s="8"/>
      <c r="E918" s="9"/>
      <c r="F918" s="9"/>
      <c r="G918" s="10"/>
      <c r="H918" s="10"/>
      <c r="I918" s="11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7"/>
      <c r="B919" s="7"/>
      <c r="C919" s="5"/>
      <c r="D919" s="8"/>
      <c r="E919" s="9"/>
      <c r="F919" s="9"/>
      <c r="G919" s="10"/>
      <c r="H919" s="10"/>
      <c r="I919" s="11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7"/>
      <c r="B920" s="7"/>
      <c r="C920" s="5"/>
      <c r="D920" s="8"/>
      <c r="E920" s="9"/>
      <c r="F920" s="9"/>
      <c r="G920" s="10"/>
      <c r="H920" s="10"/>
      <c r="I920" s="11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7"/>
      <c r="B921" s="7"/>
      <c r="C921" s="5"/>
      <c r="D921" s="8"/>
      <c r="E921" s="9"/>
      <c r="F921" s="9"/>
      <c r="G921" s="10"/>
      <c r="H921" s="10"/>
      <c r="I921" s="11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7"/>
      <c r="B922" s="7"/>
      <c r="C922" s="5"/>
      <c r="D922" s="8"/>
      <c r="E922" s="9"/>
      <c r="F922" s="9"/>
      <c r="G922" s="10"/>
      <c r="H922" s="10"/>
      <c r="I922" s="11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7"/>
      <c r="B923" s="7"/>
      <c r="C923" s="5"/>
      <c r="D923" s="8"/>
      <c r="E923" s="9"/>
      <c r="F923" s="9"/>
      <c r="G923" s="10"/>
      <c r="H923" s="10"/>
      <c r="I923" s="11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7"/>
      <c r="B924" s="7"/>
      <c r="C924" s="5"/>
      <c r="D924" s="8"/>
      <c r="E924" s="9"/>
      <c r="F924" s="9"/>
      <c r="G924" s="10"/>
      <c r="H924" s="10"/>
      <c r="I924" s="11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7"/>
      <c r="B925" s="7"/>
      <c r="C925" s="5"/>
      <c r="D925" s="8"/>
      <c r="E925" s="9"/>
      <c r="F925" s="9"/>
      <c r="G925" s="10"/>
      <c r="H925" s="10"/>
      <c r="I925" s="11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7"/>
      <c r="B926" s="7"/>
      <c r="C926" s="5"/>
      <c r="D926" s="8"/>
      <c r="E926" s="9"/>
      <c r="F926" s="9"/>
      <c r="G926" s="10"/>
      <c r="H926" s="10"/>
      <c r="I926" s="11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7"/>
      <c r="B927" s="7"/>
      <c r="C927" s="5"/>
      <c r="D927" s="8"/>
      <c r="E927" s="9"/>
      <c r="F927" s="9"/>
      <c r="G927" s="10"/>
      <c r="H927" s="10"/>
      <c r="I927" s="11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7"/>
      <c r="B928" s="7"/>
      <c r="C928" s="5"/>
      <c r="D928" s="8"/>
      <c r="E928" s="9"/>
      <c r="F928" s="9"/>
      <c r="G928" s="10"/>
      <c r="H928" s="10"/>
      <c r="I928" s="11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7"/>
      <c r="B929" s="7"/>
      <c r="C929" s="5"/>
      <c r="D929" s="8"/>
      <c r="E929" s="9"/>
      <c r="F929" s="9"/>
      <c r="G929" s="10"/>
      <c r="H929" s="10"/>
      <c r="I929" s="11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7"/>
      <c r="B930" s="7"/>
      <c r="C930" s="5"/>
      <c r="D930" s="8"/>
      <c r="E930" s="9"/>
      <c r="F930" s="9"/>
      <c r="G930" s="10"/>
      <c r="H930" s="10"/>
      <c r="I930" s="11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7"/>
      <c r="B931" s="7"/>
      <c r="C931" s="5"/>
      <c r="D931" s="8"/>
      <c r="E931" s="9"/>
      <c r="F931" s="9"/>
      <c r="G931" s="10"/>
      <c r="H931" s="10"/>
      <c r="I931" s="11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7"/>
      <c r="B932" s="7"/>
      <c r="C932" s="5"/>
      <c r="D932" s="8"/>
      <c r="E932" s="9"/>
      <c r="F932" s="9"/>
      <c r="G932" s="10"/>
      <c r="H932" s="10"/>
      <c r="I932" s="11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7"/>
      <c r="B933" s="7"/>
      <c r="C933" s="5"/>
      <c r="D933" s="8"/>
      <c r="E933" s="9"/>
      <c r="F933" s="9"/>
      <c r="G933" s="10"/>
      <c r="H933" s="10"/>
      <c r="I933" s="11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7"/>
      <c r="B934" s="7"/>
      <c r="C934" s="5"/>
      <c r="D934" s="8"/>
      <c r="E934" s="9"/>
      <c r="F934" s="9"/>
      <c r="G934" s="10"/>
      <c r="H934" s="10"/>
      <c r="I934" s="11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7"/>
      <c r="B935" s="7"/>
      <c r="C935" s="5"/>
      <c r="D935" s="8"/>
      <c r="E935" s="9"/>
      <c r="F935" s="9"/>
      <c r="G935" s="10"/>
      <c r="H935" s="10"/>
      <c r="I935" s="11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7"/>
      <c r="B936" s="7"/>
      <c r="C936" s="5"/>
      <c r="D936" s="8"/>
      <c r="E936" s="9"/>
      <c r="F936" s="9"/>
      <c r="G936" s="10"/>
      <c r="H936" s="10"/>
      <c r="I936" s="11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7"/>
      <c r="B937" s="7"/>
      <c r="C937" s="5"/>
      <c r="D937" s="8"/>
      <c r="E937" s="9"/>
      <c r="F937" s="9"/>
      <c r="G937" s="10"/>
      <c r="H937" s="10"/>
      <c r="I937" s="11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7"/>
      <c r="B938" s="7"/>
      <c r="C938" s="5"/>
      <c r="D938" s="8"/>
      <c r="E938" s="9"/>
      <c r="F938" s="9"/>
      <c r="G938" s="10"/>
      <c r="H938" s="10"/>
      <c r="I938" s="11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7"/>
      <c r="B939" s="7"/>
      <c r="C939" s="5"/>
      <c r="D939" s="8"/>
      <c r="E939" s="9"/>
      <c r="F939" s="9"/>
      <c r="G939" s="10"/>
      <c r="H939" s="10"/>
      <c r="I939" s="11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7"/>
      <c r="B940" s="7"/>
      <c r="C940" s="5"/>
      <c r="D940" s="8"/>
      <c r="E940" s="9"/>
      <c r="F940" s="9"/>
      <c r="G940" s="10"/>
      <c r="H940" s="10"/>
      <c r="I940" s="11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7"/>
      <c r="B941" s="7"/>
      <c r="C941" s="5"/>
      <c r="D941" s="8"/>
      <c r="E941" s="9"/>
      <c r="F941" s="9"/>
      <c r="G941" s="10"/>
      <c r="H941" s="10"/>
      <c r="I941" s="11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7"/>
      <c r="B942" s="7"/>
      <c r="C942" s="5"/>
      <c r="D942" s="8"/>
      <c r="E942" s="9"/>
      <c r="F942" s="9"/>
      <c r="G942" s="10"/>
      <c r="H942" s="10"/>
      <c r="I942" s="11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7"/>
      <c r="B943" s="7"/>
      <c r="C943" s="5"/>
      <c r="D943" s="8"/>
      <c r="E943" s="9"/>
      <c r="F943" s="9"/>
      <c r="G943" s="10"/>
      <c r="H943" s="10"/>
      <c r="I943" s="11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7"/>
      <c r="B944" s="7"/>
      <c r="C944" s="5"/>
      <c r="D944" s="8"/>
      <c r="E944" s="9"/>
      <c r="F944" s="9"/>
      <c r="G944" s="10"/>
      <c r="H944" s="10"/>
      <c r="I944" s="11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7"/>
      <c r="B945" s="7"/>
      <c r="C945" s="5"/>
      <c r="D945" s="8"/>
      <c r="E945" s="9"/>
      <c r="F945" s="9"/>
      <c r="G945" s="10"/>
      <c r="H945" s="10"/>
      <c r="I945" s="11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7"/>
      <c r="B946" s="7"/>
      <c r="C946" s="5"/>
      <c r="D946" s="8"/>
      <c r="E946" s="9"/>
      <c r="F946" s="9"/>
      <c r="G946" s="10"/>
      <c r="H946" s="10"/>
      <c r="I946" s="11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7"/>
      <c r="B947" s="7"/>
      <c r="C947" s="5"/>
      <c r="D947" s="8"/>
      <c r="E947" s="9"/>
      <c r="F947" s="9"/>
      <c r="G947" s="10"/>
      <c r="H947" s="10"/>
      <c r="I947" s="11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7"/>
      <c r="B948" s="7"/>
      <c r="C948" s="5"/>
      <c r="D948" s="8"/>
      <c r="E948" s="9"/>
      <c r="F948" s="9"/>
      <c r="G948" s="10"/>
      <c r="H948" s="10"/>
      <c r="I948" s="11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7"/>
      <c r="B949" s="7"/>
      <c r="C949" s="5"/>
      <c r="D949" s="8"/>
      <c r="E949" s="9"/>
      <c r="F949" s="9"/>
      <c r="G949" s="10"/>
      <c r="H949" s="10"/>
      <c r="I949" s="11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7"/>
      <c r="B950" s="7"/>
      <c r="C950" s="5"/>
      <c r="D950" s="8"/>
      <c r="E950" s="9"/>
      <c r="F950" s="9"/>
      <c r="G950" s="10"/>
      <c r="H950" s="10"/>
      <c r="I950" s="11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7"/>
      <c r="B951" s="7"/>
      <c r="C951" s="5"/>
      <c r="D951" s="8"/>
      <c r="E951" s="9"/>
      <c r="F951" s="9"/>
      <c r="G951" s="10"/>
      <c r="H951" s="10"/>
      <c r="I951" s="11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7"/>
      <c r="B952" s="7"/>
      <c r="C952" s="5"/>
      <c r="D952" s="8"/>
      <c r="E952" s="9"/>
      <c r="F952" s="9"/>
      <c r="G952" s="10"/>
      <c r="H952" s="10"/>
      <c r="I952" s="11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7"/>
      <c r="B953" s="7"/>
      <c r="C953" s="5"/>
      <c r="D953" s="8"/>
      <c r="E953" s="9"/>
      <c r="F953" s="9"/>
      <c r="G953" s="10"/>
      <c r="H953" s="10"/>
      <c r="I953" s="11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7"/>
      <c r="B954" s="7"/>
      <c r="C954" s="5"/>
      <c r="D954" s="8"/>
      <c r="E954" s="9"/>
      <c r="F954" s="9"/>
      <c r="G954" s="10"/>
      <c r="H954" s="10"/>
      <c r="I954" s="11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7"/>
      <c r="B955" s="7"/>
      <c r="C955" s="5"/>
      <c r="D955" s="8"/>
      <c r="E955" s="9"/>
      <c r="F955" s="9"/>
      <c r="G955" s="10"/>
      <c r="H955" s="10"/>
      <c r="I955" s="11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7"/>
      <c r="B956" s="7"/>
      <c r="C956" s="5"/>
      <c r="D956" s="8"/>
      <c r="E956" s="9"/>
      <c r="F956" s="9"/>
      <c r="G956" s="10"/>
      <c r="H956" s="10"/>
      <c r="I956" s="11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7"/>
      <c r="B957" s="7"/>
      <c r="C957" s="5"/>
      <c r="D957" s="8"/>
      <c r="E957" s="9"/>
      <c r="F957" s="9"/>
      <c r="G957" s="10"/>
      <c r="H957" s="10"/>
      <c r="I957" s="11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7"/>
      <c r="B958" s="7"/>
      <c r="C958" s="5"/>
      <c r="D958" s="8"/>
      <c r="E958" s="9"/>
      <c r="F958" s="9"/>
      <c r="G958" s="10"/>
      <c r="H958" s="10"/>
      <c r="I958" s="11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7"/>
      <c r="B959" s="7"/>
      <c r="C959" s="5"/>
      <c r="D959" s="8"/>
      <c r="E959" s="9"/>
      <c r="F959" s="9"/>
      <c r="G959" s="10"/>
      <c r="H959" s="10"/>
      <c r="I959" s="11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7"/>
      <c r="B960" s="7"/>
      <c r="C960" s="5"/>
      <c r="D960" s="8"/>
      <c r="E960" s="9"/>
      <c r="F960" s="9"/>
      <c r="G960" s="10"/>
      <c r="H960" s="10"/>
      <c r="I960" s="11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7"/>
      <c r="B961" s="7"/>
      <c r="C961" s="5"/>
      <c r="D961" s="8"/>
      <c r="E961" s="9"/>
      <c r="F961" s="9"/>
      <c r="G961" s="10"/>
      <c r="H961" s="10"/>
      <c r="I961" s="11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7"/>
      <c r="B962" s="7"/>
      <c r="C962" s="5"/>
      <c r="D962" s="8"/>
      <c r="E962" s="9"/>
      <c r="F962" s="9"/>
      <c r="G962" s="10"/>
      <c r="H962" s="10"/>
      <c r="I962" s="11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7"/>
      <c r="B963" s="7"/>
      <c r="C963" s="5"/>
      <c r="D963" s="8"/>
      <c r="E963" s="9"/>
      <c r="F963" s="9"/>
      <c r="G963" s="10"/>
      <c r="H963" s="10"/>
      <c r="I963" s="11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7"/>
      <c r="B964" s="7"/>
      <c r="C964" s="5"/>
      <c r="D964" s="8"/>
      <c r="E964" s="9"/>
      <c r="F964" s="9"/>
      <c r="G964" s="10"/>
      <c r="H964" s="10"/>
      <c r="I964" s="11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7"/>
      <c r="B965" s="7"/>
      <c r="C965" s="5"/>
      <c r="D965" s="8"/>
      <c r="E965" s="9"/>
      <c r="F965" s="9"/>
      <c r="G965" s="10"/>
      <c r="H965" s="10"/>
      <c r="I965" s="11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7"/>
      <c r="B966" s="7"/>
      <c r="C966" s="5"/>
      <c r="D966" s="8"/>
      <c r="E966" s="9"/>
      <c r="F966" s="9"/>
      <c r="G966" s="10"/>
      <c r="H966" s="10"/>
      <c r="I966" s="11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7"/>
      <c r="B967" s="7"/>
      <c r="C967" s="5"/>
      <c r="D967" s="8"/>
      <c r="E967" s="9"/>
      <c r="F967" s="9"/>
      <c r="G967" s="10"/>
      <c r="H967" s="10"/>
      <c r="I967" s="11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7"/>
      <c r="B968" s="7"/>
      <c r="C968" s="5"/>
      <c r="D968" s="8"/>
      <c r="E968" s="9"/>
      <c r="F968" s="9"/>
      <c r="G968" s="10"/>
      <c r="H968" s="10"/>
      <c r="I968" s="11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7"/>
      <c r="B969" s="7"/>
      <c r="C969" s="5"/>
      <c r="D969" s="8"/>
      <c r="E969" s="9"/>
      <c r="F969" s="9"/>
      <c r="G969" s="10"/>
      <c r="H969" s="10"/>
      <c r="I969" s="11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7"/>
      <c r="B970" s="7"/>
      <c r="C970" s="5"/>
      <c r="D970" s="8"/>
      <c r="E970" s="9"/>
      <c r="F970" s="9"/>
      <c r="G970" s="10"/>
      <c r="H970" s="10"/>
      <c r="I970" s="11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7"/>
      <c r="B971" s="7"/>
      <c r="C971" s="5"/>
      <c r="D971" s="8"/>
      <c r="E971" s="9"/>
      <c r="F971" s="9"/>
      <c r="G971" s="10"/>
      <c r="H971" s="10"/>
      <c r="I971" s="11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7"/>
      <c r="B972" s="7"/>
      <c r="C972" s="5"/>
      <c r="D972" s="8"/>
      <c r="E972" s="9"/>
      <c r="F972" s="9"/>
      <c r="G972" s="10"/>
      <c r="H972" s="10"/>
      <c r="I972" s="11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7"/>
      <c r="B973" s="7"/>
      <c r="C973" s="5"/>
      <c r="D973" s="8"/>
      <c r="E973" s="9"/>
      <c r="F973" s="9"/>
      <c r="G973" s="10"/>
      <c r="H973" s="10"/>
      <c r="I973" s="11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7"/>
      <c r="B974" s="7"/>
      <c r="C974" s="5"/>
      <c r="D974" s="8"/>
      <c r="E974" s="9"/>
      <c r="F974" s="9"/>
      <c r="G974" s="10"/>
      <c r="H974" s="10"/>
      <c r="I974" s="11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7"/>
      <c r="B975" s="7"/>
      <c r="C975" s="5"/>
      <c r="D975" s="8"/>
      <c r="E975" s="9"/>
      <c r="F975" s="9"/>
      <c r="G975" s="10"/>
      <c r="H975" s="10"/>
      <c r="I975" s="11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7"/>
      <c r="B976" s="7"/>
      <c r="C976" s="5"/>
      <c r="D976" s="8"/>
      <c r="E976" s="9"/>
      <c r="F976" s="9"/>
      <c r="G976" s="10"/>
      <c r="H976" s="10"/>
      <c r="I976" s="11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7"/>
      <c r="B977" s="7"/>
      <c r="C977" s="5"/>
      <c r="D977" s="8"/>
      <c r="E977" s="9"/>
      <c r="F977" s="9"/>
      <c r="G977" s="10"/>
      <c r="H977" s="10"/>
      <c r="I977" s="11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7"/>
      <c r="B978" s="7"/>
      <c r="C978" s="5"/>
      <c r="D978" s="8"/>
      <c r="E978" s="9"/>
      <c r="F978" s="9"/>
      <c r="G978" s="10"/>
      <c r="H978" s="10"/>
      <c r="I978" s="11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7"/>
      <c r="B979" s="7"/>
      <c r="C979" s="5"/>
      <c r="D979" s="8"/>
      <c r="E979" s="9"/>
      <c r="F979" s="9"/>
      <c r="G979" s="10"/>
      <c r="H979" s="10"/>
      <c r="I979" s="11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7"/>
      <c r="B980" s="7"/>
      <c r="C980" s="5"/>
      <c r="D980" s="8"/>
      <c r="E980" s="9"/>
      <c r="F980" s="9"/>
      <c r="G980" s="10"/>
      <c r="H980" s="10"/>
      <c r="I980" s="11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7"/>
      <c r="B981" s="7"/>
      <c r="C981" s="5"/>
      <c r="D981" s="8"/>
      <c r="E981" s="9"/>
      <c r="F981" s="9"/>
      <c r="G981" s="10"/>
      <c r="H981" s="10"/>
      <c r="I981" s="11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7"/>
      <c r="B982" s="7"/>
      <c r="C982" s="5"/>
      <c r="D982" s="8"/>
      <c r="E982" s="9"/>
      <c r="F982" s="9"/>
      <c r="G982" s="10"/>
      <c r="H982" s="10"/>
      <c r="I982" s="11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7"/>
      <c r="B983" s="7"/>
      <c r="C983" s="5"/>
      <c r="D983" s="8"/>
      <c r="E983" s="9"/>
      <c r="F983" s="9"/>
      <c r="G983" s="10"/>
      <c r="H983" s="10"/>
      <c r="I983" s="11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7"/>
      <c r="B984" s="7"/>
      <c r="C984" s="5"/>
      <c r="D984" s="8"/>
      <c r="E984" s="9"/>
      <c r="F984" s="9"/>
      <c r="G984" s="10"/>
      <c r="H984" s="10"/>
      <c r="I984" s="11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7"/>
      <c r="B985" s="7"/>
      <c r="C985" s="5"/>
      <c r="D985" s="8"/>
      <c r="E985" s="9"/>
      <c r="F985" s="9"/>
      <c r="G985" s="10"/>
      <c r="H985" s="10"/>
      <c r="I985" s="11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7"/>
      <c r="B986" s="7"/>
      <c r="C986" s="5"/>
      <c r="D986" s="8"/>
      <c r="E986" s="9"/>
      <c r="F986" s="9"/>
      <c r="G986" s="10"/>
      <c r="H986" s="10"/>
      <c r="I986" s="11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7"/>
      <c r="B987" s="7"/>
      <c r="C987" s="5"/>
      <c r="D987" s="8"/>
      <c r="E987" s="9"/>
      <c r="F987" s="9"/>
      <c r="G987" s="10"/>
      <c r="H987" s="10"/>
      <c r="I987" s="11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7"/>
      <c r="B988" s="7"/>
      <c r="C988" s="5"/>
      <c r="D988" s="8"/>
      <c r="E988" s="9"/>
      <c r="F988" s="9"/>
      <c r="G988" s="10"/>
      <c r="H988" s="10"/>
      <c r="I988" s="11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7"/>
      <c r="B989" s="7"/>
      <c r="C989" s="5"/>
      <c r="D989" s="8"/>
      <c r="E989" s="9"/>
      <c r="F989" s="9"/>
      <c r="G989" s="10"/>
      <c r="H989" s="10"/>
      <c r="I989" s="11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7"/>
      <c r="B990" s="7"/>
      <c r="C990" s="5"/>
      <c r="D990" s="8"/>
      <c r="E990" s="9"/>
      <c r="F990" s="9"/>
      <c r="G990" s="10"/>
      <c r="H990" s="10"/>
      <c r="I990" s="11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7"/>
      <c r="B991" s="7"/>
      <c r="C991" s="5"/>
      <c r="D991" s="8"/>
      <c r="E991" s="9"/>
      <c r="F991" s="9"/>
      <c r="G991" s="10"/>
      <c r="H991" s="10"/>
      <c r="I991" s="11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7"/>
      <c r="B992" s="7"/>
      <c r="C992" s="5"/>
      <c r="D992" s="8"/>
      <c r="E992" s="9"/>
      <c r="F992" s="9"/>
      <c r="G992" s="10"/>
      <c r="H992" s="10"/>
      <c r="I992" s="11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7"/>
      <c r="B993" s="7"/>
      <c r="C993" s="5"/>
      <c r="D993" s="8"/>
      <c r="E993" s="9"/>
      <c r="F993" s="9"/>
      <c r="G993" s="10"/>
      <c r="H993" s="10"/>
      <c r="I993" s="11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7"/>
      <c r="B994" s="7"/>
      <c r="C994" s="5"/>
      <c r="D994" s="8"/>
      <c r="E994" s="9"/>
      <c r="F994" s="9"/>
      <c r="G994" s="10"/>
      <c r="H994" s="10"/>
      <c r="I994" s="11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7"/>
      <c r="B995" s="7"/>
      <c r="C995" s="5"/>
      <c r="D995" s="8"/>
      <c r="E995" s="9"/>
      <c r="F995" s="9"/>
      <c r="G995" s="10"/>
      <c r="H995" s="10"/>
      <c r="I995" s="11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7"/>
      <c r="B996" s="7"/>
      <c r="C996" s="5"/>
      <c r="D996" s="8"/>
      <c r="E996" s="9"/>
      <c r="F996" s="9"/>
      <c r="G996" s="10"/>
      <c r="H996" s="10"/>
      <c r="I996" s="11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7"/>
      <c r="B997" s="7"/>
      <c r="C997" s="5"/>
      <c r="D997" s="8"/>
      <c r="E997" s="9"/>
      <c r="F997" s="9"/>
      <c r="G997" s="10"/>
      <c r="H997" s="10"/>
      <c r="I997" s="11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7"/>
      <c r="B998" s="7"/>
      <c r="C998" s="5"/>
      <c r="D998" s="8"/>
      <c r="E998" s="9"/>
      <c r="F998" s="9"/>
      <c r="G998" s="10"/>
      <c r="H998" s="10"/>
      <c r="I998" s="11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7"/>
      <c r="B999" s="7"/>
      <c r="C999" s="5"/>
      <c r="D999" s="8"/>
      <c r="E999" s="9"/>
      <c r="F999" s="9"/>
      <c r="G999" s="10"/>
      <c r="H999" s="10"/>
      <c r="I999" s="11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7"/>
      <c r="B1000" s="7"/>
      <c r="C1000" s="5"/>
      <c r="D1000" s="8"/>
      <c r="E1000" s="9"/>
      <c r="F1000" s="9"/>
      <c r="G1000" s="10"/>
      <c r="H1000" s="10"/>
      <c r="I1000" s="11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6:$I$41">
    <sortState ref="A6:I41">
      <sortCondition descending="1" ref="F6:F41"/>
    </sortState>
  </autoFilter>
  <mergeCells count="4">
    <mergeCell ref="A1:I1"/>
    <mergeCell ref="A2:I2"/>
    <mergeCell ref="A5:I5"/>
    <mergeCell ref="A60:B60"/>
  </mergeCells>
  <printOptions/>
  <pageMargins bottom="0.75" footer="0.0" header="0.0" left="0.2" right="0.2" top="0.75"/>
  <pageSetup orientation="portrait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9.14"/>
    <col customWidth="1" min="2" max="2" width="25.86"/>
    <col customWidth="1" min="3" max="3" width="13.43"/>
    <col customWidth="1" min="4" max="4" width="5.57"/>
    <col customWidth="1" min="5" max="6" width="13.57"/>
    <col customWidth="1" min="7" max="7" width="14.57"/>
    <col customWidth="1" min="8" max="8" width="18.86"/>
    <col customWidth="1" min="9" max="11" width="9.14"/>
    <col customWidth="1" min="12" max="26" width="8.71"/>
  </cols>
  <sheetData>
    <row r="1" ht="16.5" customHeight="1">
      <c r="A1" s="2" t="s">
        <v>0</v>
      </c>
      <c r="B1" s="3"/>
      <c r="C1" s="3"/>
      <c r="D1" s="3"/>
      <c r="E1" s="3"/>
      <c r="F1" s="3"/>
      <c r="G1" s="3"/>
      <c r="H1" s="4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6" t="s">
        <v>2</v>
      </c>
      <c r="B2" s="3"/>
      <c r="C2" s="3"/>
      <c r="D2" s="3"/>
      <c r="E2" s="3"/>
      <c r="F2" s="3"/>
      <c r="G2" s="3"/>
      <c r="H2" s="4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7"/>
      <c r="B3" s="7"/>
      <c r="C3" s="5"/>
      <c r="D3" s="5"/>
      <c r="E3" s="9"/>
      <c r="F3" s="9"/>
      <c r="G3" s="10"/>
      <c r="H3" s="11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7"/>
      <c r="B4" s="7"/>
      <c r="C4" s="5"/>
      <c r="D4" s="5"/>
      <c r="E4" s="9"/>
      <c r="F4" s="9"/>
      <c r="G4" s="10"/>
      <c r="H4" s="11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9.0" customHeight="1">
      <c r="A5" s="128"/>
      <c r="B5" s="129"/>
      <c r="C5" s="129"/>
      <c r="D5" s="129"/>
      <c r="E5" s="129"/>
      <c r="F5" s="129"/>
      <c r="G5" s="129"/>
      <c r="H5" s="131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143" t="s">
        <v>3</v>
      </c>
      <c r="B6" s="143" t="s">
        <v>4</v>
      </c>
      <c r="C6" s="144" t="s">
        <v>5</v>
      </c>
      <c r="D6" s="146" t="s">
        <v>115</v>
      </c>
      <c r="E6" s="147" t="s">
        <v>116</v>
      </c>
      <c r="F6" s="147" t="s">
        <v>117</v>
      </c>
      <c r="G6" s="147" t="s">
        <v>118</v>
      </c>
      <c r="H6" s="143" t="s">
        <v>119</v>
      </c>
      <c r="I6" s="19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6.5" customHeight="1">
      <c r="A7" s="148" t="s">
        <v>14</v>
      </c>
      <c r="B7" s="149" t="s">
        <v>15</v>
      </c>
      <c r="C7" s="150">
        <v>45791.0</v>
      </c>
      <c r="D7" s="151">
        <f t="shared" ref="D7:D8" si="1">28</f>
        <v>28</v>
      </c>
      <c r="E7" s="152">
        <f>145000+55000</f>
        <v>200000</v>
      </c>
      <c r="F7" s="152">
        <f>E7/28*D7</f>
        <v>200000</v>
      </c>
      <c r="G7" s="153">
        <f>F7-200000</f>
        <v>0</v>
      </c>
      <c r="H7" s="154" t="s">
        <v>17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6.5" customHeight="1">
      <c r="A8" s="148" t="s">
        <v>18</v>
      </c>
      <c r="B8" s="149" t="s">
        <v>114</v>
      </c>
      <c r="C8" s="150">
        <v>44774.0</v>
      </c>
      <c r="D8" s="151">
        <f t="shared" si="1"/>
        <v>28</v>
      </c>
      <c r="E8" s="152">
        <v>110000.0</v>
      </c>
      <c r="F8" s="152">
        <f>E8/28*D8-650</f>
        <v>109350</v>
      </c>
      <c r="G8" s="153">
        <f>F8-10000-99350</f>
        <v>0</v>
      </c>
      <c r="H8" s="156" t="s">
        <v>24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148" t="s">
        <v>22</v>
      </c>
      <c r="B9" s="149" t="s">
        <v>23</v>
      </c>
      <c r="C9" s="150">
        <v>45787.0</v>
      </c>
      <c r="D9" s="151">
        <v>28.0</v>
      </c>
      <c r="E9" s="152">
        <v>75000.0</v>
      </c>
      <c r="F9" s="152">
        <f>E9/28*D9-700</f>
        <v>74300</v>
      </c>
      <c r="G9" s="153">
        <f>F9-10000-1000-15000-48300</f>
        <v>0</v>
      </c>
      <c r="H9" s="156" t="s">
        <v>24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6.5" customHeight="1">
      <c r="A10" s="148" t="s">
        <v>25</v>
      </c>
      <c r="B10" s="149" t="s">
        <v>26</v>
      </c>
      <c r="C10" s="150">
        <v>44251.0</v>
      </c>
      <c r="D10" s="151">
        <v>28.0</v>
      </c>
      <c r="E10" s="152">
        <v>75000.0</v>
      </c>
      <c r="F10" s="152">
        <f>E10/28*D10-300-417</f>
        <v>74283</v>
      </c>
      <c r="G10" s="153">
        <f>F10-74283</f>
        <v>0</v>
      </c>
      <c r="H10" s="156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6.5" customHeight="1">
      <c r="A11" s="148" t="s">
        <v>27</v>
      </c>
      <c r="B11" s="149" t="s">
        <v>28</v>
      </c>
      <c r="C11" s="150">
        <v>45792.0</v>
      </c>
      <c r="D11" s="151">
        <f t="shared" ref="D11:D24" si="2">28</f>
        <v>28</v>
      </c>
      <c r="E11" s="152">
        <v>50000.0</v>
      </c>
      <c r="F11" s="152">
        <f>E11/28*D11-650</f>
        <v>49350</v>
      </c>
      <c r="G11" s="157">
        <f>F11-1000-48350</f>
        <v>0</v>
      </c>
      <c r="H11" s="154" t="s">
        <v>32</v>
      </c>
      <c r="I11" s="5"/>
      <c r="J11" s="5"/>
      <c r="K11" s="51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6.5" customHeight="1">
      <c r="A12" s="148" t="s">
        <v>30</v>
      </c>
      <c r="B12" s="159" t="s">
        <v>120</v>
      </c>
      <c r="C12" s="150">
        <v>45710.0</v>
      </c>
      <c r="D12" s="151">
        <f t="shared" si="2"/>
        <v>28</v>
      </c>
      <c r="E12" s="152">
        <v>50000.0</v>
      </c>
      <c r="F12" s="152">
        <f>E12/28*D12-200</f>
        <v>49800</v>
      </c>
      <c r="G12" s="153">
        <f>F12-49800</f>
        <v>0</v>
      </c>
      <c r="H12" s="154" t="s">
        <v>40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6.5" customHeight="1">
      <c r="A13" s="148" t="s">
        <v>34</v>
      </c>
      <c r="B13" s="161" t="s">
        <v>33</v>
      </c>
      <c r="C13" s="150">
        <v>45871.0</v>
      </c>
      <c r="D13" s="151">
        <f t="shared" si="2"/>
        <v>28</v>
      </c>
      <c r="E13" s="162">
        <v>50000.0</v>
      </c>
      <c r="F13" s="152">
        <f>E13/28*D13-450</f>
        <v>49550</v>
      </c>
      <c r="G13" s="153">
        <f>F13-49550</f>
        <v>0</v>
      </c>
      <c r="H13" s="154" t="s">
        <v>32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6.5" customHeight="1">
      <c r="A14" s="148" t="s">
        <v>37</v>
      </c>
      <c r="B14" s="149" t="s">
        <v>81</v>
      </c>
      <c r="C14" s="163">
        <v>45783.0</v>
      </c>
      <c r="D14" s="151">
        <f t="shared" si="2"/>
        <v>28</v>
      </c>
      <c r="E14" s="152">
        <f>40000+10000+10000</f>
        <v>60000</v>
      </c>
      <c r="F14" s="152">
        <f>E14/28*D14</f>
        <v>60000</v>
      </c>
      <c r="G14" s="153">
        <f>F14-60000</f>
        <v>0</v>
      </c>
      <c r="H14" s="154" t="s">
        <v>32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6.5" customHeight="1">
      <c r="A15" s="148" t="s">
        <v>41</v>
      </c>
      <c r="B15" s="161" t="s">
        <v>121</v>
      </c>
      <c r="C15" s="150">
        <v>45890.0</v>
      </c>
      <c r="D15" s="151">
        <f t="shared" si="2"/>
        <v>28</v>
      </c>
      <c r="E15" s="162">
        <v>30000.0</v>
      </c>
      <c r="F15" s="152">
        <f>E15/28*D15-300</f>
        <v>29700</v>
      </c>
      <c r="G15" s="157">
        <f>F15-2000-2000-25700</f>
        <v>0</v>
      </c>
      <c r="H15" s="164" t="s">
        <v>36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6.5" customHeight="1">
      <c r="A16" s="148" t="s">
        <v>44</v>
      </c>
      <c r="B16" s="161" t="s">
        <v>31</v>
      </c>
      <c r="C16" s="150">
        <v>45871.0</v>
      </c>
      <c r="D16" s="151">
        <f t="shared" si="2"/>
        <v>28</v>
      </c>
      <c r="E16" s="162">
        <f>30000+30000</f>
        <v>60000</v>
      </c>
      <c r="F16" s="152">
        <f>E16/28*D16</f>
        <v>60000</v>
      </c>
      <c r="G16" s="153">
        <f>F16-60000</f>
        <v>0</v>
      </c>
      <c r="H16" s="154" t="s">
        <v>32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6.5" customHeight="1">
      <c r="A17" s="148" t="s">
        <v>47</v>
      </c>
      <c r="B17" s="161" t="s">
        <v>122</v>
      </c>
      <c r="C17" s="163">
        <v>45859.0</v>
      </c>
      <c r="D17" s="151">
        <f t="shared" si="2"/>
        <v>28</v>
      </c>
      <c r="E17" s="152">
        <v>25000.0</v>
      </c>
      <c r="F17" s="152">
        <f>E17/28*D17-500</f>
        <v>24500</v>
      </c>
      <c r="G17" s="157">
        <f>F17-3000-21500</f>
        <v>0</v>
      </c>
      <c r="H17" s="154" t="s">
        <v>43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6.5" customHeight="1">
      <c r="A18" s="148" t="s">
        <v>49</v>
      </c>
      <c r="B18" s="161" t="s">
        <v>45</v>
      </c>
      <c r="C18" s="150">
        <v>45879.0</v>
      </c>
      <c r="D18" s="151">
        <f t="shared" si="2"/>
        <v>28</v>
      </c>
      <c r="E18" s="162">
        <v>25000.0</v>
      </c>
      <c r="F18" s="152">
        <f>E18/28*D18-550</f>
        <v>24450</v>
      </c>
      <c r="G18" s="157">
        <f>F18-2000-22450</f>
        <v>0</v>
      </c>
      <c r="H18" s="164" t="s">
        <v>36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6.5" customHeight="1">
      <c r="A19" s="148" t="s">
        <v>51</v>
      </c>
      <c r="B19" s="161" t="s">
        <v>35</v>
      </c>
      <c r="C19" s="150">
        <v>45886.0</v>
      </c>
      <c r="D19" s="151">
        <f t="shared" si="2"/>
        <v>28</v>
      </c>
      <c r="E19" s="162">
        <v>25000.0</v>
      </c>
      <c r="F19" s="152">
        <f>E19/28*D19-600</f>
        <v>24400</v>
      </c>
      <c r="G19" s="153">
        <f>F19-24400</f>
        <v>0</v>
      </c>
      <c r="H19" s="164" t="s">
        <v>36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6.5" customHeight="1">
      <c r="A20" s="148" t="s">
        <v>53</v>
      </c>
      <c r="B20" s="149" t="s">
        <v>123</v>
      </c>
      <c r="C20" s="163">
        <v>45840.0</v>
      </c>
      <c r="D20" s="151">
        <f t="shared" si="2"/>
        <v>28</v>
      </c>
      <c r="E20" s="152">
        <v>22000.0</v>
      </c>
      <c r="F20" s="152">
        <f>E20/28*D20-650</f>
        <v>21350</v>
      </c>
      <c r="G20" s="153">
        <f>F20-21350</f>
        <v>0</v>
      </c>
      <c r="H20" s="154" t="s">
        <v>43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6.5" customHeight="1">
      <c r="A21" s="148" t="s">
        <v>55</v>
      </c>
      <c r="B21" s="159" t="s">
        <v>38</v>
      </c>
      <c r="C21" s="163">
        <v>45787.0</v>
      </c>
      <c r="D21" s="151">
        <f t="shared" si="2"/>
        <v>28</v>
      </c>
      <c r="E21" s="152">
        <v>20000.0</v>
      </c>
      <c r="F21" s="152">
        <f>E21/28*D21-450</f>
        <v>19550</v>
      </c>
      <c r="G21" s="157">
        <f>F21-2000-1000-16550</f>
        <v>0</v>
      </c>
      <c r="H21" s="154" t="s">
        <v>43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6.5" customHeight="1">
      <c r="A22" s="148" t="s">
        <v>60</v>
      </c>
      <c r="B22" s="159" t="s">
        <v>42</v>
      </c>
      <c r="C22" s="163">
        <v>45823.0</v>
      </c>
      <c r="D22" s="151">
        <f t="shared" si="2"/>
        <v>28</v>
      </c>
      <c r="E22" s="152">
        <v>20000.0</v>
      </c>
      <c r="F22" s="152">
        <f>E22/28*D22-500</f>
        <v>19500</v>
      </c>
      <c r="G22" s="157">
        <f>F22-3000-16500</f>
        <v>0</v>
      </c>
      <c r="H22" s="154" t="s">
        <v>43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6.5" customHeight="1">
      <c r="A23" s="148" t="s">
        <v>65</v>
      </c>
      <c r="B23" s="149" t="s">
        <v>59</v>
      </c>
      <c r="C23" s="150">
        <v>45871.0</v>
      </c>
      <c r="D23" s="151">
        <f t="shared" si="2"/>
        <v>28</v>
      </c>
      <c r="E23" s="162">
        <v>20000.0</v>
      </c>
      <c r="F23" s="152">
        <f t="shared" ref="F23:F24" si="3">E23/28*D23-600</f>
        <v>19400</v>
      </c>
      <c r="G23" s="157">
        <f>F23-2000-3000-14400</f>
        <v>0</v>
      </c>
      <c r="H23" s="164" t="s">
        <v>36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6.5" customHeight="1">
      <c r="A24" s="148" t="s">
        <v>68</v>
      </c>
      <c r="B24" s="149" t="s">
        <v>124</v>
      </c>
      <c r="C24" s="150">
        <v>45879.0</v>
      </c>
      <c r="D24" s="151">
        <f t="shared" si="2"/>
        <v>28</v>
      </c>
      <c r="E24" s="162">
        <v>20000.0</v>
      </c>
      <c r="F24" s="152">
        <f t="shared" si="3"/>
        <v>19400</v>
      </c>
      <c r="G24" s="166">
        <f>F24-3000</f>
        <v>16400</v>
      </c>
      <c r="H24" s="154" t="s">
        <v>43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6.5" customHeight="1">
      <c r="A25" s="148" t="s">
        <v>57</v>
      </c>
      <c r="B25" s="149" t="s">
        <v>126</v>
      </c>
      <c r="C25" s="150">
        <v>45901.0</v>
      </c>
      <c r="D25" s="151">
        <f>28-25</f>
        <v>3</v>
      </c>
      <c r="E25" s="162">
        <v>20000.0</v>
      </c>
      <c r="F25" s="152">
        <f t="shared" ref="F25:F26" si="4">E25/28*D25</f>
        <v>2142.857143</v>
      </c>
      <c r="G25" s="166">
        <f>F25-2143</f>
        <v>-0.1428571429</v>
      </c>
      <c r="H25" s="154" t="s">
        <v>43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6.5" customHeight="1">
      <c r="A26" s="148" t="s">
        <v>62</v>
      </c>
      <c r="B26" s="161" t="s">
        <v>87</v>
      </c>
      <c r="C26" s="150">
        <v>45934.0</v>
      </c>
      <c r="D26" s="151">
        <f t="shared" ref="D26:D32" si="5">28</f>
        <v>28</v>
      </c>
      <c r="E26" s="162">
        <v>20000.0</v>
      </c>
      <c r="F26" s="152">
        <f t="shared" si="4"/>
        <v>20000</v>
      </c>
      <c r="G26" s="153">
        <f>F26-20000</f>
        <v>0</v>
      </c>
      <c r="H26" s="154" t="s">
        <v>43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6.5" customHeight="1">
      <c r="A27" s="148" t="s">
        <v>64</v>
      </c>
      <c r="B27" s="149" t="s">
        <v>125</v>
      </c>
      <c r="C27" s="150">
        <v>45943.0</v>
      </c>
      <c r="D27" s="151">
        <f t="shared" si="5"/>
        <v>28</v>
      </c>
      <c r="E27" s="162">
        <v>20000.0</v>
      </c>
      <c r="F27" s="152">
        <f t="shared" ref="F27:F28" si="6">E27/28*D27-650</f>
        <v>19350</v>
      </c>
      <c r="G27" s="153">
        <f t="shared" ref="G27:G28" si="7">F27-19350</f>
        <v>0</v>
      </c>
      <c r="H27" s="154" t="s">
        <v>43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6.5" customHeight="1">
      <c r="A28" s="148" t="s">
        <v>70</v>
      </c>
      <c r="B28" s="149" t="s">
        <v>127</v>
      </c>
      <c r="C28" s="150">
        <v>45971.0</v>
      </c>
      <c r="D28" s="151">
        <f t="shared" si="5"/>
        <v>28</v>
      </c>
      <c r="E28" s="162">
        <v>20000.0</v>
      </c>
      <c r="F28" s="152">
        <f t="shared" si="6"/>
        <v>19350</v>
      </c>
      <c r="G28" s="153">
        <f t="shared" si="7"/>
        <v>0</v>
      </c>
      <c r="H28" s="154" t="s">
        <v>43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6.5" customHeight="1">
      <c r="A29" s="148" t="s">
        <v>72</v>
      </c>
      <c r="B29" s="149" t="s">
        <v>128</v>
      </c>
      <c r="C29" s="150">
        <v>45971.0</v>
      </c>
      <c r="D29" s="151">
        <f t="shared" si="5"/>
        <v>28</v>
      </c>
      <c r="E29" s="162">
        <v>40000.0</v>
      </c>
      <c r="F29" s="152">
        <f>E29/28*D29</f>
        <v>40000</v>
      </c>
      <c r="G29" s="157">
        <f>F29-3000-37000</f>
        <v>0</v>
      </c>
      <c r="H29" s="154" t="s">
        <v>129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6.5" customHeight="1">
      <c r="A30" s="148" t="s">
        <v>75</v>
      </c>
      <c r="B30" s="149" t="s">
        <v>48</v>
      </c>
      <c r="C30" s="150">
        <v>45972.0</v>
      </c>
      <c r="D30" s="151">
        <f t="shared" si="5"/>
        <v>28</v>
      </c>
      <c r="E30" s="162">
        <v>35000.0</v>
      </c>
      <c r="F30" s="152">
        <f>E30/28*D30-600</f>
        <v>34400</v>
      </c>
      <c r="G30" s="153">
        <f>F30-34400</f>
        <v>0</v>
      </c>
      <c r="H30" s="154" t="s">
        <v>40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6.5" customHeight="1">
      <c r="A31" s="148" t="s">
        <v>89</v>
      </c>
      <c r="B31" s="149" t="s">
        <v>50</v>
      </c>
      <c r="C31" s="150">
        <v>45972.0</v>
      </c>
      <c r="D31" s="151">
        <f t="shared" si="5"/>
        <v>28</v>
      </c>
      <c r="E31" s="162">
        <v>20000.0</v>
      </c>
      <c r="F31" s="152">
        <f>E31/28*D31-650</f>
        <v>19350</v>
      </c>
      <c r="G31" s="153">
        <f>F31-19350</f>
        <v>0</v>
      </c>
      <c r="H31" s="154" t="s">
        <v>43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6.5" customHeight="1">
      <c r="A32" s="148" t="s">
        <v>91</v>
      </c>
      <c r="B32" s="149" t="s">
        <v>52</v>
      </c>
      <c r="C32" s="150">
        <v>45997.0</v>
      </c>
      <c r="D32" s="151">
        <f t="shared" si="5"/>
        <v>28</v>
      </c>
      <c r="E32" s="162">
        <v>20000.0</v>
      </c>
      <c r="F32" s="152">
        <f>E32/28*D32-600</f>
        <v>19400</v>
      </c>
      <c r="G32" s="153">
        <f>F32-19400</f>
        <v>0</v>
      </c>
      <c r="H32" s="154" t="s">
        <v>43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6.5" customHeight="1">
      <c r="A33" s="148" t="s">
        <v>93</v>
      </c>
      <c r="B33" s="149" t="s">
        <v>130</v>
      </c>
      <c r="C33" s="150">
        <v>46011.0</v>
      </c>
      <c r="D33" s="151">
        <f>28-7</f>
        <v>21</v>
      </c>
      <c r="E33" s="162">
        <v>22000.0</v>
      </c>
      <c r="F33" s="152">
        <f>E33/28*D33</f>
        <v>16500</v>
      </c>
      <c r="G33" s="157">
        <f>F33-4000-13000-3000+3500</f>
        <v>0</v>
      </c>
      <c r="H33" s="154" t="s">
        <v>43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148" t="s">
        <v>97</v>
      </c>
      <c r="B34" s="149" t="s">
        <v>77</v>
      </c>
      <c r="C34" s="150">
        <v>46023.0</v>
      </c>
      <c r="D34" s="151">
        <f t="shared" ref="D34:D35" si="8">28</f>
        <v>28</v>
      </c>
      <c r="E34" s="162">
        <v>70000.0</v>
      </c>
      <c r="F34" s="152">
        <f>E34/28*D34-650</f>
        <v>69350</v>
      </c>
      <c r="G34" s="153">
        <f>F34-69350</f>
        <v>0</v>
      </c>
      <c r="H34" s="154" t="s">
        <v>24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148" t="s">
        <v>99</v>
      </c>
      <c r="B35" s="149" t="s">
        <v>131</v>
      </c>
      <c r="C35" s="150">
        <v>46023.0</v>
      </c>
      <c r="D35" s="151">
        <f t="shared" si="8"/>
        <v>28</v>
      </c>
      <c r="E35" s="162">
        <v>20000.0</v>
      </c>
      <c r="F35" s="152">
        <f>E35/28*D35-550</f>
        <v>19450</v>
      </c>
      <c r="G35" s="153">
        <f>F35-19450</f>
        <v>0</v>
      </c>
      <c r="H35" s="154" t="s">
        <v>43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148" t="s">
        <v>100</v>
      </c>
      <c r="B36" s="149" t="s">
        <v>86</v>
      </c>
      <c r="C36" s="150">
        <v>46023.0</v>
      </c>
      <c r="D36" s="151">
        <f>28-19+6</f>
        <v>15</v>
      </c>
      <c r="E36" s="162">
        <v>35000.0</v>
      </c>
      <c r="F36" s="152">
        <f>E36/28*D36-350</f>
        <v>18400</v>
      </c>
      <c r="G36" s="153">
        <f>F36-18400</f>
        <v>0</v>
      </c>
      <c r="H36" s="154" t="s">
        <v>40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148" t="s">
        <v>101</v>
      </c>
      <c r="B37" s="149" t="s">
        <v>54</v>
      </c>
      <c r="C37" s="150">
        <v>46023.0</v>
      </c>
      <c r="D37" s="151">
        <f t="shared" ref="D37:D42" si="9">28</f>
        <v>28</v>
      </c>
      <c r="E37" s="162">
        <v>50000.0</v>
      </c>
      <c r="F37" s="152">
        <f>E37/28*D37-550</f>
        <v>49450</v>
      </c>
      <c r="G37" s="153">
        <f>F37-49450</f>
        <v>0</v>
      </c>
      <c r="H37" s="154" t="s">
        <v>32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148" t="s">
        <v>104</v>
      </c>
      <c r="B38" s="149" t="s">
        <v>79</v>
      </c>
      <c r="C38" s="150">
        <v>46025.0</v>
      </c>
      <c r="D38" s="151">
        <f t="shared" si="9"/>
        <v>28</v>
      </c>
      <c r="E38" s="162">
        <v>35000.0</v>
      </c>
      <c r="F38" s="152">
        <f t="shared" ref="F38:F40" si="10">E38/28*D38-450</f>
        <v>34550</v>
      </c>
      <c r="G38" s="153">
        <f>F38-34550</f>
        <v>0</v>
      </c>
      <c r="H38" s="154" t="s">
        <v>40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6.5" customHeight="1">
      <c r="A39" s="148" t="s">
        <v>107</v>
      </c>
      <c r="B39" s="149" t="s">
        <v>82</v>
      </c>
      <c r="C39" s="150">
        <v>46026.0</v>
      </c>
      <c r="D39" s="151">
        <f t="shared" si="9"/>
        <v>28</v>
      </c>
      <c r="E39" s="162">
        <v>20000.0</v>
      </c>
      <c r="F39" s="152">
        <f t="shared" si="10"/>
        <v>19550</v>
      </c>
      <c r="G39" s="153">
        <f>F39-19550</f>
        <v>0</v>
      </c>
      <c r="H39" s="154" t="s">
        <v>43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6.5" customHeight="1">
      <c r="A40" s="148" t="s">
        <v>108</v>
      </c>
      <c r="B40" s="149" t="s">
        <v>133</v>
      </c>
      <c r="C40" s="167">
        <v>46032.0</v>
      </c>
      <c r="D40" s="151">
        <f t="shared" si="9"/>
        <v>28</v>
      </c>
      <c r="E40" s="162">
        <v>25000.0</v>
      </c>
      <c r="F40" s="152">
        <f t="shared" si="10"/>
        <v>24550</v>
      </c>
      <c r="G40" s="153">
        <f>F40-24550</f>
        <v>0</v>
      </c>
      <c r="H40" s="164" t="s">
        <v>36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6.5" customHeight="1">
      <c r="A41" s="148" t="s">
        <v>135</v>
      </c>
      <c r="B41" s="159" t="s">
        <v>56</v>
      </c>
      <c r="C41" s="167">
        <v>46032.0</v>
      </c>
      <c r="D41" s="151">
        <f t="shared" si="9"/>
        <v>28</v>
      </c>
      <c r="E41" s="162">
        <v>25000.0</v>
      </c>
      <c r="F41" s="152">
        <f>E41/28*D41-600</f>
        <v>24400</v>
      </c>
      <c r="G41" s="153">
        <f>F41-24400</f>
        <v>0</v>
      </c>
      <c r="H41" s="164" t="s">
        <v>36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148" t="s">
        <v>137</v>
      </c>
      <c r="B42" s="149" t="s">
        <v>136</v>
      </c>
      <c r="C42" s="167">
        <v>46032.0</v>
      </c>
      <c r="D42" s="151">
        <f t="shared" si="9"/>
        <v>28</v>
      </c>
      <c r="E42" s="162">
        <v>25000.0</v>
      </c>
      <c r="F42" s="152">
        <f t="shared" ref="F42:F43" si="11">E42/28*D42-350</f>
        <v>24650</v>
      </c>
      <c r="G42" s="153">
        <f t="shared" ref="G42:G43" si="12">F42-24650</f>
        <v>0</v>
      </c>
      <c r="H42" s="164" t="s">
        <v>36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148" t="s">
        <v>138</v>
      </c>
      <c r="B43" s="169" t="s">
        <v>61</v>
      </c>
      <c r="C43" s="170">
        <v>46054.0</v>
      </c>
      <c r="D43" s="171">
        <v>28.0</v>
      </c>
      <c r="E43" s="172">
        <v>25000.0</v>
      </c>
      <c r="F43" s="152">
        <f t="shared" si="11"/>
        <v>24650</v>
      </c>
      <c r="G43" s="153">
        <f t="shared" si="12"/>
        <v>0</v>
      </c>
      <c r="H43" s="164" t="s">
        <v>36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148" t="s">
        <v>140</v>
      </c>
      <c r="B44" s="169" t="s">
        <v>139</v>
      </c>
      <c r="C44" s="170">
        <v>45962.0</v>
      </c>
      <c r="D44" s="171">
        <f>28-1+1</f>
        <v>28</v>
      </c>
      <c r="E44" s="172">
        <v>20000.0</v>
      </c>
      <c r="F44" s="152">
        <f>E44/28*D44-550</f>
        <v>19450</v>
      </c>
      <c r="G44" s="153">
        <f>F44-19450</f>
        <v>0</v>
      </c>
      <c r="H44" s="154" t="s">
        <v>43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148" t="s">
        <v>142</v>
      </c>
      <c r="B45" s="169" t="s">
        <v>132</v>
      </c>
      <c r="C45" s="170">
        <v>46054.0</v>
      </c>
      <c r="D45" s="171">
        <v>13.0</v>
      </c>
      <c r="E45" s="172">
        <v>60000.0</v>
      </c>
      <c r="F45" s="162">
        <f>E45/28*D45-100</f>
        <v>27757.14286</v>
      </c>
      <c r="G45" s="153">
        <f>F45-27757</f>
        <v>0.1428571429</v>
      </c>
      <c r="H45" s="164" t="s">
        <v>24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148" t="s">
        <v>145</v>
      </c>
      <c r="B46" s="169" t="s">
        <v>143</v>
      </c>
      <c r="C46" s="170">
        <v>46067.0</v>
      </c>
      <c r="D46" s="171">
        <v>15.0</v>
      </c>
      <c r="E46" s="172">
        <v>100000.0</v>
      </c>
      <c r="F46" s="162">
        <f>E46/28*D46-50</f>
        <v>53521.42857</v>
      </c>
      <c r="G46" s="153">
        <f>F46-53521</f>
        <v>0.4285714286</v>
      </c>
      <c r="H46" s="164" t="s">
        <v>74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148" t="s">
        <v>147</v>
      </c>
      <c r="B47" s="169" t="s">
        <v>146</v>
      </c>
      <c r="C47" s="170">
        <v>45839.0</v>
      </c>
      <c r="D47" s="171">
        <v>28.0</v>
      </c>
      <c r="E47" s="172">
        <v>20000.0</v>
      </c>
      <c r="F47" s="162">
        <f t="shared" ref="F47:F48" si="13">E47/28*D47</f>
        <v>20000</v>
      </c>
      <c r="G47" s="153">
        <f>F47-20000</f>
        <v>0</v>
      </c>
      <c r="H47" s="176" t="s">
        <v>40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148" t="s">
        <v>149</v>
      </c>
      <c r="B48" s="169" t="s">
        <v>148</v>
      </c>
      <c r="C48" s="170">
        <v>45855.0</v>
      </c>
      <c r="D48" s="171">
        <v>28.0</v>
      </c>
      <c r="E48" s="172">
        <v>25000.0</v>
      </c>
      <c r="F48" s="162">
        <f t="shared" si="13"/>
        <v>25000</v>
      </c>
      <c r="G48" s="153">
        <f>F48-25000</f>
        <v>0</v>
      </c>
      <c r="H48" s="176" t="s">
        <v>36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148" t="s">
        <v>151</v>
      </c>
      <c r="B49" s="169" t="s">
        <v>150</v>
      </c>
      <c r="C49" s="170">
        <v>45839.0</v>
      </c>
      <c r="D49" s="171">
        <f>28-2-1+3</f>
        <v>28</v>
      </c>
      <c r="E49" s="172">
        <v>20000.0</v>
      </c>
      <c r="F49" s="162">
        <f>E49/28*D49-300</f>
        <v>19700</v>
      </c>
      <c r="G49" s="153">
        <f>F49-19700</f>
        <v>0</v>
      </c>
      <c r="H49" s="176" t="s">
        <v>43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148" t="s">
        <v>153</v>
      </c>
      <c r="B50" s="169" t="s">
        <v>152</v>
      </c>
      <c r="C50" s="170">
        <v>45935.0</v>
      </c>
      <c r="D50" s="171">
        <v>28.0</v>
      </c>
      <c r="E50" s="172">
        <v>20000.0</v>
      </c>
      <c r="F50" s="162">
        <f t="shared" ref="F50:F54" si="14">E50/28*D50</f>
        <v>20000</v>
      </c>
      <c r="G50" s="153">
        <f>F50-20000</f>
        <v>0</v>
      </c>
      <c r="H50" s="176" t="s">
        <v>43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148" t="s">
        <v>154</v>
      </c>
      <c r="B51" s="180" t="s">
        <v>92</v>
      </c>
      <c r="C51" s="181">
        <v>45783.0</v>
      </c>
      <c r="D51" s="182">
        <v>28.0</v>
      </c>
      <c r="E51" s="183">
        <v>20000.0</v>
      </c>
      <c r="F51" s="152">
        <f t="shared" si="14"/>
        <v>20000</v>
      </c>
      <c r="G51" s="153">
        <f>F51-10000-10000</f>
        <v>0</v>
      </c>
      <c r="H51" s="184" t="s">
        <v>95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148" t="s">
        <v>155</v>
      </c>
      <c r="B52" s="180" t="s">
        <v>111</v>
      </c>
      <c r="C52" s="181">
        <v>45763.0</v>
      </c>
      <c r="D52" s="182">
        <v>28.0</v>
      </c>
      <c r="E52" s="183">
        <v>14000.0</v>
      </c>
      <c r="F52" s="152">
        <f t="shared" si="14"/>
        <v>14000</v>
      </c>
      <c r="G52" s="153">
        <f>F52-14000</f>
        <v>0</v>
      </c>
      <c r="H52" s="184" t="s">
        <v>102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148" t="s">
        <v>156</v>
      </c>
      <c r="B53" s="180" t="s">
        <v>105</v>
      </c>
      <c r="C53" s="181">
        <v>45773.0</v>
      </c>
      <c r="D53" s="182">
        <v>28.0</v>
      </c>
      <c r="E53" s="183">
        <v>12000.0</v>
      </c>
      <c r="F53" s="152">
        <f t="shared" si="14"/>
        <v>12000</v>
      </c>
      <c r="G53" s="153">
        <f>F53-12000</f>
        <v>0</v>
      </c>
      <c r="H53" s="185" t="s">
        <v>102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148" t="s">
        <v>158</v>
      </c>
      <c r="B54" s="180" t="s">
        <v>106</v>
      </c>
      <c r="C54" s="181">
        <v>44992.0</v>
      </c>
      <c r="D54" s="182">
        <v>28.0</v>
      </c>
      <c r="E54" s="183">
        <v>24000.0</v>
      </c>
      <c r="F54" s="152">
        <f t="shared" si="14"/>
        <v>24000</v>
      </c>
      <c r="G54" s="153">
        <f>F54-10000-14000</f>
        <v>0</v>
      </c>
      <c r="H54" s="185" t="s">
        <v>109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186"/>
      <c r="B55" s="149"/>
      <c r="C55" s="150"/>
      <c r="D55" s="187"/>
      <c r="E55" s="162"/>
      <c r="F55" s="162"/>
      <c r="G55" s="153"/>
      <c r="H55" s="164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6.5" customHeight="1">
      <c r="A56" s="148" t="s">
        <v>159</v>
      </c>
      <c r="B56" s="180" t="s">
        <v>160</v>
      </c>
      <c r="C56" s="188">
        <v>46068.0</v>
      </c>
      <c r="D56" s="182">
        <v>14.0</v>
      </c>
      <c r="E56" s="183">
        <v>20000.0</v>
      </c>
      <c r="F56" s="162">
        <f>E56/28*D56</f>
        <v>10000</v>
      </c>
      <c r="G56" s="153">
        <f>F56-10000</f>
        <v>0</v>
      </c>
      <c r="H56" s="154" t="s">
        <v>161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24.75" customHeight="1">
      <c r="A57" s="189" t="s">
        <v>78</v>
      </c>
      <c r="B57" s="190"/>
      <c r="C57" s="191"/>
      <c r="D57" s="191"/>
      <c r="E57" s="152">
        <f t="shared" ref="E57:G57" si="15">SUM(E7:E56)</f>
        <v>1839000</v>
      </c>
      <c r="F57" s="152">
        <f t="shared" si="15"/>
        <v>1693804.429</v>
      </c>
      <c r="G57" s="152">
        <f t="shared" si="15"/>
        <v>16400.42857</v>
      </c>
      <c r="H57" s="154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120"/>
      <c r="B58" s="120"/>
      <c r="C58" s="121"/>
      <c r="D58" s="121"/>
      <c r="E58" s="122"/>
      <c r="F58" s="122"/>
      <c r="G58" s="123"/>
      <c r="H58" s="11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120"/>
      <c r="B59" s="120"/>
      <c r="C59" s="121"/>
      <c r="D59" s="121"/>
      <c r="E59" s="122"/>
      <c r="F59" s="122"/>
      <c r="G59" s="123"/>
      <c r="H59" s="11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120"/>
      <c r="B60" s="120"/>
      <c r="C60" s="121"/>
      <c r="D60" s="121"/>
      <c r="E60" s="122"/>
      <c r="F60" s="122"/>
      <c r="G60" s="123"/>
      <c r="H60" s="11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120"/>
      <c r="B61" s="120"/>
      <c r="C61" s="121"/>
      <c r="D61" s="121"/>
      <c r="E61" s="122"/>
      <c r="F61" s="122"/>
      <c r="G61" s="123"/>
      <c r="H61" s="11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120"/>
      <c r="B62" s="120"/>
      <c r="C62" s="121"/>
      <c r="D62" s="121"/>
      <c r="E62" s="122"/>
      <c r="F62" s="122"/>
      <c r="G62" s="123"/>
      <c r="H62" s="11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120"/>
      <c r="B63" s="120"/>
      <c r="C63" s="121"/>
      <c r="D63" s="121"/>
      <c r="E63" s="122"/>
      <c r="F63" s="122"/>
      <c r="G63" s="123"/>
      <c r="H63" s="11"/>
      <c r="I63" s="5"/>
      <c r="J63" s="5"/>
      <c r="K63" s="5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6.5" customHeight="1">
      <c r="A64" s="120"/>
      <c r="B64" s="120"/>
      <c r="C64" s="121"/>
      <c r="D64" s="121"/>
      <c r="E64" s="122"/>
      <c r="F64" s="122"/>
      <c r="G64" s="123"/>
      <c r="H64" s="11"/>
      <c r="I64" s="5"/>
      <c r="J64" s="5"/>
      <c r="K64" s="5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6.5" customHeight="1">
      <c r="A65" s="120"/>
      <c r="B65" s="120"/>
      <c r="C65" s="121"/>
      <c r="D65" s="121"/>
      <c r="E65" s="122"/>
      <c r="F65" s="122"/>
      <c r="G65" s="123"/>
      <c r="H65" s="11"/>
      <c r="I65" s="5"/>
      <c r="J65" s="5"/>
      <c r="K65" s="5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6.5" customHeight="1">
      <c r="A66" s="120"/>
      <c r="B66" s="120"/>
      <c r="C66" s="121"/>
      <c r="D66" s="121"/>
      <c r="E66" s="122"/>
      <c r="F66" s="122"/>
      <c r="G66" s="123"/>
      <c r="H66" s="11"/>
      <c r="I66" s="5"/>
      <c r="J66" s="5"/>
      <c r="K66" s="5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6.5" customHeight="1">
      <c r="A67" s="120"/>
      <c r="B67" s="120"/>
      <c r="C67" s="121"/>
      <c r="D67" s="121"/>
      <c r="E67" s="122"/>
      <c r="F67" s="122"/>
      <c r="G67" s="123"/>
      <c r="H67" s="11"/>
      <c r="I67" s="5"/>
      <c r="J67" s="5"/>
      <c r="K67" s="5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6.5" customHeight="1">
      <c r="A68" s="7"/>
      <c r="B68" s="7"/>
      <c r="C68" s="5"/>
      <c r="D68" s="5"/>
      <c r="E68" s="9"/>
      <c r="F68" s="9"/>
      <c r="G68" s="10"/>
      <c r="H68" s="11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7"/>
      <c r="B69" s="7"/>
      <c r="C69" s="5"/>
      <c r="D69" s="5"/>
      <c r="E69" s="9"/>
      <c r="F69" s="9"/>
      <c r="G69" s="10"/>
      <c r="H69" s="11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7"/>
      <c r="B70" s="7"/>
      <c r="C70" s="5"/>
      <c r="D70" s="5"/>
      <c r="E70" s="9"/>
      <c r="F70" s="9"/>
      <c r="G70" s="10"/>
      <c r="H70" s="11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7"/>
      <c r="B71" s="7"/>
      <c r="C71" s="5"/>
      <c r="D71" s="5"/>
      <c r="E71" s="9"/>
      <c r="F71" s="9"/>
      <c r="G71" s="10"/>
      <c r="H71" s="11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7"/>
      <c r="B72" s="7"/>
      <c r="C72" s="5"/>
      <c r="D72" s="5"/>
      <c r="E72" s="9"/>
      <c r="F72" s="9"/>
      <c r="G72" s="10"/>
      <c r="H72" s="11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7"/>
      <c r="B73" s="7"/>
      <c r="C73" s="5"/>
      <c r="D73" s="5"/>
      <c r="E73" s="9"/>
      <c r="F73" s="9"/>
      <c r="G73" s="10"/>
      <c r="H73" s="11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7"/>
      <c r="B74" s="7"/>
      <c r="C74" s="5"/>
      <c r="D74" s="5"/>
      <c r="E74" s="9"/>
      <c r="F74" s="9"/>
      <c r="G74" s="10"/>
      <c r="H74" s="11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7"/>
      <c r="B75" s="7"/>
      <c r="C75" s="5"/>
      <c r="D75" s="5"/>
      <c r="E75" s="9"/>
      <c r="F75" s="9"/>
      <c r="G75" s="10"/>
      <c r="H75" s="11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7"/>
      <c r="B76" s="7"/>
      <c r="C76" s="5"/>
      <c r="D76" s="5"/>
      <c r="E76" s="9"/>
      <c r="F76" s="9"/>
      <c r="G76" s="10"/>
      <c r="H76" s="11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7"/>
      <c r="B77" s="7"/>
      <c r="C77" s="5"/>
      <c r="D77" s="5"/>
      <c r="E77" s="9"/>
      <c r="F77" s="9"/>
      <c r="G77" s="10"/>
      <c r="H77" s="11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7"/>
      <c r="B78" s="7"/>
      <c r="C78" s="5"/>
      <c r="D78" s="5"/>
      <c r="E78" s="9"/>
      <c r="F78" s="9"/>
      <c r="G78" s="10"/>
      <c r="H78" s="11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7"/>
      <c r="B79" s="7"/>
      <c r="C79" s="5"/>
      <c r="D79" s="5"/>
      <c r="E79" s="9"/>
      <c r="F79" s="9"/>
      <c r="G79" s="10"/>
      <c r="H79" s="11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7"/>
      <c r="B80" s="7"/>
      <c r="C80" s="5"/>
      <c r="D80" s="5"/>
      <c r="E80" s="9"/>
      <c r="F80" s="9"/>
      <c r="G80" s="10"/>
      <c r="H80" s="11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7"/>
      <c r="B81" s="7"/>
      <c r="C81" s="5"/>
      <c r="D81" s="5"/>
      <c r="E81" s="9"/>
      <c r="F81" s="9"/>
      <c r="G81" s="10"/>
      <c r="H81" s="11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7"/>
      <c r="B82" s="7"/>
      <c r="C82" s="5"/>
      <c r="D82" s="5"/>
      <c r="E82" s="9"/>
      <c r="F82" s="9"/>
      <c r="G82" s="10"/>
      <c r="H82" s="11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7"/>
      <c r="B83" s="7"/>
      <c r="C83" s="5"/>
      <c r="D83" s="5"/>
      <c r="E83" s="9"/>
      <c r="F83" s="9"/>
      <c r="G83" s="10"/>
      <c r="H83" s="11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7"/>
      <c r="B84" s="7"/>
      <c r="C84" s="5"/>
      <c r="D84" s="5"/>
      <c r="E84" s="9"/>
      <c r="F84" s="9"/>
      <c r="G84" s="10"/>
      <c r="H84" s="11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7"/>
      <c r="B85" s="7"/>
      <c r="C85" s="5"/>
      <c r="D85" s="5"/>
      <c r="E85" s="9"/>
      <c r="F85" s="9"/>
      <c r="G85" s="10"/>
      <c r="H85" s="11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7"/>
      <c r="B86" s="7"/>
      <c r="C86" s="5"/>
      <c r="D86" s="5"/>
      <c r="E86" s="9"/>
      <c r="F86" s="9"/>
      <c r="G86" s="10"/>
      <c r="H86" s="11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7"/>
      <c r="B87" s="7"/>
      <c r="C87" s="5"/>
      <c r="D87" s="5"/>
      <c r="E87" s="9"/>
      <c r="F87" s="9"/>
      <c r="G87" s="10"/>
      <c r="H87" s="11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7"/>
      <c r="B88" s="7"/>
      <c r="C88" s="5"/>
      <c r="D88" s="5"/>
      <c r="E88" s="9"/>
      <c r="F88" s="9"/>
      <c r="G88" s="10"/>
      <c r="H88" s="11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7"/>
      <c r="B89" s="7"/>
      <c r="C89" s="5"/>
      <c r="D89" s="5"/>
      <c r="E89" s="9"/>
      <c r="F89" s="9"/>
      <c r="G89" s="10"/>
      <c r="H89" s="11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7"/>
      <c r="B90" s="7"/>
      <c r="C90" s="5"/>
      <c r="D90" s="5"/>
      <c r="E90" s="9"/>
      <c r="F90" s="9"/>
      <c r="G90" s="10"/>
      <c r="H90" s="11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7"/>
      <c r="B91" s="7"/>
      <c r="C91" s="5"/>
      <c r="D91" s="5"/>
      <c r="E91" s="9"/>
      <c r="F91" s="9"/>
      <c r="G91" s="10"/>
      <c r="H91" s="11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7"/>
      <c r="B92" s="7"/>
      <c r="C92" s="5"/>
      <c r="D92" s="5"/>
      <c r="E92" s="9"/>
      <c r="F92" s="9"/>
      <c r="G92" s="10"/>
      <c r="H92" s="11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7"/>
      <c r="B93" s="7"/>
      <c r="C93" s="5"/>
      <c r="D93" s="5"/>
      <c r="E93" s="9"/>
      <c r="F93" s="9"/>
      <c r="G93" s="10"/>
      <c r="H93" s="11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7"/>
      <c r="B94" s="7"/>
      <c r="C94" s="5"/>
      <c r="D94" s="5"/>
      <c r="E94" s="9"/>
      <c r="F94" s="9"/>
      <c r="G94" s="10"/>
      <c r="H94" s="11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7"/>
      <c r="B95" s="7"/>
      <c r="C95" s="5"/>
      <c r="D95" s="5"/>
      <c r="E95" s="9"/>
      <c r="F95" s="9"/>
      <c r="G95" s="10"/>
      <c r="H95" s="11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7"/>
      <c r="B96" s="7"/>
      <c r="C96" s="5"/>
      <c r="D96" s="5"/>
      <c r="E96" s="9"/>
      <c r="F96" s="9"/>
      <c r="G96" s="10"/>
      <c r="H96" s="11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7"/>
      <c r="B97" s="7"/>
      <c r="C97" s="5"/>
      <c r="D97" s="5"/>
      <c r="E97" s="9"/>
      <c r="F97" s="9"/>
      <c r="G97" s="10"/>
      <c r="H97" s="11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7"/>
      <c r="B98" s="7"/>
      <c r="C98" s="5"/>
      <c r="D98" s="5"/>
      <c r="E98" s="9"/>
      <c r="F98" s="9"/>
      <c r="G98" s="10"/>
      <c r="H98" s="11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7"/>
      <c r="B99" s="7"/>
      <c r="C99" s="5"/>
      <c r="D99" s="5"/>
      <c r="E99" s="9"/>
      <c r="F99" s="9"/>
      <c r="G99" s="10"/>
      <c r="H99" s="11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7"/>
      <c r="B100" s="7"/>
      <c r="C100" s="5"/>
      <c r="D100" s="5"/>
      <c r="E100" s="9"/>
      <c r="F100" s="9"/>
      <c r="G100" s="10"/>
      <c r="H100" s="11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7"/>
      <c r="B101" s="7"/>
      <c r="C101" s="5"/>
      <c r="D101" s="5"/>
      <c r="E101" s="9"/>
      <c r="F101" s="9"/>
      <c r="G101" s="10"/>
      <c r="H101" s="11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7"/>
      <c r="B102" s="7"/>
      <c r="C102" s="5"/>
      <c r="D102" s="5"/>
      <c r="E102" s="9"/>
      <c r="F102" s="9"/>
      <c r="G102" s="10"/>
      <c r="H102" s="11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7"/>
      <c r="B103" s="7"/>
      <c r="C103" s="5"/>
      <c r="D103" s="5"/>
      <c r="E103" s="9"/>
      <c r="F103" s="9"/>
      <c r="G103" s="10"/>
      <c r="H103" s="11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7"/>
      <c r="B104" s="7"/>
      <c r="C104" s="5"/>
      <c r="D104" s="5"/>
      <c r="E104" s="9"/>
      <c r="F104" s="9"/>
      <c r="G104" s="10"/>
      <c r="H104" s="11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7"/>
      <c r="B105" s="7"/>
      <c r="C105" s="5"/>
      <c r="D105" s="5"/>
      <c r="E105" s="9"/>
      <c r="F105" s="9"/>
      <c r="G105" s="10"/>
      <c r="H105" s="11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7"/>
      <c r="B106" s="7"/>
      <c r="C106" s="5"/>
      <c r="D106" s="5"/>
      <c r="E106" s="9"/>
      <c r="F106" s="9"/>
      <c r="G106" s="10"/>
      <c r="H106" s="11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7"/>
      <c r="B107" s="7"/>
      <c r="C107" s="5"/>
      <c r="D107" s="5"/>
      <c r="E107" s="9"/>
      <c r="F107" s="9"/>
      <c r="G107" s="10"/>
      <c r="H107" s="11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7"/>
      <c r="B108" s="7"/>
      <c r="C108" s="5"/>
      <c r="D108" s="5"/>
      <c r="E108" s="9"/>
      <c r="F108" s="9"/>
      <c r="G108" s="10"/>
      <c r="H108" s="11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7"/>
      <c r="B109" s="7"/>
      <c r="C109" s="5"/>
      <c r="D109" s="5"/>
      <c r="E109" s="9"/>
      <c r="F109" s="9"/>
      <c r="G109" s="10"/>
      <c r="H109" s="11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7"/>
      <c r="B110" s="7"/>
      <c r="C110" s="5"/>
      <c r="D110" s="5"/>
      <c r="E110" s="9"/>
      <c r="F110" s="9"/>
      <c r="G110" s="10"/>
      <c r="H110" s="11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7"/>
      <c r="B111" s="7"/>
      <c r="C111" s="5"/>
      <c r="D111" s="5"/>
      <c r="E111" s="9"/>
      <c r="F111" s="9"/>
      <c r="G111" s="10"/>
      <c r="H111" s="11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7"/>
      <c r="B112" s="7"/>
      <c r="C112" s="5"/>
      <c r="D112" s="5"/>
      <c r="E112" s="9"/>
      <c r="F112" s="9"/>
      <c r="G112" s="10"/>
      <c r="H112" s="11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7"/>
      <c r="B113" s="7"/>
      <c r="C113" s="5"/>
      <c r="D113" s="5"/>
      <c r="E113" s="9"/>
      <c r="F113" s="9"/>
      <c r="G113" s="10"/>
      <c r="H113" s="11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7"/>
      <c r="B114" s="7"/>
      <c r="C114" s="5"/>
      <c r="D114" s="5"/>
      <c r="E114" s="9"/>
      <c r="F114" s="9"/>
      <c r="G114" s="10"/>
      <c r="H114" s="11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7"/>
      <c r="B115" s="7"/>
      <c r="C115" s="5"/>
      <c r="D115" s="5"/>
      <c r="E115" s="9"/>
      <c r="F115" s="9"/>
      <c r="G115" s="10"/>
      <c r="H115" s="11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7"/>
      <c r="B116" s="7"/>
      <c r="C116" s="5"/>
      <c r="D116" s="5"/>
      <c r="E116" s="9"/>
      <c r="F116" s="9"/>
      <c r="G116" s="10"/>
      <c r="H116" s="11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7"/>
      <c r="B117" s="7"/>
      <c r="C117" s="5"/>
      <c r="D117" s="5"/>
      <c r="E117" s="9"/>
      <c r="F117" s="9"/>
      <c r="G117" s="10"/>
      <c r="H117" s="11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7"/>
      <c r="B118" s="7"/>
      <c r="C118" s="5"/>
      <c r="D118" s="5"/>
      <c r="E118" s="9"/>
      <c r="F118" s="9"/>
      <c r="G118" s="10"/>
      <c r="H118" s="11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7"/>
      <c r="B119" s="7"/>
      <c r="C119" s="5"/>
      <c r="D119" s="5"/>
      <c r="E119" s="9"/>
      <c r="F119" s="9"/>
      <c r="G119" s="10"/>
      <c r="H119" s="11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7"/>
      <c r="B120" s="7"/>
      <c r="C120" s="5"/>
      <c r="D120" s="5"/>
      <c r="E120" s="9"/>
      <c r="F120" s="9"/>
      <c r="G120" s="10"/>
      <c r="H120" s="11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7"/>
      <c r="B121" s="7"/>
      <c r="C121" s="5"/>
      <c r="D121" s="5"/>
      <c r="E121" s="9"/>
      <c r="F121" s="9"/>
      <c r="G121" s="10"/>
      <c r="H121" s="11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7"/>
      <c r="B122" s="7"/>
      <c r="C122" s="5"/>
      <c r="D122" s="5"/>
      <c r="E122" s="9"/>
      <c r="F122" s="9"/>
      <c r="G122" s="10"/>
      <c r="H122" s="11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7"/>
      <c r="B123" s="7"/>
      <c r="C123" s="5"/>
      <c r="D123" s="5"/>
      <c r="E123" s="9"/>
      <c r="F123" s="9"/>
      <c r="G123" s="10"/>
      <c r="H123" s="11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7"/>
      <c r="B124" s="7"/>
      <c r="C124" s="5"/>
      <c r="D124" s="5"/>
      <c r="E124" s="9"/>
      <c r="F124" s="9"/>
      <c r="G124" s="10"/>
      <c r="H124" s="11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7"/>
      <c r="B125" s="7"/>
      <c r="C125" s="5"/>
      <c r="D125" s="5"/>
      <c r="E125" s="9"/>
      <c r="F125" s="9"/>
      <c r="G125" s="10"/>
      <c r="H125" s="11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7"/>
      <c r="B126" s="7"/>
      <c r="C126" s="5"/>
      <c r="D126" s="5"/>
      <c r="E126" s="9"/>
      <c r="F126" s="9"/>
      <c r="G126" s="10"/>
      <c r="H126" s="11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7"/>
      <c r="B127" s="7"/>
      <c r="C127" s="5"/>
      <c r="D127" s="5"/>
      <c r="E127" s="9"/>
      <c r="F127" s="9"/>
      <c r="G127" s="10"/>
      <c r="H127" s="11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7"/>
      <c r="B128" s="7"/>
      <c r="C128" s="5"/>
      <c r="D128" s="5"/>
      <c r="E128" s="9"/>
      <c r="F128" s="9"/>
      <c r="G128" s="10"/>
      <c r="H128" s="11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7"/>
      <c r="B129" s="7"/>
      <c r="C129" s="5"/>
      <c r="D129" s="5"/>
      <c r="E129" s="9"/>
      <c r="F129" s="9"/>
      <c r="G129" s="10"/>
      <c r="H129" s="11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7"/>
      <c r="B130" s="7"/>
      <c r="C130" s="5"/>
      <c r="D130" s="5"/>
      <c r="E130" s="9"/>
      <c r="F130" s="9"/>
      <c r="G130" s="10"/>
      <c r="H130" s="11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7"/>
      <c r="B131" s="7"/>
      <c r="C131" s="5"/>
      <c r="D131" s="5"/>
      <c r="E131" s="9"/>
      <c r="F131" s="9"/>
      <c r="G131" s="10"/>
      <c r="H131" s="11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7"/>
      <c r="B132" s="7"/>
      <c r="C132" s="5"/>
      <c r="D132" s="5"/>
      <c r="E132" s="9"/>
      <c r="F132" s="9"/>
      <c r="G132" s="10"/>
      <c r="H132" s="11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7"/>
      <c r="B133" s="7"/>
      <c r="C133" s="5"/>
      <c r="D133" s="5"/>
      <c r="E133" s="9"/>
      <c r="F133" s="9"/>
      <c r="G133" s="10"/>
      <c r="H133" s="11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7"/>
      <c r="B134" s="7"/>
      <c r="C134" s="5"/>
      <c r="D134" s="5"/>
      <c r="E134" s="9"/>
      <c r="F134" s="9"/>
      <c r="G134" s="10"/>
      <c r="H134" s="11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7"/>
      <c r="B135" s="7"/>
      <c r="C135" s="5"/>
      <c r="D135" s="5"/>
      <c r="E135" s="9"/>
      <c r="F135" s="9"/>
      <c r="G135" s="10"/>
      <c r="H135" s="11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7"/>
      <c r="B136" s="7"/>
      <c r="C136" s="5"/>
      <c r="D136" s="5"/>
      <c r="E136" s="9"/>
      <c r="F136" s="9"/>
      <c r="G136" s="10"/>
      <c r="H136" s="11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7"/>
      <c r="B137" s="7"/>
      <c r="C137" s="5"/>
      <c r="D137" s="5"/>
      <c r="E137" s="9"/>
      <c r="F137" s="9"/>
      <c r="G137" s="10"/>
      <c r="H137" s="11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7"/>
      <c r="B138" s="7"/>
      <c r="C138" s="5"/>
      <c r="D138" s="5"/>
      <c r="E138" s="9"/>
      <c r="F138" s="9"/>
      <c r="G138" s="10"/>
      <c r="H138" s="11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7"/>
      <c r="B139" s="7"/>
      <c r="C139" s="5"/>
      <c r="D139" s="5"/>
      <c r="E139" s="9"/>
      <c r="F139" s="9"/>
      <c r="G139" s="10"/>
      <c r="H139" s="11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7"/>
      <c r="B140" s="7"/>
      <c r="C140" s="5"/>
      <c r="D140" s="5"/>
      <c r="E140" s="9"/>
      <c r="F140" s="9"/>
      <c r="G140" s="10"/>
      <c r="H140" s="11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7"/>
      <c r="B141" s="7"/>
      <c r="C141" s="5"/>
      <c r="D141" s="5"/>
      <c r="E141" s="9"/>
      <c r="F141" s="9"/>
      <c r="G141" s="10"/>
      <c r="H141" s="11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7"/>
      <c r="B142" s="7"/>
      <c r="C142" s="5"/>
      <c r="D142" s="5"/>
      <c r="E142" s="9"/>
      <c r="F142" s="9"/>
      <c r="G142" s="10"/>
      <c r="H142" s="11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7"/>
      <c r="B143" s="7"/>
      <c r="C143" s="5"/>
      <c r="D143" s="5"/>
      <c r="E143" s="9"/>
      <c r="F143" s="9"/>
      <c r="G143" s="10"/>
      <c r="H143" s="11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7"/>
      <c r="B144" s="7"/>
      <c r="C144" s="5"/>
      <c r="D144" s="5"/>
      <c r="E144" s="9"/>
      <c r="F144" s="9"/>
      <c r="G144" s="10"/>
      <c r="H144" s="11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7"/>
      <c r="B145" s="7"/>
      <c r="C145" s="5"/>
      <c r="D145" s="5"/>
      <c r="E145" s="9"/>
      <c r="F145" s="9"/>
      <c r="G145" s="10"/>
      <c r="H145" s="11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7"/>
      <c r="B146" s="7"/>
      <c r="C146" s="5"/>
      <c r="D146" s="5"/>
      <c r="E146" s="9"/>
      <c r="F146" s="9"/>
      <c r="G146" s="10"/>
      <c r="H146" s="11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7"/>
      <c r="B147" s="7"/>
      <c r="C147" s="5"/>
      <c r="D147" s="5"/>
      <c r="E147" s="9"/>
      <c r="F147" s="9"/>
      <c r="G147" s="10"/>
      <c r="H147" s="11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7"/>
      <c r="B148" s="7"/>
      <c r="C148" s="5"/>
      <c r="D148" s="5"/>
      <c r="E148" s="9"/>
      <c r="F148" s="9"/>
      <c r="G148" s="10"/>
      <c r="H148" s="11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7"/>
      <c r="B149" s="7"/>
      <c r="C149" s="5"/>
      <c r="D149" s="5"/>
      <c r="E149" s="9"/>
      <c r="F149" s="9"/>
      <c r="G149" s="10"/>
      <c r="H149" s="11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7"/>
      <c r="B150" s="7"/>
      <c r="C150" s="5"/>
      <c r="D150" s="5"/>
      <c r="E150" s="9"/>
      <c r="F150" s="9"/>
      <c r="G150" s="10"/>
      <c r="H150" s="11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7"/>
      <c r="B151" s="7"/>
      <c r="C151" s="5"/>
      <c r="D151" s="5"/>
      <c r="E151" s="9"/>
      <c r="F151" s="9"/>
      <c r="G151" s="10"/>
      <c r="H151" s="11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7"/>
      <c r="B152" s="7"/>
      <c r="C152" s="5"/>
      <c r="D152" s="5"/>
      <c r="E152" s="9"/>
      <c r="F152" s="9"/>
      <c r="G152" s="10"/>
      <c r="H152" s="11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7"/>
      <c r="B153" s="7"/>
      <c r="C153" s="5"/>
      <c r="D153" s="5"/>
      <c r="E153" s="9"/>
      <c r="F153" s="9"/>
      <c r="G153" s="10"/>
      <c r="H153" s="11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7"/>
      <c r="B154" s="7"/>
      <c r="C154" s="5"/>
      <c r="D154" s="5"/>
      <c r="E154" s="9"/>
      <c r="F154" s="9"/>
      <c r="G154" s="10"/>
      <c r="H154" s="11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7"/>
      <c r="B155" s="7"/>
      <c r="C155" s="5"/>
      <c r="D155" s="5"/>
      <c r="E155" s="9"/>
      <c r="F155" s="9"/>
      <c r="G155" s="10"/>
      <c r="H155" s="11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7"/>
      <c r="B156" s="7"/>
      <c r="C156" s="5"/>
      <c r="D156" s="5"/>
      <c r="E156" s="9"/>
      <c r="F156" s="9"/>
      <c r="G156" s="10"/>
      <c r="H156" s="11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7"/>
      <c r="B157" s="7"/>
      <c r="C157" s="5"/>
      <c r="D157" s="5"/>
      <c r="E157" s="9"/>
      <c r="F157" s="9"/>
      <c r="G157" s="10"/>
      <c r="H157" s="11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7"/>
      <c r="B158" s="7"/>
      <c r="C158" s="5"/>
      <c r="D158" s="5"/>
      <c r="E158" s="9"/>
      <c r="F158" s="9"/>
      <c r="G158" s="10"/>
      <c r="H158" s="11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7"/>
      <c r="B159" s="7"/>
      <c r="C159" s="5"/>
      <c r="D159" s="5"/>
      <c r="E159" s="9"/>
      <c r="F159" s="9"/>
      <c r="G159" s="10"/>
      <c r="H159" s="11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7"/>
      <c r="B160" s="7"/>
      <c r="C160" s="5"/>
      <c r="D160" s="5"/>
      <c r="E160" s="9"/>
      <c r="F160" s="9"/>
      <c r="G160" s="10"/>
      <c r="H160" s="11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7"/>
      <c r="B161" s="7"/>
      <c r="C161" s="5"/>
      <c r="D161" s="5"/>
      <c r="E161" s="9"/>
      <c r="F161" s="9"/>
      <c r="G161" s="10"/>
      <c r="H161" s="11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7"/>
      <c r="B162" s="7"/>
      <c r="C162" s="5"/>
      <c r="D162" s="5"/>
      <c r="E162" s="9"/>
      <c r="F162" s="9"/>
      <c r="G162" s="10"/>
      <c r="H162" s="11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7"/>
      <c r="B163" s="7"/>
      <c r="C163" s="5"/>
      <c r="D163" s="5"/>
      <c r="E163" s="9"/>
      <c r="F163" s="9"/>
      <c r="G163" s="10"/>
      <c r="H163" s="11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7"/>
      <c r="B164" s="7"/>
      <c r="C164" s="5"/>
      <c r="D164" s="5"/>
      <c r="E164" s="9"/>
      <c r="F164" s="9"/>
      <c r="G164" s="10"/>
      <c r="H164" s="11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7"/>
      <c r="B165" s="7"/>
      <c r="C165" s="5"/>
      <c r="D165" s="5"/>
      <c r="E165" s="9"/>
      <c r="F165" s="9"/>
      <c r="G165" s="10"/>
      <c r="H165" s="11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7"/>
      <c r="B166" s="7"/>
      <c r="C166" s="5"/>
      <c r="D166" s="5"/>
      <c r="E166" s="9"/>
      <c r="F166" s="9"/>
      <c r="G166" s="10"/>
      <c r="H166" s="11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7"/>
      <c r="B167" s="7"/>
      <c r="C167" s="5"/>
      <c r="D167" s="5"/>
      <c r="E167" s="9"/>
      <c r="F167" s="9"/>
      <c r="G167" s="10"/>
      <c r="H167" s="11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7"/>
      <c r="B168" s="7"/>
      <c r="C168" s="5"/>
      <c r="D168" s="5"/>
      <c r="E168" s="9"/>
      <c r="F168" s="9"/>
      <c r="G168" s="10"/>
      <c r="H168" s="11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7"/>
      <c r="B169" s="7"/>
      <c r="C169" s="5"/>
      <c r="D169" s="5"/>
      <c r="E169" s="9"/>
      <c r="F169" s="9"/>
      <c r="G169" s="10"/>
      <c r="H169" s="11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7"/>
      <c r="B170" s="7"/>
      <c r="C170" s="5"/>
      <c r="D170" s="5"/>
      <c r="E170" s="9"/>
      <c r="F170" s="9"/>
      <c r="G170" s="10"/>
      <c r="H170" s="11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7"/>
      <c r="B171" s="7"/>
      <c r="C171" s="5"/>
      <c r="D171" s="5"/>
      <c r="E171" s="9"/>
      <c r="F171" s="9"/>
      <c r="G171" s="10"/>
      <c r="H171" s="11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7"/>
      <c r="B172" s="7"/>
      <c r="C172" s="5"/>
      <c r="D172" s="5"/>
      <c r="E172" s="9"/>
      <c r="F172" s="9"/>
      <c r="G172" s="10"/>
      <c r="H172" s="11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7"/>
      <c r="B173" s="7"/>
      <c r="C173" s="5"/>
      <c r="D173" s="5"/>
      <c r="E173" s="9"/>
      <c r="F173" s="9"/>
      <c r="G173" s="10"/>
      <c r="H173" s="11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7"/>
      <c r="B174" s="7"/>
      <c r="C174" s="5"/>
      <c r="D174" s="5"/>
      <c r="E174" s="9"/>
      <c r="F174" s="9"/>
      <c r="G174" s="10"/>
      <c r="H174" s="11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7"/>
      <c r="B175" s="7"/>
      <c r="C175" s="5"/>
      <c r="D175" s="5"/>
      <c r="E175" s="9"/>
      <c r="F175" s="9"/>
      <c r="G175" s="10"/>
      <c r="H175" s="11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7"/>
      <c r="B176" s="7"/>
      <c r="C176" s="5"/>
      <c r="D176" s="5"/>
      <c r="E176" s="9"/>
      <c r="F176" s="9"/>
      <c r="G176" s="10"/>
      <c r="H176" s="11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7"/>
      <c r="B177" s="7"/>
      <c r="C177" s="5"/>
      <c r="D177" s="5"/>
      <c r="E177" s="9"/>
      <c r="F177" s="9"/>
      <c r="G177" s="10"/>
      <c r="H177" s="11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7"/>
      <c r="B178" s="7"/>
      <c r="C178" s="5"/>
      <c r="D178" s="5"/>
      <c r="E178" s="9"/>
      <c r="F178" s="9"/>
      <c r="G178" s="10"/>
      <c r="H178" s="11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7"/>
      <c r="B179" s="7"/>
      <c r="C179" s="5"/>
      <c r="D179" s="5"/>
      <c r="E179" s="9"/>
      <c r="F179" s="9"/>
      <c r="G179" s="10"/>
      <c r="H179" s="11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7"/>
      <c r="B180" s="7"/>
      <c r="C180" s="5"/>
      <c r="D180" s="5"/>
      <c r="E180" s="9"/>
      <c r="F180" s="9"/>
      <c r="G180" s="10"/>
      <c r="H180" s="11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7"/>
      <c r="B181" s="7"/>
      <c r="C181" s="5"/>
      <c r="D181" s="5"/>
      <c r="E181" s="9"/>
      <c r="F181" s="9"/>
      <c r="G181" s="10"/>
      <c r="H181" s="11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7"/>
      <c r="B182" s="7"/>
      <c r="C182" s="5"/>
      <c r="D182" s="5"/>
      <c r="E182" s="9"/>
      <c r="F182" s="9"/>
      <c r="G182" s="10"/>
      <c r="H182" s="11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7"/>
      <c r="B183" s="7"/>
      <c r="C183" s="5"/>
      <c r="D183" s="5"/>
      <c r="E183" s="9"/>
      <c r="F183" s="9"/>
      <c r="G183" s="10"/>
      <c r="H183" s="11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7"/>
      <c r="B184" s="7"/>
      <c r="C184" s="5"/>
      <c r="D184" s="5"/>
      <c r="E184" s="9"/>
      <c r="F184" s="9"/>
      <c r="G184" s="10"/>
      <c r="H184" s="11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7"/>
      <c r="B185" s="7"/>
      <c r="C185" s="5"/>
      <c r="D185" s="5"/>
      <c r="E185" s="9"/>
      <c r="F185" s="9"/>
      <c r="G185" s="10"/>
      <c r="H185" s="11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7"/>
      <c r="B186" s="7"/>
      <c r="C186" s="5"/>
      <c r="D186" s="5"/>
      <c r="E186" s="9"/>
      <c r="F186" s="9"/>
      <c r="G186" s="10"/>
      <c r="H186" s="11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7"/>
      <c r="B187" s="7"/>
      <c r="C187" s="5"/>
      <c r="D187" s="5"/>
      <c r="E187" s="9"/>
      <c r="F187" s="9"/>
      <c r="G187" s="10"/>
      <c r="H187" s="11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7"/>
      <c r="B188" s="7"/>
      <c r="C188" s="5"/>
      <c r="D188" s="5"/>
      <c r="E188" s="9"/>
      <c r="F188" s="9"/>
      <c r="G188" s="10"/>
      <c r="H188" s="11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7"/>
      <c r="B189" s="7"/>
      <c r="C189" s="5"/>
      <c r="D189" s="5"/>
      <c r="E189" s="9"/>
      <c r="F189" s="9"/>
      <c r="G189" s="10"/>
      <c r="H189" s="11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7"/>
      <c r="B190" s="7"/>
      <c r="C190" s="5"/>
      <c r="D190" s="5"/>
      <c r="E190" s="9"/>
      <c r="F190" s="9"/>
      <c r="G190" s="10"/>
      <c r="H190" s="11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7"/>
      <c r="B191" s="7"/>
      <c r="C191" s="5"/>
      <c r="D191" s="5"/>
      <c r="E191" s="9"/>
      <c r="F191" s="9"/>
      <c r="G191" s="10"/>
      <c r="H191" s="11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7"/>
      <c r="B192" s="7"/>
      <c r="C192" s="5"/>
      <c r="D192" s="5"/>
      <c r="E192" s="9"/>
      <c r="F192" s="9"/>
      <c r="G192" s="10"/>
      <c r="H192" s="11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7"/>
      <c r="B193" s="7"/>
      <c r="C193" s="5"/>
      <c r="D193" s="5"/>
      <c r="E193" s="9"/>
      <c r="F193" s="9"/>
      <c r="G193" s="10"/>
      <c r="H193" s="11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7"/>
      <c r="B194" s="7"/>
      <c r="C194" s="5"/>
      <c r="D194" s="5"/>
      <c r="E194" s="9"/>
      <c r="F194" s="9"/>
      <c r="G194" s="10"/>
      <c r="H194" s="11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7"/>
      <c r="B195" s="7"/>
      <c r="C195" s="5"/>
      <c r="D195" s="5"/>
      <c r="E195" s="9"/>
      <c r="F195" s="9"/>
      <c r="G195" s="10"/>
      <c r="H195" s="11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7"/>
      <c r="B196" s="7"/>
      <c r="C196" s="5"/>
      <c r="D196" s="5"/>
      <c r="E196" s="9"/>
      <c r="F196" s="9"/>
      <c r="G196" s="10"/>
      <c r="H196" s="11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7"/>
      <c r="B197" s="7"/>
      <c r="C197" s="5"/>
      <c r="D197" s="5"/>
      <c r="E197" s="9"/>
      <c r="F197" s="9"/>
      <c r="G197" s="10"/>
      <c r="H197" s="11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7"/>
      <c r="B198" s="7"/>
      <c r="C198" s="5"/>
      <c r="D198" s="5"/>
      <c r="E198" s="9"/>
      <c r="F198" s="9"/>
      <c r="G198" s="10"/>
      <c r="H198" s="11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7"/>
      <c r="B199" s="7"/>
      <c r="C199" s="5"/>
      <c r="D199" s="5"/>
      <c r="E199" s="9"/>
      <c r="F199" s="9"/>
      <c r="G199" s="10"/>
      <c r="H199" s="11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7"/>
      <c r="B200" s="7"/>
      <c r="C200" s="5"/>
      <c r="D200" s="5"/>
      <c r="E200" s="9"/>
      <c r="F200" s="9"/>
      <c r="G200" s="10"/>
      <c r="H200" s="11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7"/>
      <c r="B201" s="7"/>
      <c r="C201" s="5"/>
      <c r="D201" s="5"/>
      <c r="E201" s="9"/>
      <c r="F201" s="9"/>
      <c r="G201" s="10"/>
      <c r="H201" s="11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7"/>
      <c r="B202" s="7"/>
      <c r="C202" s="5"/>
      <c r="D202" s="5"/>
      <c r="E202" s="9"/>
      <c r="F202" s="9"/>
      <c r="G202" s="10"/>
      <c r="H202" s="11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7"/>
      <c r="B203" s="7"/>
      <c r="C203" s="5"/>
      <c r="D203" s="5"/>
      <c r="E203" s="9"/>
      <c r="F203" s="9"/>
      <c r="G203" s="10"/>
      <c r="H203" s="11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7"/>
      <c r="B204" s="7"/>
      <c r="C204" s="5"/>
      <c r="D204" s="5"/>
      <c r="E204" s="9"/>
      <c r="F204" s="9"/>
      <c r="G204" s="10"/>
      <c r="H204" s="11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7"/>
      <c r="B205" s="7"/>
      <c r="C205" s="5"/>
      <c r="D205" s="5"/>
      <c r="E205" s="9"/>
      <c r="F205" s="9"/>
      <c r="G205" s="10"/>
      <c r="H205" s="11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7"/>
      <c r="B206" s="7"/>
      <c r="C206" s="5"/>
      <c r="D206" s="5"/>
      <c r="E206" s="9"/>
      <c r="F206" s="9"/>
      <c r="G206" s="10"/>
      <c r="H206" s="11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7"/>
      <c r="B207" s="7"/>
      <c r="C207" s="5"/>
      <c r="D207" s="5"/>
      <c r="E207" s="9"/>
      <c r="F207" s="9"/>
      <c r="G207" s="10"/>
      <c r="H207" s="11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7"/>
      <c r="B208" s="7"/>
      <c r="C208" s="5"/>
      <c r="D208" s="5"/>
      <c r="E208" s="9"/>
      <c r="F208" s="9"/>
      <c r="G208" s="10"/>
      <c r="H208" s="11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7"/>
      <c r="B209" s="7"/>
      <c r="C209" s="5"/>
      <c r="D209" s="5"/>
      <c r="E209" s="9"/>
      <c r="F209" s="9"/>
      <c r="G209" s="10"/>
      <c r="H209" s="11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7"/>
      <c r="B210" s="7"/>
      <c r="C210" s="5"/>
      <c r="D210" s="5"/>
      <c r="E210" s="9"/>
      <c r="F210" s="9"/>
      <c r="G210" s="10"/>
      <c r="H210" s="11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7"/>
      <c r="B211" s="7"/>
      <c r="C211" s="5"/>
      <c r="D211" s="5"/>
      <c r="E211" s="9"/>
      <c r="F211" s="9"/>
      <c r="G211" s="10"/>
      <c r="H211" s="11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7"/>
      <c r="B212" s="7"/>
      <c r="C212" s="5"/>
      <c r="D212" s="5"/>
      <c r="E212" s="9"/>
      <c r="F212" s="9"/>
      <c r="G212" s="10"/>
      <c r="H212" s="11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7"/>
      <c r="B213" s="7"/>
      <c r="C213" s="5"/>
      <c r="D213" s="5"/>
      <c r="E213" s="9"/>
      <c r="F213" s="9"/>
      <c r="G213" s="10"/>
      <c r="H213" s="11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7"/>
      <c r="B214" s="7"/>
      <c r="C214" s="5"/>
      <c r="D214" s="5"/>
      <c r="E214" s="9"/>
      <c r="F214" s="9"/>
      <c r="G214" s="10"/>
      <c r="H214" s="11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7"/>
      <c r="B215" s="7"/>
      <c r="C215" s="5"/>
      <c r="D215" s="5"/>
      <c r="E215" s="9"/>
      <c r="F215" s="9"/>
      <c r="G215" s="10"/>
      <c r="H215" s="11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7"/>
      <c r="B216" s="7"/>
      <c r="C216" s="5"/>
      <c r="D216" s="5"/>
      <c r="E216" s="9"/>
      <c r="F216" s="9"/>
      <c r="G216" s="10"/>
      <c r="H216" s="11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7"/>
      <c r="B217" s="7"/>
      <c r="C217" s="5"/>
      <c r="D217" s="5"/>
      <c r="E217" s="9"/>
      <c r="F217" s="9"/>
      <c r="G217" s="10"/>
      <c r="H217" s="11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7"/>
      <c r="B218" s="7"/>
      <c r="C218" s="5"/>
      <c r="D218" s="5"/>
      <c r="E218" s="9"/>
      <c r="F218" s="9"/>
      <c r="G218" s="10"/>
      <c r="H218" s="11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7"/>
      <c r="B219" s="7"/>
      <c r="C219" s="5"/>
      <c r="D219" s="5"/>
      <c r="E219" s="9"/>
      <c r="F219" s="9"/>
      <c r="G219" s="10"/>
      <c r="H219" s="11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7"/>
      <c r="B220" s="7"/>
      <c r="C220" s="5"/>
      <c r="D220" s="5"/>
      <c r="E220" s="9"/>
      <c r="F220" s="9"/>
      <c r="G220" s="10"/>
      <c r="H220" s="11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7"/>
      <c r="B221" s="7"/>
      <c r="C221" s="5"/>
      <c r="D221" s="5"/>
      <c r="E221" s="9"/>
      <c r="F221" s="9"/>
      <c r="G221" s="10"/>
      <c r="H221" s="11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7"/>
      <c r="B222" s="7"/>
      <c r="C222" s="5"/>
      <c r="D222" s="5"/>
      <c r="E222" s="9"/>
      <c r="F222" s="9"/>
      <c r="G222" s="10"/>
      <c r="H222" s="11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7"/>
      <c r="B223" s="7"/>
      <c r="C223" s="5"/>
      <c r="D223" s="5"/>
      <c r="E223" s="9"/>
      <c r="F223" s="9"/>
      <c r="G223" s="10"/>
      <c r="H223" s="11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7"/>
      <c r="B224" s="7"/>
      <c r="C224" s="5"/>
      <c r="D224" s="5"/>
      <c r="E224" s="9"/>
      <c r="F224" s="9"/>
      <c r="G224" s="10"/>
      <c r="H224" s="11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7"/>
      <c r="B225" s="7"/>
      <c r="C225" s="5"/>
      <c r="D225" s="5"/>
      <c r="E225" s="9"/>
      <c r="F225" s="9"/>
      <c r="G225" s="10"/>
      <c r="H225" s="11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7"/>
      <c r="B226" s="7"/>
      <c r="C226" s="5"/>
      <c r="D226" s="5"/>
      <c r="E226" s="9"/>
      <c r="F226" s="9"/>
      <c r="G226" s="10"/>
      <c r="H226" s="11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7"/>
      <c r="B227" s="7"/>
      <c r="C227" s="5"/>
      <c r="D227" s="5"/>
      <c r="E227" s="9"/>
      <c r="F227" s="9"/>
      <c r="G227" s="10"/>
      <c r="H227" s="11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7"/>
      <c r="B228" s="7"/>
      <c r="C228" s="5"/>
      <c r="D228" s="5"/>
      <c r="E228" s="9"/>
      <c r="F228" s="9"/>
      <c r="G228" s="10"/>
      <c r="H228" s="11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7"/>
      <c r="B229" s="7"/>
      <c r="C229" s="5"/>
      <c r="D229" s="5"/>
      <c r="E229" s="9"/>
      <c r="F229" s="9"/>
      <c r="G229" s="10"/>
      <c r="H229" s="11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7"/>
      <c r="B230" s="7"/>
      <c r="C230" s="5"/>
      <c r="D230" s="5"/>
      <c r="E230" s="9"/>
      <c r="F230" s="9"/>
      <c r="G230" s="10"/>
      <c r="H230" s="11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7"/>
      <c r="B231" s="7"/>
      <c r="C231" s="5"/>
      <c r="D231" s="5"/>
      <c r="E231" s="9"/>
      <c r="F231" s="9"/>
      <c r="G231" s="10"/>
      <c r="H231" s="11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7"/>
      <c r="B232" s="7"/>
      <c r="C232" s="5"/>
      <c r="D232" s="5"/>
      <c r="E232" s="9"/>
      <c r="F232" s="9"/>
      <c r="G232" s="10"/>
      <c r="H232" s="11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7"/>
      <c r="B233" s="7"/>
      <c r="C233" s="5"/>
      <c r="D233" s="5"/>
      <c r="E233" s="9"/>
      <c r="F233" s="9"/>
      <c r="G233" s="10"/>
      <c r="H233" s="11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7"/>
      <c r="B234" s="7"/>
      <c r="C234" s="5"/>
      <c r="D234" s="5"/>
      <c r="E234" s="9"/>
      <c r="F234" s="9"/>
      <c r="G234" s="10"/>
      <c r="H234" s="11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7"/>
      <c r="B235" s="7"/>
      <c r="C235" s="5"/>
      <c r="D235" s="5"/>
      <c r="E235" s="9"/>
      <c r="F235" s="9"/>
      <c r="G235" s="10"/>
      <c r="H235" s="11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7"/>
      <c r="B236" s="7"/>
      <c r="C236" s="5"/>
      <c r="D236" s="5"/>
      <c r="E236" s="9"/>
      <c r="F236" s="9"/>
      <c r="G236" s="10"/>
      <c r="H236" s="11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7"/>
      <c r="B237" s="7"/>
      <c r="C237" s="5"/>
      <c r="D237" s="5"/>
      <c r="E237" s="9"/>
      <c r="F237" s="9"/>
      <c r="G237" s="10"/>
      <c r="H237" s="11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7"/>
      <c r="B238" s="7"/>
      <c r="C238" s="5"/>
      <c r="D238" s="5"/>
      <c r="E238" s="9"/>
      <c r="F238" s="9"/>
      <c r="G238" s="10"/>
      <c r="H238" s="11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7"/>
      <c r="B239" s="7"/>
      <c r="C239" s="5"/>
      <c r="D239" s="5"/>
      <c r="E239" s="9"/>
      <c r="F239" s="9"/>
      <c r="G239" s="10"/>
      <c r="H239" s="11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7"/>
      <c r="B240" s="7"/>
      <c r="C240" s="5"/>
      <c r="D240" s="5"/>
      <c r="E240" s="9"/>
      <c r="F240" s="9"/>
      <c r="G240" s="10"/>
      <c r="H240" s="11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7"/>
      <c r="B241" s="7"/>
      <c r="C241" s="5"/>
      <c r="D241" s="5"/>
      <c r="E241" s="9"/>
      <c r="F241" s="9"/>
      <c r="G241" s="10"/>
      <c r="H241" s="11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7"/>
      <c r="B242" s="7"/>
      <c r="C242" s="5"/>
      <c r="D242" s="5"/>
      <c r="E242" s="9"/>
      <c r="F242" s="9"/>
      <c r="G242" s="10"/>
      <c r="H242" s="11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7"/>
      <c r="B243" s="7"/>
      <c r="C243" s="5"/>
      <c r="D243" s="5"/>
      <c r="E243" s="9"/>
      <c r="F243" s="9"/>
      <c r="G243" s="10"/>
      <c r="H243" s="11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7"/>
      <c r="B244" s="7"/>
      <c r="C244" s="5"/>
      <c r="D244" s="5"/>
      <c r="E244" s="9"/>
      <c r="F244" s="9"/>
      <c r="G244" s="10"/>
      <c r="H244" s="11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7"/>
      <c r="B245" s="7"/>
      <c r="C245" s="5"/>
      <c r="D245" s="5"/>
      <c r="E245" s="9"/>
      <c r="F245" s="9"/>
      <c r="G245" s="10"/>
      <c r="H245" s="11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7"/>
      <c r="B246" s="7"/>
      <c r="C246" s="5"/>
      <c r="D246" s="5"/>
      <c r="E246" s="9"/>
      <c r="F246" s="9"/>
      <c r="G246" s="10"/>
      <c r="H246" s="11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7"/>
      <c r="B247" s="7"/>
      <c r="C247" s="5"/>
      <c r="D247" s="5"/>
      <c r="E247" s="9"/>
      <c r="F247" s="9"/>
      <c r="G247" s="10"/>
      <c r="H247" s="11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7"/>
      <c r="B248" s="7"/>
      <c r="C248" s="5"/>
      <c r="D248" s="5"/>
      <c r="E248" s="9"/>
      <c r="F248" s="9"/>
      <c r="G248" s="10"/>
      <c r="H248" s="11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7"/>
      <c r="B249" s="7"/>
      <c r="C249" s="5"/>
      <c r="D249" s="5"/>
      <c r="E249" s="9"/>
      <c r="F249" s="9"/>
      <c r="G249" s="10"/>
      <c r="H249" s="11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7"/>
      <c r="B250" s="7"/>
      <c r="C250" s="5"/>
      <c r="D250" s="5"/>
      <c r="E250" s="9"/>
      <c r="F250" s="9"/>
      <c r="G250" s="10"/>
      <c r="H250" s="11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7"/>
      <c r="B251" s="7"/>
      <c r="C251" s="5"/>
      <c r="D251" s="5"/>
      <c r="E251" s="9"/>
      <c r="F251" s="9"/>
      <c r="G251" s="10"/>
      <c r="H251" s="11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7"/>
      <c r="B252" s="7"/>
      <c r="C252" s="5"/>
      <c r="D252" s="5"/>
      <c r="E252" s="9"/>
      <c r="F252" s="9"/>
      <c r="G252" s="10"/>
      <c r="H252" s="11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7"/>
      <c r="B253" s="7"/>
      <c r="C253" s="5"/>
      <c r="D253" s="5"/>
      <c r="E253" s="9"/>
      <c r="F253" s="9"/>
      <c r="G253" s="10"/>
      <c r="H253" s="11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7"/>
      <c r="B254" s="7"/>
      <c r="C254" s="5"/>
      <c r="D254" s="5"/>
      <c r="E254" s="9"/>
      <c r="F254" s="9"/>
      <c r="G254" s="10"/>
      <c r="H254" s="11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7"/>
      <c r="B255" s="7"/>
      <c r="C255" s="5"/>
      <c r="D255" s="5"/>
      <c r="E255" s="9"/>
      <c r="F255" s="9"/>
      <c r="G255" s="10"/>
      <c r="H255" s="11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7"/>
      <c r="B256" s="7"/>
      <c r="C256" s="5"/>
      <c r="D256" s="5"/>
      <c r="E256" s="9"/>
      <c r="F256" s="9"/>
      <c r="G256" s="10"/>
      <c r="H256" s="11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7"/>
      <c r="B257" s="7"/>
      <c r="C257" s="5"/>
      <c r="D257" s="5"/>
      <c r="E257" s="9"/>
      <c r="F257" s="9"/>
      <c r="G257" s="10"/>
      <c r="H257" s="11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7"/>
      <c r="B258" s="7"/>
      <c r="C258" s="5"/>
      <c r="D258" s="5"/>
      <c r="E258" s="9"/>
      <c r="F258" s="9"/>
      <c r="G258" s="10"/>
      <c r="H258" s="11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7"/>
      <c r="B259" s="7"/>
      <c r="C259" s="5"/>
      <c r="D259" s="5"/>
      <c r="E259" s="9"/>
      <c r="F259" s="9"/>
      <c r="G259" s="10"/>
      <c r="H259" s="11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7"/>
      <c r="B260" s="7"/>
      <c r="C260" s="5"/>
      <c r="D260" s="5"/>
      <c r="E260" s="9"/>
      <c r="F260" s="9"/>
      <c r="G260" s="10"/>
      <c r="H260" s="11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7"/>
      <c r="B261" s="7"/>
      <c r="C261" s="5"/>
      <c r="D261" s="5"/>
      <c r="E261" s="9"/>
      <c r="F261" s="9"/>
      <c r="G261" s="10"/>
      <c r="H261" s="11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7"/>
      <c r="B262" s="7"/>
      <c r="C262" s="5"/>
      <c r="D262" s="5"/>
      <c r="E262" s="9"/>
      <c r="F262" s="9"/>
      <c r="G262" s="10"/>
      <c r="H262" s="11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7"/>
      <c r="B263" s="7"/>
      <c r="C263" s="5"/>
      <c r="D263" s="5"/>
      <c r="E263" s="9"/>
      <c r="F263" s="9"/>
      <c r="G263" s="10"/>
      <c r="H263" s="11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7"/>
      <c r="B264" s="7"/>
      <c r="C264" s="5"/>
      <c r="D264" s="5"/>
      <c r="E264" s="9"/>
      <c r="F264" s="9"/>
      <c r="G264" s="10"/>
      <c r="H264" s="11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7"/>
      <c r="B265" s="7"/>
      <c r="C265" s="5"/>
      <c r="D265" s="5"/>
      <c r="E265" s="9"/>
      <c r="F265" s="9"/>
      <c r="G265" s="10"/>
      <c r="H265" s="11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7"/>
      <c r="B266" s="7"/>
      <c r="C266" s="5"/>
      <c r="D266" s="5"/>
      <c r="E266" s="9"/>
      <c r="F266" s="9"/>
      <c r="G266" s="10"/>
      <c r="H266" s="11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7"/>
      <c r="B267" s="7"/>
      <c r="C267" s="5"/>
      <c r="D267" s="5"/>
      <c r="E267" s="9"/>
      <c r="F267" s="9"/>
      <c r="G267" s="10"/>
      <c r="H267" s="11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7"/>
      <c r="B268" s="7"/>
      <c r="C268" s="5"/>
      <c r="D268" s="5"/>
      <c r="E268" s="9"/>
      <c r="F268" s="9"/>
      <c r="G268" s="10"/>
      <c r="H268" s="11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7"/>
      <c r="B269" s="7"/>
      <c r="C269" s="5"/>
      <c r="D269" s="5"/>
      <c r="E269" s="9"/>
      <c r="F269" s="9"/>
      <c r="G269" s="10"/>
      <c r="H269" s="11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7"/>
      <c r="B270" s="7"/>
      <c r="C270" s="5"/>
      <c r="D270" s="5"/>
      <c r="E270" s="9"/>
      <c r="F270" s="9"/>
      <c r="G270" s="10"/>
      <c r="H270" s="11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7"/>
      <c r="B271" s="7"/>
      <c r="C271" s="5"/>
      <c r="D271" s="5"/>
      <c r="E271" s="9"/>
      <c r="F271" s="9"/>
      <c r="G271" s="10"/>
      <c r="H271" s="11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7"/>
      <c r="B272" s="7"/>
      <c r="C272" s="5"/>
      <c r="D272" s="5"/>
      <c r="E272" s="9"/>
      <c r="F272" s="9"/>
      <c r="G272" s="10"/>
      <c r="H272" s="11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7"/>
      <c r="B273" s="7"/>
      <c r="C273" s="5"/>
      <c r="D273" s="5"/>
      <c r="E273" s="9"/>
      <c r="F273" s="9"/>
      <c r="G273" s="10"/>
      <c r="H273" s="11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7"/>
      <c r="B274" s="7"/>
      <c r="C274" s="5"/>
      <c r="D274" s="5"/>
      <c r="E274" s="9"/>
      <c r="F274" s="9"/>
      <c r="G274" s="10"/>
      <c r="H274" s="11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7"/>
      <c r="B275" s="7"/>
      <c r="C275" s="5"/>
      <c r="D275" s="5"/>
      <c r="E275" s="9"/>
      <c r="F275" s="9"/>
      <c r="G275" s="10"/>
      <c r="H275" s="11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7"/>
      <c r="B276" s="7"/>
      <c r="C276" s="5"/>
      <c r="D276" s="5"/>
      <c r="E276" s="9"/>
      <c r="F276" s="9"/>
      <c r="G276" s="10"/>
      <c r="H276" s="11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7"/>
      <c r="B277" s="7"/>
      <c r="C277" s="5"/>
      <c r="D277" s="5"/>
      <c r="E277" s="9"/>
      <c r="F277" s="9"/>
      <c r="G277" s="10"/>
      <c r="H277" s="11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7"/>
      <c r="B278" s="7"/>
      <c r="C278" s="5"/>
      <c r="D278" s="5"/>
      <c r="E278" s="9"/>
      <c r="F278" s="9"/>
      <c r="G278" s="10"/>
      <c r="H278" s="11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7"/>
      <c r="B279" s="7"/>
      <c r="C279" s="5"/>
      <c r="D279" s="5"/>
      <c r="E279" s="9"/>
      <c r="F279" s="9"/>
      <c r="G279" s="10"/>
      <c r="H279" s="11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7"/>
      <c r="B280" s="7"/>
      <c r="C280" s="5"/>
      <c r="D280" s="5"/>
      <c r="E280" s="9"/>
      <c r="F280" s="9"/>
      <c r="G280" s="10"/>
      <c r="H280" s="11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7"/>
      <c r="B281" s="7"/>
      <c r="C281" s="5"/>
      <c r="D281" s="5"/>
      <c r="E281" s="9"/>
      <c r="F281" s="9"/>
      <c r="G281" s="10"/>
      <c r="H281" s="11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7"/>
      <c r="B282" s="7"/>
      <c r="C282" s="5"/>
      <c r="D282" s="5"/>
      <c r="E282" s="9"/>
      <c r="F282" s="9"/>
      <c r="G282" s="10"/>
      <c r="H282" s="11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7"/>
      <c r="B283" s="7"/>
      <c r="C283" s="5"/>
      <c r="D283" s="5"/>
      <c r="E283" s="9"/>
      <c r="F283" s="9"/>
      <c r="G283" s="10"/>
      <c r="H283" s="11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7"/>
      <c r="B284" s="7"/>
      <c r="C284" s="5"/>
      <c r="D284" s="5"/>
      <c r="E284" s="9"/>
      <c r="F284" s="9"/>
      <c r="G284" s="10"/>
      <c r="H284" s="11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7"/>
      <c r="B285" s="7"/>
      <c r="C285" s="5"/>
      <c r="D285" s="5"/>
      <c r="E285" s="9"/>
      <c r="F285" s="9"/>
      <c r="G285" s="10"/>
      <c r="H285" s="11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7"/>
      <c r="B286" s="7"/>
      <c r="C286" s="5"/>
      <c r="D286" s="5"/>
      <c r="E286" s="9"/>
      <c r="F286" s="9"/>
      <c r="G286" s="10"/>
      <c r="H286" s="11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7"/>
      <c r="B287" s="7"/>
      <c r="C287" s="5"/>
      <c r="D287" s="5"/>
      <c r="E287" s="9"/>
      <c r="F287" s="9"/>
      <c r="G287" s="10"/>
      <c r="H287" s="11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7"/>
      <c r="B288" s="7"/>
      <c r="C288" s="5"/>
      <c r="D288" s="5"/>
      <c r="E288" s="9"/>
      <c r="F288" s="9"/>
      <c r="G288" s="10"/>
      <c r="H288" s="11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7"/>
      <c r="B289" s="7"/>
      <c r="C289" s="5"/>
      <c r="D289" s="5"/>
      <c r="E289" s="9"/>
      <c r="F289" s="9"/>
      <c r="G289" s="10"/>
      <c r="H289" s="11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7"/>
      <c r="B290" s="7"/>
      <c r="C290" s="5"/>
      <c r="D290" s="5"/>
      <c r="E290" s="9"/>
      <c r="F290" s="9"/>
      <c r="G290" s="10"/>
      <c r="H290" s="11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7"/>
      <c r="B291" s="7"/>
      <c r="C291" s="5"/>
      <c r="D291" s="5"/>
      <c r="E291" s="9"/>
      <c r="F291" s="9"/>
      <c r="G291" s="10"/>
      <c r="H291" s="11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7"/>
      <c r="B292" s="7"/>
      <c r="C292" s="5"/>
      <c r="D292" s="5"/>
      <c r="E292" s="9"/>
      <c r="F292" s="9"/>
      <c r="G292" s="10"/>
      <c r="H292" s="11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7"/>
      <c r="B293" s="7"/>
      <c r="C293" s="5"/>
      <c r="D293" s="5"/>
      <c r="E293" s="9"/>
      <c r="F293" s="9"/>
      <c r="G293" s="10"/>
      <c r="H293" s="11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7"/>
      <c r="B294" s="7"/>
      <c r="C294" s="5"/>
      <c r="D294" s="5"/>
      <c r="E294" s="9"/>
      <c r="F294" s="9"/>
      <c r="G294" s="10"/>
      <c r="H294" s="11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7"/>
      <c r="B295" s="7"/>
      <c r="C295" s="5"/>
      <c r="D295" s="5"/>
      <c r="E295" s="9"/>
      <c r="F295" s="9"/>
      <c r="G295" s="10"/>
      <c r="H295" s="11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7"/>
      <c r="B296" s="7"/>
      <c r="C296" s="5"/>
      <c r="D296" s="5"/>
      <c r="E296" s="9"/>
      <c r="F296" s="9"/>
      <c r="G296" s="10"/>
      <c r="H296" s="11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7"/>
      <c r="B297" s="7"/>
      <c r="C297" s="5"/>
      <c r="D297" s="5"/>
      <c r="E297" s="9"/>
      <c r="F297" s="9"/>
      <c r="G297" s="10"/>
      <c r="H297" s="11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7"/>
      <c r="B298" s="7"/>
      <c r="C298" s="5"/>
      <c r="D298" s="5"/>
      <c r="E298" s="9"/>
      <c r="F298" s="9"/>
      <c r="G298" s="10"/>
      <c r="H298" s="11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7"/>
      <c r="B299" s="7"/>
      <c r="C299" s="5"/>
      <c r="D299" s="5"/>
      <c r="E299" s="9"/>
      <c r="F299" s="9"/>
      <c r="G299" s="10"/>
      <c r="H299" s="11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7"/>
      <c r="B300" s="7"/>
      <c r="C300" s="5"/>
      <c r="D300" s="5"/>
      <c r="E300" s="9"/>
      <c r="F300" s="9"/>
      <c r="G300" s="10"/>
      <c r="H300" s="11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7"/>
      <c r="B301" s="7"/>
      <c r="C301" s="5"/>
      <c r="D301" s="5"/>
      <c r="E301" s="9"/>
      <c r="F301" s="9"/>
      <c r="G301" s="10"/>
      <c r="H301" s="11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7"/>
      <c r="B302" s="7"/>
      <c r="C302" s="5"/>
      <c r="D302" s="5"/>
      <c r="E302" s="9"/>
      <c r="F302" s="9"/>
      <c r="G302" s="10"/>
      <c r="H302" s="11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7"/>
      <c r="B303" s="7"/>
      <c r="C303" s="5"/>
      <c r="D303" s="5"/>
      <c r="E303" s="9"/>
      <c r="F303" s="9"/>
      <c r="G303" s="10"/>
      <c r="H303" s="11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7"/>
      <c r="B304" s="7"/>
      <c r="C304" s="5"/>
      <c r="D304" s="5"/>
      <c r="E304" s="9"/>
      <c r="F304" s="9"/>
      <c r="G304" s="10"/>
      <c r="H304" s="11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7"/>
      <c r="B305" s="7"/>
      <c r="C305" s="5"/>
      <c r="D305" s="5"/>
      <c r="E305" s="9"/>
      <c r="F305" s="9"/>
      <c r="G305" s="10"/>
      <c r="H305" s="11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7"/>
      <c r="B306" s="7"/>
      <c r="C306" s="5"/>
      <c r="D306" s="5"/>
      <c r="E306" s="9"/>
      <c r="F306" s="9"/>
      <c r="G306" s="10"/>
      <c r="H306" s="11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7"/>
      <c r="B307" s="7"/>
      <c r="C307" s="5"/>
      <c r="D307" s="5"/>
      <c r="E307" s="9"/>
      <c r="F307" s="9"/>
      <c r="G307" s="10"/>
      <c r="H307" s="11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7"/>
      <c r="B308" s="7"/>
      <c r="C308" s="5"/>
      <c r="D308" s="5"/>
      <c r="E308" s="9"/>
      <c r="F308" s="9"/>
      <c r="G308" s="10"/>
      <c r="H308" s="11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7"/>
      <c r="B309" s="7"/>
      <c r="C309" s="5"/>
      <c r="D309" s="5"/>
      <c r="E309" s="9"/>
      <c r="F309" s="9"/>
      <c r="G309" s="10"/>
      <c r="H309" s="11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7"/>
      <c r="B310" s="7"/>
      <c r="C310" s="5"/>
      <c r="D310" s="5"/>
      <c r="E310" s="9"/>
      <c r="F310" s="9"/>
      <c r="G310" s="10"/>
      <c r="H310" s="11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7"/>
      <c r="B311" s="7"/>
      <c r="C311" s="5"/>
      <c r="D311" s="5"/>
      <c r="E311" s="9"/>
      <c r="F311" s="9"/>
      <c r="G311" s="10"/>
      <c r="H311" s="11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7"/>
      <c r="B312" s="7"/>
      <c r="C312" s="5"/>
      <c r="D312" s="5"/>
      <c r="E312" s="9"/>
      <c r="F312" s="9"/>
      <c r="G312" s="10"/>
      <c r="H312" s="11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7"/>
      <c r="B313" s="7"/>
      <c r="C313" s="5"/>
      <c r="D313" s="5"/>
      <c r="E313" s="9"/>
      <c r="F313" s="9"/>
      <c r="G313" s="10"/>
      <c r="H313" s="11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7"/>
      <c r="B314" s="7"/>
      <c r="C314" s="5"/>
      <c r="D314" s="5"/>
      <c r="E314" s="9"/>
      <c r="F314" s="9"/>
      <c r="G314" s="10"/>
      <c r="H314" s="11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7"/>
      <c r="B315" s="7"/>
      <c r="C315" s="5"/>
      <c r="D315" s="5"/>
      <c r="E315" s="9"/>
      <c r="F315" s="9"/>
      <c r="G315" s="10"/>
      <c r="H315" s="11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7"/>
      <c r="B316" s="7"/>
      <c r="C316" s="5"/>
      <c r="D316" s="5"/>
      <c r="E316" s="9"/>
      <c r="F316" s="9"/>
      <c r="G316" s="10"/>
      <c r="H316" s="11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7"/>
      <c r="B317" s="7"/>
      <c r="C317" s="5"/>
      <c r="D317" s="5"/>
      <c r="E317" s="9"/>
      <c r="F317" s="9"/>
      <c r="G317" s="10"/>
      <c r="H317" s="11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7"/>
      <c r="B318" s="7"/>
      <c r="C318" s="5"/>
      <c r="D318" s="5"/>
      <c r="E318" s="9"/>
      <c r="F318" s="9"/>
      <c r="G318" s="10"/>
      <c r="H318" s="11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7"/>
      <c r="B319" s="7"/>
      <c r="C319" s="5"/>
      <c r="D319" s="5"/>
      <c r="E319" s="9"/>
      <c r="F319" s="9"/>
      <c r="G319" s="10"/>
      <c r="H319" s="11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7"/>
      <c r="B320" s="7"/>
      <c r="C320" s="5"/>
      <c r="D320" s="5"/>
      <c r="E320" s="9"/>
      <c r="F320" s="9"/>
      <c r="G320" s="10"/>
      <c r="H320" s="11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7"/>
      <c r="B321" s="7"/>
      <c r="C321" s="5"/>
      <c r="D321" s="5"/>
      <c r="E321" s="9"/>
      <c r="F321" s="9"/>
      <c r="G321" s="10"/>
      <c r="H321" s="11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7"/>
      <c r="B322" s="7"/>
      <c r="C322" s="5"/>
      <c r="D322" s="5"/>
      <c r="E322" s="9"/>
      <c r="F322" s="9"/>
      <c r="G322" s="10"/>
      <c r="H322" s="11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7"/>
      <c r="B323" s="7"/>
      <c r="C323" s="5"/>
      <c r="D323" s="5"/>
      <c r="E323" s="9"/>
      <c r="F323" s="9"/>
      <c r="G323" s="10"/>
      <c r="H323" s="11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7"/>
      <c r="B324" s="7"/>
      <c r="C324" s="5"/>
      <c r="D324" s="5"/>
      <c r="E324" s="9"/>
      <c r="F324" s="9"/>
      <c r="G324" s="10"/>
      <c r="H324" s="11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7"/>
      <c r="B325" s="7"/>
      <c r="C325" s="5"/>
      <c r="D325" s="5"/>
      <c r="E325" s="9"/>
      <c r="F325" s="9"/>
      <c r="G325" s="10"/>
      <c r="H325" s="11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7"/>
      <c r="B326" s="7"/>
      <c r="C326" s="5"/>
      <c r="D326" s="5"/>
      <c r="E326" s="9"/>
      <c r="F326" s="9"/>
      <c r="G326" s="10"/>
      <c r="H326" s="11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7"/>
      <c r="B327" s="7"/>
      <c r="C327" s="5"/>
      <c r="D327" s="5"/>
      <c r="E327" s="9"/>
      <c r="F327" s="9"/>
      <c r="G327" s="10"/>
      <c r="H327" s="11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7"/>
      <c r="B328" s="7"/>
      <c r="C328" s="5"/>
      <c r="D328" s="5"/>
      <c r="E328" s="9"/>
      <c r="F328" s="9"/>
      <c r="G328" s="10"/>
      <c r="H328" s="11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7"/>
      <c r="B329" s="7"/>
      <c r="C329" s="5"/>
      <c r="D329" s="5"/>
      <c r="E329" s="9"/>
      <c r="F329" s="9"/>
      <c r="G329" s="10"/>
      <c r="H329" s="11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7"/>
      <c r="B330" s="7"/>
      <c r="C330" s="5"/>
      <c r="D330" s="5"/>
      <c r="E330" s="9"/>
      <c r="F330" s="9"/>
      <c r="G330" s="10"/>
      <c r="H330" s="11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7"/>
      <c r="B331" s="7"/>
      <c r="C331" s="5"/>
      <c r="D331" s="5"/>
      <c r="E331" s="9"/>
      <c r="F331" s="9"/>
      <c r="G331" s="10"/>
      <c r="H331" s="11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7"/>
      <c r="B332" s="7"/>
      <c r="C332" s="5"/>
      <c r="D332" s="5"/>
      <c r="E332" s="9"/>
      <c r="F332" s="9"/>
      <c r="G332" s="10"/>
      <c r="H332" s="11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7"/>
      <c r="B333" s="7"/>
      <c r="C333" s="5"/>
      <c r="D333" s="5"/>
      <c r="E333" s="9"/>
      <c r="F333" s="9"/>
      <c r="G333" s="10"/>
      <c r="H333" s="11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7"/>
      <c r="B334" s="7"/>
      <c r="C334" s="5"/>
      <c r="D334" s="5"/>
      <c r="E334" s="9"/>
      <c r="F334" s="9"/>
      <c r="G334" s="10"/>
      <c r="H334" s="11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7"/>
      <c r="B335" s="7"/>
      <c r="C335" s="5"/>
      <c r="D335" s="5"/>
      <c r="E335" s="9"/>
      <c r="F335" s="9"/>
      <c r="G335" s="10"/>
      <c r="H335" s="11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7"/>
      <c r="B336" s="7"/>
      <c r="C336" s="5"/>
      <c r="D336" s="5"/>
      <c r="E336" s="9"/>
      <c r="F336" s="9"/>
      <c r="G336" s="10"/>
      <c r="H336" s="11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7"/>
      <c r="B337" s="7"/>
      <c r="C337" s="5"/>
      <c r="D337" s="5"/>
      <c r="E337" s="9"/>
      <c r="F337" s="9"/>
      <c r="G337" s="10"/>
      <c r="H337" s="11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7"/>
      <c r="B338" s="7"/>
      <c r="C338" s="5"/>
      <c r="D338" s="5"/>
      <c r="E338" s="9"/>
      <c r="F338" s="9"/>
      <c r="G338" s="10"/>
      <c r="H338" s="11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7"/>
      <c r="B339" s="7"/>
      <c r="C339" s="5"/>
      <c r="D339" s="5"/>
      <c r="E339" s="9"/>
      <c r="F339" s="9"/>
      <c r="G339" s="10"/>
      <c r="H339" s="11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7"/>
      <c r="B340" s="7"/>
      <c r="C340" s="5"/>
      <c r="D340" s="5"/>
      <c r="E340" s="9"/>
      <c r="F340" s="9"/>
      <c r="G340" s="10"/>
      <c r="H340" s="11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7"/>
      <c r="B341" s="7"/>
      <c r="C341" s="5"/>
      <c r="D341" s="5"/>
      <c r="E341" s="9"/>
      <c r="F341" s="9"/>
      <c r="G341" s="10"/>
      <c r="H341" s="11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7"/>
      <c r="B342" s="7"/>
      <c r="C342" s="5"/>
      <c r="D342" s="5"/>
      <c r="E342" s="9"/>
      <c r="F342" s="9"/>
      <c r="G342" s="10"/>
      <c r="H342" s="11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7"/>
      <c r="B343" s="7"/>
      <c r="C343" s="5"/>
      <c r="D343" s="5"/>
      <c r="E343" s="9"/>
      <c r="F343" s="9"/>
      <c r="G343" s="10"/>
      <c r="H343" s="11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7"/>
      <c r="B344" s="7"/>
      <c r="C344" s="5"/>
      <c r="D344" s="5"/>
      <c r="E344" s="9"/>
      <c r="F344" s="9"/>
      <c r="G344" s="10"/>
      <c r="H344" s="11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7"/>
      <c r="B345" s="7"/>
      <c r="C345" s="5"/>
      <c r="D345" s="5"/>
      <c r="E345" s="9"/>
      <c r="F345" s="9"/>
      <c r="G345" s="10"/>
      <c r="H345" s="11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7"/>
      <c r="B346" s="7"/>
      <c r="C346" s="5"/>
      <c r="D346" s="5"/>
      <c r="E346" s="9"/>
      <c r="F346" s="9"/>
      <c r="G346" s="10"/>
      <c r="H346" s="11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7"/>
      <c r="B347" s="7"/>
      <c r="C347" s="5"/>
      <c r="D347" s="5"/>
      <c r="E347" s="9"/>
      <c r="F347" s="9"/>
      <c r="G347" s="10"/>
      <c r="H347" s="11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7"/>
      <c r="B348" s="7"/>
      <c r="C348" s="5"/>
      <c r="D348" s="5"/>
      <c r="E348" s="9"/>
      <c r="F348" s="9"/>
      <c r="G348" s="10"/>
      <c r="H348" s="11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7"/>
      <c r="B349" s="7"/>
      <c r="C349" s="5"/>
      <c r="D349" s="5"/>
      <c r="E349" s="9"/>
      <c r="F349" s="9"/>
      <c r="G349" s="10"/>
      <c r="H349" s="11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7"/>
      <c r="B350" s="7"/>
      <c r="C350" s="5"/>
      <c r="D350" s="5"/>
      <c r="E350" s="9"/>
      <c r="F350" s="9"/>
      <c r="G350" s="10"/>
      <c r="H350" s="11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7"/>
      <c r="B351" s="7"/>
      <c r="C351" s="5"/>
      <c r="D351" s="5"/>
      <c r="E351" s="9"/>
      <c r="F351" s="9"/>
      <c r="G351" s="10"/>
      <c r="H351" s="11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7"/>
      <c r="B352" s="7"/>
      <c r="C352" s="5"/>
      <c r="D352" s="5"/>
      <c r="E352" s="9"/>
      <c r="F352" s="9"/>
      <c r="G352" s="10"/>
      <c r="H352" s="11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7"/>
      <c r="B353" s="7"/>
      <c r="C353" s="5"/>
      <c r="D353" s="5"/>
      <c r="E353" s="9"/>
      <c r="F353" s="9"/>
      <c r="G353" s="10"/>
      <c r="H353" s="11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7"/>
      <c r="B354" s="7"/>
      <c r="C354" s="5"/>
      <c r="D354" s="5"/>
      <c r="E354" s="9"/>
      <c r="F354" s="9"/>
      <c r="G354" s="10"/>
      <c r="H354" s="11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7"/>
      <c r="B355" s="7"/>
      <c r="C355" s="5"/>
      <c r="D355" s="5"/>
      <c r="E355" s="9"/>
      <c r="F355" s="9"/>
      <c r="G355" s="10"/>
      <c r="H355" s="11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7"/>
      <c r="B356" s="7"/>
      <c r="C356" s="5"/>
      <c r="D356" s="5"/>
      <c r="E356" s="9"/>
      <c r="F356" s="9"/>
      <c r="G356" s="10"/>
      <c r="H356" s="11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7"/>
      <c r="B357" s="7"/>
      <c r="C357" s="5"/>
      <c r="D357" s="5"/>
      <c r="E357" s="9"/>
      <c r="F357" s="9"/>
      <c r="G357" s="10"/>
      <c r="H357" s="11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7"/>
      <c r="B358" s="7"/>
      <c r="C358" s="5"/>
      <c r="D358" s="5"/>
      <c r="E358" s="9"/>
      <c r="F358" s="9"/>
      <c r="G358" s="10"/>
      <c r="H358" s="11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7"/>
      <c r="B359" s="7"/>
      <c r="C359" s="5"/>
      <c r="D359" s="5"/>
      <c r="E359" s="9"/>
      <c r="F359" s="9"/>
      <c r="G359" s="10"/>
      <c r="H359" s="11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7"/>
      <c r="B360" s="7"/>
      <c r="C360" s="5"/>
      <c r="D360" s="5"/>
      <c r="E360" s="9"/>
      <c r="F360" s="9"/>
      <c r="G360" s="10"/>
      <c r="H360" s="11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7"/>
      <c r="B361" s="7"/>
      <c r="C361" s="5"/>
      <c r="D361" s="5"/>
      <c r="E361" s="9"/>
      <c r="F361" s="9"/>
      <c r="G361" s="10"/>
      <c r="H361" s="11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7"/>
      <c r="B362" s="7"/>
      <c r="C362" s="5"/>
      <c r="D362" s="5"/>
      <c r="E362" s="9"/>
      <c r="F362" s="9"/>
      <c r="G362" s="10"/>
      <c r="H362" s="11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7"/>
      <c r="B363" s="7"/>
      <c r="C363" s="5"/>
      <c r="D363" s="5"/>
      <c r="E363" s="9"/>
      <c r="F363" s="9"/>
      <c r="G363" s="10"/>
      <c r="H363" s="11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7"/>
      <c r="B364" s="7"/>
      <c r="C364" s="5"/>
      <c r="D364" s="5"/>
      <c r="E364" s="9"/>
      <c r="F364" s="9"/>
      <c r="G364" s="10"/>
      <c r="H364" s="11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7"/>
      <c r="B365" s="7"/>
      <c r="C365" s="5"/>
      <c r="D365" s="5"/>
      <c r="E365" s="9"/>
      <c r="F365" s="9"/>
      <c r="G365" s="10"/>
      <c r="H365" s="11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7"/>
      <c r="B366" s="7"/>
      <c r="C366" s="5"/>
      <c r="D366" s="5"/>
      <c r="E366" s="9"/>
      <c r="F366" s="9"/>
      <c r="G366" s="10"/>
      <c r="H366" s="11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7"/>
      <c r="B367" s="7"/>
      <c r="C367" s="5"/>
      <c r="D367" s="5"/>
      <c r="E367" s="9"/>
      <c r="F367" s="9"/>
      <c r="G367" s="10"/>
      <c r="H367" s="11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7"/>
      <c r="B368" s="7"/>
      <c r="C368" s="5"/>
      <c r="D368" s="5"/>
      <c r="E368" s="9"/>
      <c r="F368" s="9"/>
      <c r="G368" s="10"/>
      <c r="H368" s="11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7"/>
      <c r="B369" s="7"/>
      <c r="C369" s="5"/>
      <c r="D369" s="5"/>
      <c r="E369" s="9"/>
      <c r="F369" s="9"/>
      <c r="G369" s="10"/>
      <c r="H369" s="11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7"/>
      <c r="B370" s="7"/>
      <c r="C370" s="5"/>
      <c r="D370" s="5"/>
      <c r="E370" s="9"/>
      <c r="F370" s="9"/>
      <c r="G370" s="10"/>
      <c r="H370" s="11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7"/>
      <c r="B371" s="7"/>
      <c r="C371" s="5"/>
      <c r="D371" s="5"/>
      <c r="E371" s="9"/>
      <c r="F371" s="9"/>
      <c r="G371" s="10"/>
      <c r="H371" s="11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7"/>
      <c r="B372" s="7"/>
      <c r="C372" s="5"/>
      <c r="D372" s="5"/>
      <c r="E372" s="9"/>
      <c r="F372" s="9"/>
      <c r="G372" s="10"/>
      <c r="H372" s="11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7"/>
      <c r="B373" s="7"/>
      <c r="C373" s="5"/>
      <c r="D373" s="5"/>
      <c r="E373" s="9"/>
      <c r="F373" s="9"/>
      <c r="G373" s="10"/>
      <c r="H373" s="11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7"/>
      <c r="B374" s="7"/>
      <c r="C374" s="5"/>
      <c r="D374" s="5"/>
      <c r="E374" s="9"/>
      <c r="F374" s="9"/>
      <c r="G374" s="10"/>
      <c r="H374" s="11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7"/>
      <c r="B375" s="7"/>
      <c r="C375" s="5"/>
      <c r="D375" s="5"/>
      <c r="E375" s="9"/>
      <c r="F375" s="9"/>
      <c r="G375" s="10"/>
      <c r="H375" s="11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7"/>
      <c r="B376" s="7"/>
      <c r="C376" s="5"/>
      <c r="D376" s="5"/>
      <c r="E376" s="9"/>
      <c r="F376" s="9"/>
      <c r="G376" s="10"/>
      <c r="H376" s="11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7"/>
      <c r="B377" s="7"/>
      <c r="C377" s="5"/>
      <c r="D377" s="5"/>
      <c r="E377" s="9"/>
      <c r="F377" s="9"/>
      <c r="G377" s="10"/>
      <c r="H377" s="11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7"/>
      <c r="B378" s="7"/>
      <c r="C378" s="5"/>
      <c r="D378" s="5"/>
      <c r="E378" s="9"/>
      <c r="F378" s="9"/>
      <c r="G378" s="10"/>
      <c r="H378" s="11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7"/>
      <c r="B379" s="7"/>
      <c r="C379" s="5"/>
      <c r="D379" s="5"/>
      <c r="E379" s="9"/>
      <c r="F379" s="9"/>
      <c r="G379" s="10"/>
      <c r="H379" s="11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7"/>
      <c r="B380" s="7"/>
      <c r="C380" s="5"/>
      <c r="D380" s="5"/>
      <c r="E380" s="9"/>
      <c r="F380" s="9"/>
      <c r="G380" s="10"/>
      <c r="H380" s="11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7"/>
      <c r="B381" s="7"/>
      <c r="C381" s="5"/>
      <c r="D381" s="5"/>
      <c r="E381" s="9"/>
      <c r="F381" s="9"/>
      <c r="G381" s="10"/>
      <c r="H381" s="11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7"/>
      <c r="B382" s="7"/>
      <c r="C382" s="5"/>
      <c r="D382" s="5"/>
      <c r="E382" s="9"/>
      <c r="F382" s="9"/>
      <c r="G382" s="10"/>
      <c r="H382" s="11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7"/>
      <c r="B383" s="7"/>
      <c r="C383" s="5"/>
      <c r="D383" s="5"/>
      <c r="E383" s="9"/>
      <c r="F383" s="9"/>
      <c r="G383" s="10"/>
      <c r="H383" s="11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7"/>
      <c r="B384" s="7"/>
      <c r="C384" s="5"/>
      <c r="D384" s="5"/>
      <c r="E384" s="9"/>
      <c r="F384" s="9"/>
      <c r="G384" s="10"/>
      <c r="H384" s="11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7"/>
      <c r="B385" s="7"/>
      <c r="C385" s="5"/>
      <c r="D385" s="5"/>
      <c r="E385" s="9"/>
      <c r="F385" s="9"/>
      <c r="G385" s="10"/>
      <c r="H385" s="11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7"/>
      <c r="B386" s="7"/>
      <c r="C386" s="5"/>
      <c r="D386" s="5"/>
      <c r="E386" s="9"/>
      <c r="F386" s="9"/>
      <c r="G386" s="10"/>
      <c r="H386" s="11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7"/>
      <c r="B387" s="7"/>
      <c r="C387" s="5"/>
      <c r="D387" s="5"/>
      <c r="E387" s="9"/>
      <c r="F387" s="9"/>
      <c r="G387" s="10"/>
      <c r="H387" s="11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7"/>
      <c r="B388" s="7"/>
      <c r="C388" s="5"/>
      <c r="D388" s="5"/>
      <c r="E388" s="9"/>
      <c r="F388" s="9"/>
      <c r="G388" s="10"/>
      <c r="H388" s="11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7"/>
      <c r="B389" s="7"/>
      <c r="C389" s="5"/>
      <c r="D389" s="5"/>
      <c r="E389" s="9"/>
      <c r="F389" s="9"/>
      <c r="G389" s="10"/>
      <c r="H389" s="11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7"/>
      <c r="B390" s="7"/>
      <c r="C390" s="5"/>
      <c r="D390" s="5"/>
      <c r="E390" s="9"/>
      <c r="F390" s="9"/>
      <c r="G390" s="10"/>
      <c r="H390" s="11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7"/>
      <c r="B391" s="7"/>
      <c r="C391" s="5"/>
      <c r="D391" s="5"/>
      <c r="E391" s="9"/>
      <c r="F391" s="9"/>
      <c r="G391" s="10"/>
      <c r="H391" s="11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7"/>
      <c r="B392" s="7"/>
      <c r="C392" s="5"/>
      <c r="D392" s="5"/>
      <c r="E392" s="9"/>
      <c r="F392" s="9"/>
      <c r="G392" s="10"/>
      <c r="H392" s="11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7"/>
      <c r="B393" s="7"/>
      <c r="C393" s="5"/>
      <c r="D393" s="5"/>
      <c r="E393" s="9"/>
      <c r="F393" s="9"/>
      <c r="G393" s="10"/>
      <c r="H393" s="11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7"/>
      <c r="B394" s="7"/>
      <c r="C394" s="5"/>
      <c r="D394" s="5"/>
      <c r="E394" s="9"/>
      <c r="F394" s="9"/>
      <c r="G394" s="10"/>
      <c r="H394" s="11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7"/>
      <c r="B395" s="7"/>
      <c r="C395" s="5"/>
      <c r="D395" s="5"/>
      <c r="E395" s="9"/>
      <c r="F395" s="9"/>
      <c r="G395" s="10"/>
      <c r="H395" s="11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7"/>
      <c r="B396" s="7"/>
      <c r="C396" s="5"/>
      <c r="D396" s="5"/>
      <c r="E396" s="9"/>
      <c r="F396" s="9"/>
      <c r="G396" s="10"/>
      <c r="H396" s="11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7"/>
      <c r="B397" s="7"/>
      <c r="C397" s="5"/>
      <c r="D397" s="5"/>
      <c r="E397" s="9"/>
      <c r="F397" s="9"/>
      <c r="G397" s="10"/>
      <c r="H397" s="11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7"/>
      <c r="B398" s="7"/>
      <c r="C398" s="5"/>
      <c r="D398" s="5"/>
      <c r="E398" s="9"/>
      <c r="F398" s="9"/>
      <c r="G398" s="10"/>
      <c r="H398" s="11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7"/>
      <c r="B399" s="7"/>
      <c r="C399" s="5"/>
      <c r="D399" s="5"/>
      <c r="E399" s="9"/>
      <c r="F399" s="9"/>
      <c r="G399" s="10"/>
      <c r="H399" s="11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7"/>
      <c r="B400" s="7"/>
      <c r="C400" s="5"/>
      <c r="D400" s="5"/>
      <c r="E400" s="9"/>
      <c r="F400" s="9"/>
      <c r="G400" s="10"/>
      <c r="H400" s="11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7"/>
      <c r="B401" s="7"/>
      <c r="C401" s="5"/>
      <c r="D401" s="5"/>
      <c r="E401" s="9"/>
      <c r="F401" s="9"/>
      <c r="G401" s="10"/>
      <c r="H401" s="11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7"/>
      <c r="B402" s="7"/>
      <c r="C402" s="5"/>
      <c r="D402" s="5"/>
      <c r="E402" s="9"/>
      <c r="F402" s="9"/>
      <c r="G402" s="10"/>
      <c r="H402" s="11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7"/>
      <c r="B403" s="7"/>
      <c r="C403" s="5"/>
      <c r="D403" s="5"/>
      <c r="E403" s="9"/>
      <c r="F403" s="9"/>
      <c r="G403" s="10"/>
      <c r="H403" s="11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7"/>
      <c r="B404" s="7"/>
      <c r="C404" s="5"/>
      <c r="D404" s="5"/>
      <c r="E404" s="9"/>
      <c r="F404" s="9"/>
      <c r="G404" s="10"/>
      <c r="H404" s="11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7"/>
      <c r="B405" s="7"/>
      <c r="C405" s="5"/>
      <c r="D405" s="5"/>
      <c r="E405" s="9"/>
      <c r="F405" s="9"/>
      <c r="G405" s="10"/>
      <c r="H405" s="11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7"/>
      <c r="B406" s="7"/>
      <c r="C406" s="5"/>
      <c r="D406" s="5"/>
      <c r="E406" s="9"/>
      <c r="F406" s="9"/>
      <c r="G406" s="10"/>
      <c r="H406" s="11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7"/>
      <c r="B407" s="7"/>
      <c r="C407" s="5"/>
      <c r="D407" s="5"/>
      <c r="E407" s="9"/>
      <c r="F407" s="9"/>
      <c r="G407" s="10"/>
      <c r="H407" s="11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7"/>
      <c r="B408" s="7"/>
      <c r="C408" s="5"/>
      <c r="D408" s="5"/>
      <c r="E408" s="9"/>
      <c r="F408" s="9"/>
      <c r="G408" s="10"/>
      <c r="H408" s="11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7"/>
      <c r="B409" s="7"/>
      <c r="C409" s="5"/>
      <c r="D409" s="5"/>
      <c r="E409" s="9"/>
      <c r="F409" s="9"/>
      <c r="G409" s="10"/>
      <c r="H409" s="11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7"/>
      <c r="B410" s="7"/>
      <c r="C410" s="5"/>
      <c r="D410" s="5"/>
      <c r="E410" s="9"/>
      <c r="F410" s="9"/>
      <c r="G410" s="10"/>
      <c r="H410" s="11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7"/>
      <c r="B411" s="7"/>
      <c r="C411" s="5"/>
      <c r="D411" s="5"/>
      <c r="E411" s="9"/>
      <c r="F411" s="9"/>
      <c r="G411" s="10"/>
      <c r="H411" s="11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7"/>
      <c r="B412" s="7"/>
      <c r="C412" s="5"/>
      <c r="D412" s="5"/>
      <c r="E412" s="9"/>
      <c r="F412" s="9"/>
      <c r="G412" s="10"/>
      <c r="H412" s="11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7"/>
      <c r="B413" s="7"/>
      <c r="C413" s="5"/>
      <c r="D413" s="5"/>
      <c r="E413" s="9"/>
      <c r="F413" s="9"/>
      <c r="G413" s="10"/>
      <c r="H413" s="11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7"/>
      <c r="B414" s="7"/>
      <c r="C414" s="5"/>
      <c r="D414" s="5"/>
      <c r="E414" s="9"/>
      <c r="F414" s="9"/>
      <c r="G414" s="10"/>
      <c r="H414" s="11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7"/>
      <c r="B415" s="7"/>
      <c r="C415" s="5"/>
      <c r="D415" s="5"/>
      <c r="E415" s="9"/>
      <c r="F415" s="9"/>
      <c r="G415" s="10"/>
      <c r="H415" s="11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7"/>
      <c r="B416" s="7"/>
      <c r="C416" s="5"/>
      <c r="D416" s="5"/>
      <c r="E416" s="9"/>
      <c r="F416" s="9"/>
      <c r="G416" s="10"/>
      <c r="H416" s="11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7"/>
      <c r="B417" s="7"/>
      <c r="C417" s="5"/>
      <c r="D417" s="5"/>
      <c r="E417" s="9"/>
      <c r="F417" s="9"/>
      <c r="G417" s="10"/>
      <c r="H417" s="11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7"/>
      <c r="B418" s="7"/>
      <c r="C418" s="5"/>
      <c r="D418" s="5"/>
      <c r="E418" s="9"/>
      <c r="F418" s="9"/>
      <c r="G418" s="10"/>
      <c r="H418" s="11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7"/>
      <c r="B419" s="7"/>
      <c r="C419" s="5"/>
      <c r="D419" s="5"/>
      <c r="E419" s="9"/>
      <c r="F419" s="9"/>
      <c r="G419" s="10"/>
      <c r="H419" s="11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7"/>
      <c r="B420" s="7"/>
      <c r="C420" s="5"/>
      <c r="D420" s="5"/>
      <c r="E420" s="9"/>
      <c r="F420" s="9"/>
      <c r="G420" s="10"/>
      <c r="H420" s="11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7"/>
      <c r="B421" s="7"/>
      <c r="C421" s="5"/>
      <c r="D421" s="5"/>
      <c r="E421" s="9"/>
      <c r="F421" s="9"/>
      <c r="G421" s="10"/>
      <c r="H421" s="11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7"/>
      <c r="B422" s="7"/>
      <c r="C422" s="5"/>
      <c r="D422" s="5"/>
      <c r="E422" s="9"/>
      <c r="F422" s="9"/>
      <c r="G422" s="10"/>
      <c r="H422" s="11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7"/>
      <c r="B423" s="7"/>
      <c r="C423" s="5"/>
      <c r="D423" s="5"/>
      <c r="E423" s="9"/>
      <c r="F423" s="9"/>
      <c r="G423" s="10"/>
      <c r="H423" s="11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7"/>
      <c r="B424" s="7"/>
      <c r="C424" s="5"/>
      <c r="D424" s="5"/>
      <c r="E424" s="9"/>
      <c r="F424" s="9"/>
      <c r="G424" s="10"/>
      <c r="H424" s="11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7"/>
      <c r="B425" s="7"/>
      <c r="C425" s="5"/>
      <c r="D425" s="5"/>
      <c r="E425" s="9"/>
      <c r="F425" s="9"/>
      <c r="G425" s="10"/>
      <c r="H425" s="11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7"/>
      <c r="B426" s="7"/>
      <c r="C426" s="5"/>
      <c r="D426" s="5"/>
      <c r="E426" s="9"/>
      <c r="F426" s="9"/>
      <c r="G426" s="10"/>
      <c r="H426" s="11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7"/>
      <c r="B427" s="7"/>
      <c r="C427" s="5"/>
      <c r="D427" s="5"/>
      <c r="E427" s="9"/>
      <c r="F427" s="9"/>
      <c r="G427" s="10"/>
      <c r="H427" s="11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7"/>
      <c r="B428" s="7"/>
      <c r="C428" s="5"/>
      <c r="D428" s="5"/>
      <c r="E428" s="9"/>
      <c r="F428" s="9"/>
      <c r="G428" s="10"/>
      <c r="H428" s="11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7"/>
      <c r="B429" s="7"/>
      <c r="C429" s="5"/>
      <c r="D429" s="5"/>
      <c r="E429" s="9"/>
      <c r="F429" s="9"/>
      <c r="G429" s="10"/>
      <c r="H429" s="11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7"/>
      <c r="B430" s="7"/>
      <c r="C430" s="5"/>
      <c r="D430" s="5"/>
      <c r="E430" s="9"/>
      <c r="F430" s="9"/>
      <c r="G430" s="10"/>
      <c r="H430" s="11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7"/>
      <c r="B431" s="7"/>
      <c r="C431" s="5"/>
      <c r="D431" s="5"/>
      <c r="E431" s="9"/>
      <c r="F431" s="9"/>
      <c r="G431" s="10"/>
      <c r="H431" s="11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7"/>
      <c r="B432" s="7"/>
      <c r="C432" s="5"/>
      <c r="D432" s="5"/>
      <c r="E432" s="9"/>
      <c r="F432" s="9"/>
      <c r="G432" s="10"/>
      <c r="H432" s="11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7"/>
      <c r="B433" s="7"/>
      <c r="C433" s="5"/>
      <c r="D433" s="5"/>
      <c r="E433" s="9"/>
      <c r="F433" s="9"/>
      <c r="G433" s="10"/>
      <c r="H433" s="11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7"/>
      <c r="B434" s="7"/>
      <c r="C434" s="5"/>
      <c r="D434" s="5"/>
      <c r="E434" s="9"/>
      <c r="F434" s="9"/>
      <c r="G434" s="10"/>
      <c r="H434" s="11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7"/>
      <c r="B435" s="7"/>
      <c r="C435" s="5"/>
      <c r="D435" s="5"/>
      <c r="E435" s="9"/>
      <c r="F435" s="9"/>
      <c r="G435" s="10"/>
      <c r="H435" s="11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7"/>
      <c r="B436" s="7"/>
      <c r="C436" s="5"/>
      <c r="D436" s="5"/>
      <c r="E436" s="9"/>
      <c r="F436" s="9"/>
      <c r="G436" s="10"/>
      <c r="H436" s="11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7"/>
      <c r="B437" s="7"/>
      <c r="C437" s="5"/>
      <c r="D437" s="5"/>
      <c r="E437" s="9"/>
      <c r="F437" s="9"/>
      <c r="G437" s="10"/>
      <c r="H437" s="11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7"/>
      <c r="B438" s="7"/>
      <c r="C438" s="5"/>
      <c r="D438" s="5"/>
      <c r="E438" s="9"/>
      <c r="F438" s="9"/>
      <c r="G438" s="10"/>
      <c r="H438" s="11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7"/>
      <c r="B439" s="7"/>
      <c r="C439" s="5"/>
      <c r="D439" s="5"/>
      <c r="E439" s="9"/>
      <c r="F439" s="9"/>
      <c r="G439" s="10"/>
      <c r="H439" s="11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7"/>
      <c r="B440" s="7"/>
      <c r="C440" s="5"/>
      <c r="D440" s="5"/>
      <c r="E440" s="9"/>
      <c r="F440" s="9"/>
      <c r="G440" s="10"/>
      <c r="H440" s="11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7"/>
      <c r="B441" s="7"/>
      <c r="C441" s="5"/>
      <c r="D441" s="5"/>
      <c r="E441" s="9"/>
      <c r="F441" s="9"/>
      <c r="G441" s="10"/>
      <c r="H441" s="11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7"/>
      <c r="B442" s="7"/>
      <c r="C442" s="5"/>
      <c r="D442" s="5"/>
      <c r="E442" s="9"/>
      <c r="F442" s="9"/>
      <c r="G442" s="10"/>
      <c r="H442" s="11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7"/>
      <c r="B443" s="7"/>
      <c r="C443" s="5"/>
      <c r="D443" s="5"/>
      <c r="E443" s="9"/>
      <c r="F443" s="9"/>
      <c r="G443" s="10"/>
      <c r="H443" s="11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7"/>
      <c r="B444" s="7"/>
      <c r="C444" s="5"/>
      <c r="D444" s="5"/>
      <c r="E444" s="9"/>
      <c r="F444" s="9"/>
      <c r="G444" s="10"/>
      <c r="H444" s="11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7"/>
      <c r="B445" s="7"/>
      <c r="C445" s="5"/>
      <c r="D445" s="5"/>
      <c r="E445" s="9"/>
      <c r="F445" s="9"/>
      <c r="G445" s="10"/>
      <c r="H445" s="11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7"/>
      <c r="B446" s="7"/>
      <c r="C446" s="5"/>
      <c r="D446" s="5"/>
      <c r="E446" s="9"/>
      <c r="F446" s="9"/>
      <c r="G446" s="10"/>
      <c r="H446" s="11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7"/>
      <c r="B447" s="7"/>
      <c r="C447" s="5"/>
      <c r="D447" s="5"/>
      <c r="E447" s="9"/>
      <c r="F447" s="9"/>
      <c r="G447" s="10"/>
      <c r="H447" s="11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7"/>
      <c r="B448" s="7"/>
      <c r="C448" s="5"/>
      <c r="D448" s="5"/>
      <c r="E448" s="9"/>
      <c r="F448" s="9"/>
      <c r="G448" s="10"/>
      <c r="H448" s="11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7"/>
      <c r="B449" s="7"/>
      <c r="C449" s="5"/>
      <c r="D449" s="5"/>
      <c r="E449" s="9"/>
      <c r="F449" s="9"/>
      <c r="G449" s="10"/>
      <c r="H449" s="11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7"/>
      <c r="B450" s="7"/>
      <c r="C450" s="5"/>
      <c r="D450" s="5"/>
      <c r="E450" s="9"/>
      <c r="F450" s="9"/>
      <c r="G450" s="10"/>
      <c r="H450" s="11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7"/>
      <c r="B451" s="7"/>
      <c r="C451" s="5"/>
      <c r="D451" s="5"/>
      <c r="E451" s="9"/>
      <c r="F451" s="9"/>
      <c r="G451" s="10"/>
      <c r="H451" s="11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7"/>
      <c r="B452" s="7"/>
      <c r="C452" s="5"/>
      <c r="D452" s="5"/>
      <c r="E452" s="9"/>
      <c r="F452" s="9"/>
      <c r="G452" s="10"/>
      <c r="H452" s="11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7"/>
      <c r="B453" s="7"/>
      <c r="C453" s="5"/>
      <c r="D453" s="5"/>
      <c r="E453" s="9"/>
      <c r="F453" s="9"/>
      <c r="G453" s="10"/>
      <c r="H453" s="11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7"/>
      <c r="B454" s="7"/>
      <c r="C454" s="5"/>
      <c r="D454" s="5"/>
      <c r="E454" s="9"/>
      <c r="F454" s="9"/>
      <c r="G454" s="10"/>
      <c r="H454" s="11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7"/>
      <c r="B455" s="7"/>
      <c r="C455" s="5"/>
      <c r="D455" s="5"/>
      <c r="E455" s="9"/>
      <c r="F455" s="9"/>
      <c r="G455" s="10"/>
      <c r="H455" s="11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7"/>
      <c r="B456" s="7"/>
      <c r="C456" s="5"/>
      <c r="D456" s="5"/>
      <c r="E456" s="9"/>
      <c r="F456" s="9"/>
      <c r="G456" s="10"/>
      <c r="H456" s="11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7"/>
      <c r="B457" s="7"/>
      <c r="C457" s="5"/>
      <c r="D457" s="5"/>
      <c r="E457" s="9"/>
      <c r="F457" s="9"/>
      <c r="G457" s="10"/>
      <c r="H457" s="11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7"/>
      <c r="B458" s="7"/>
      <c r="C458" s="5"/>
      <c r="D458" s="5"/>
      <c r="E458" s="9"/>
      <c r="F458" s="9"/>
      <c r="G458" s="10"/>
      <c r="H458" s="11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7"/>
      <c r="B459" s="7"/>
      <c r="C459" s="5"/>
      <c r="D459" s="5"/>
      <c r="E459" s="9"/>
      <c r="F459" s="9"/>
      <c r="G459" s="10"/>
      <c r="H459" s="11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7"/>
      <c r="B460" s="7"/>
      <c r="C460" s="5"/>
      <c r="D460" s="5"/>
      <c r="E460" s="9"/>
      <c r="F460" s="9"/>
      <c r="G460" s="10"/>
      <c r="H460" s="11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7"/>
      <c r="B461" s="7"/>
      <c r="C461" s="5"/>
      <c r="D461" s="5"/>
      <c r="E461" s="9"/>
      <c r="F461" s="9"/>
      <c r="G461" s="10"/>
      <c r="H461" s="11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7"/>
      <c r="B462" s="7"/>
      <c r="C462" s="5"/>
      <c r="D462" s="5"/>
      <c r="E462" s="9"/>
      <c r="F462" s="9"/>
      <c r="G462" s="10"/>
      <c r="H462" s="11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7"/>
      <c r="B463" s="7"/>
      <c r="C463" s="5"/>
      <c r="D463" s="5"/>
      <c r="E463" s="9"/>
      <c r="F463" s="9"/>
      <c r="G463" s="10"/>
      <c r="H463" s="11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7"/>
      <c r="B464" s="7"/>
      <c r="C464" s="5"/>
      <c r="D464" s="5"/>
      <c r="E464" s="9"/>
      <c r="F464" s="9"/>
      <c r="G464" s="10"/>
      <c r="H464" s="11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7"/>
      <c r="B465" s="7"/>
      <c r="C465" s="5"/>
      <c r="D465" s="5"/>
      <c r="E465" s="9"/>
      <c r="F465" s="9"/>
      <c r="G465" s="10"/>
      <c r="H465" s="11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7"/>
      <c r="B466" s="7"/>
      <c r="C466" s="5"/>
      <c r="D466" s="5"/>
      <c r="E466" s="9"/>
      <c r="F466" s="9"/>
      <c r="G466" s="10"/>
      <c r="H466" s="11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7"/>
      <c r="B467" s="7"/>
      <c r="C467" s="5"/>
      <c r="D467" s="5"/>
      <c r="E467" s="9"/>
      <c r="F467" s="9"/>
      <c r="G467" s="10"/>
      <c r="H467" s="11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7"/>
      <c r="B468" s="7"/>
      <c r="C468" s="5"/>
      <c r="D468" s="5"/>
      <c r="E468" s="9"/>
      <c r="F468" s="9"/>
      <c r="G468" s="10"/>
      <c r="H468" s="11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7"/>
      <c r="B469" s="7"/>
      <c r="C469" s="5"/>
      <c r="D469" s="5"/>
      <c r="E469" s="9"/>
      <c r="F469" s="9"/>
      <c r="G469" s="10"/>
      <c r="H469" s="11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7"/>
      <c r="B470" s="7"/>
      <c r="C470" s="5"/>
      <c r="D470" s="5"/>
      <c r="E470" s="9"/>
      <c r="F470" s="9"/>
      <c r="G470" s="10"/>
      <c r="H470" s="11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7"/>
      <c r="B471" s="7"/>
      <c r="C471" s="5"/>
      <c r="D471" s="5"/>
      <c r="E471" s="9"/>
      <c r="F471" s="9"/>
      <c r="G471" s="10"/>
      <c r="H471" s="11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7"/>
      <c r="B472" s="7"/>
      <c r="C472" s="5"/>
      <c r="D472" s="5"/>
      <c r="E472" s="9"/>
      <c r="F472" s="9"/>
      <c r="G472" s="10"/>
      <c r="H472" s="11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7"/>
      <c r="B473" s="7"/>
      <c r="C473" s="5"/>
      <c r="D473" s="5"/>
      <c r="E473" s="9"/>
      <c r="F473" s="9"/>
      <c r="G473" s="10"/>
      <c r="H473" s="11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7"/>
      <c r="B474" s="7"/>
      <c r="C474" s="5"/>
      <c r="D474" s="5"/>
      <c r="E474" s="9"/>
      <c r="F474" s="9"/>
      <c r="G474" s="10"/>
      <c r="H474" s="11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7"/>
      <c r="B475" s="7"/>
      <c r="C475" s="5"/>
      <c r="D475" s="5"/>
      <c r="E475" s="9"/>
      <c r="F475" s="9"/>
      <c r="G475" s="10"/>
      <c r="H475" s="11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7"/>
      <c r="B476" s="7"/>
      <c r="C476" s="5"/>
      <c r="D476" s="5"/>
      <c r="E476" s="9"/>
      <c r="F476" s="9"/>
      <c r="G476" s="10"/>
      <c r="H476" s="11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7"/>
      <c r="B477" s="7"/>
      <c r="C477" s="5"/>
      <c r="D477" s="5"/>
      <c r="E477" s="9"/>
      <c r="F477" s="9"/>
      <c r="G477" s="10"/>
      <c r="H477" s="11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7"/>
      <c r="B478" s="7"/>
      <c r="C478" s="5"/>
      <c r="D478" s="5"/>
      <c r="E478" s="9"/>
      <c r="F478" s="9"/>
      <c r="G478" s="10"/>
      <c r="H478" s="11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7"/>
      <c r="B479" s="7"/>
      <c r="C479" s="5"/>
      <c r="D479" s="5"/>
      <c r="E479" s="9"/>
      <c r="F479" s="9"/>
      <c r="G479" s="10"/>
      <c r="H479" s="11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7"/>
      <c r="B480" s="7"/>
      <c r="C480" s="5"/>
      <c r="D480" s="5"/>
      <c r="E480" s="9"/>
      <c r="F480" s="9"/>
      <c r="G480" s="10"/>
      <c r="H480" s="11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7"/>
      <c r="B481" s="7"/>
      <c r="C481" s="5"/>
      <c r="D481" s="5"/>
      <c r="E481" s="9"/>
      <c r="F481" s="9"/>
      <c r="G481" s="10"/>
      <c r="H481" s="11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7"/>
      <c r="B482" s="7"/>
      <c r="C482" s="5"/>
      <c r="D482" s="5"/>
      <c r="E482" s="9"/>
      <c r="F482" s="9"/>
      <c r="G482" s="10"/>
      <c r="H482" s="11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7"/>
      <c r="B483" s="7"/>
      <c r="C483" s="5"/>
      <c r="D483" s="5"/>
      <c r="E483" s="9"/>
      <c r="F483" s="9"/>
      <c r="G483" s="10"/>
      <c r="H483" s="11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7"/>
      <c r="B484" s="7"/>
      <c r="C484" s="5"/>
      <c r="D484" s="5"/>
      <c r="E484" s="9"/>
      <c r="F484" s="9"/>
      <c r="G484" s="10"/>
      <c r="H484" s="11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7"/>
      <c r="B485" s="7"/>
      <c r="C485" s="5"/>
      <c r="D485" s="5"/>
      <c r="E485" s="9"/>
      <c r="F485" s="9"/>
      <c r="G485" s="10"/>
      <c r="H485" s="11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7"/>
      <c r="B486" s="7"/>
      <c r="C486" s="5"/>
      <c r="D486" s="5"/>
      <c r="E486" s="9"/>
      <c r="F486" s="9"/>
      <c r="G486" s="10"/>
      <c r="H486" s="11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7"/>
      <c r="B487" s="7"/>
      <c r="C487" s="5"/>
      <c r="D487" s="5"/>
      <c r="E487" s="9"/>
      <c r="F487" s="9"/>
      <c r="G487" s="10"/>
      <c r="H487" s="11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7"/>
      <c r="B488" s="7"/>
      <c r="C488" s="5"/>
      <c r="D488" s="5"/>
      <c r="E488" s="9"/>
      <c r="F488" s="9"/>
      <c r="G488" s="10"/>
      <c r="H488" s="11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7"/>
      <c r="B489" s="7"/>
      <c r="C489" s="5"/>
      <c r="D489" s="5"/>
      <c r="E489" s="9"/>
      <c r="F489" s="9"/>
      <c r="G489" s="10"/>
      <c r="H489" s="11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7"/>
      <c r="B490" s="7"/>
      <c r="C490" s="5"/>
      <c r="D490" s="5"/>
      <c r="E490" s="9"/>
      <c r="F490" s="9"/>
      <c r="G490" s="10"/>
      <c r="H490" s="11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7"/>
      <c r="B491" s="7"/>
      <c r="C491" s="5"/>
      <c r="D491" s="5"/>
      <c r="E491" s="9"/>
      <c r="F491" s="9"/>
      <c r="G491" s="10"/>
      <c r="H491" s="11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7"/>
      <c r="B492" s="7"/>
      <c r="C492" s="5"/>
      <c r="D492" s="5"/>
      <c r="E492" s="9"/>
      <c r="F492" s="9"/>
      <c r="G492" s="10"/>
      <c r="H492" s="11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7"/>
      <c r="B493" s="7"/>
      <c r="C493" s="5"/>
      <c r="D493" s="5"/>
      <c r="E493" s="9"/>
      <c r="F493" s="9"/>
      <c r="G493" s="10"/>
      <c r="H493" s="11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7"/>
      <c r="B494" s="7"/>
      <c r="C494" s="5"/>
      <c r="D494" s="5"/>
      <c r="E494" s="9"/>
      <c r="F494" s="9"/>
      <c r="G494" s="10"/>
      <c r="H494" s="11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7"/>
      <c r="B495" s="7"/>
      <c r="C495" s="5"/>
      <c r="D495" s="5"/>
      <c r="E495" s="9"/>
      <c r="F495" s="9"/>
      <c r="G495" s="10"/>
      <c r="H495" s="11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7"/>
      <c r="B496" s="7"/>
      <c r="C496" s="5"/>
      <c r="D496" s="5"/>
      <c r="E496" s="9"/>
      <c r="F496" s="9"/>
      <c r="G496" s="10"/>
      <c r="H496" s="11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7"/>
      <c r="B497" s="7"/>
      <c r="C497" s="5"/>
      <c r="D497" s="5"/>
      <c r="E497" s="9"/>
      <c r="F497" s="9"/>
      <c r="G497" s="10"/>
      <c r="H497" s="11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7"/>
      <c r="B498" s="7"/>
      <c r="C498" s="5"/>
      <c r="D498" s="5"/>
      <c r="E498" s="9"/>
      <c r="F498" s="9"/>
      <c r="G498" s="10"/>
      <c r="H498" s="11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7"/>
      <c r="B499" s="7"/>
      <c r="C499" s="5"/>
      <c r="D499" s="5"/>
      <c r="E499" s="9"/>
      <c r="F499" s="9"/>
      <c r="G499" s="10"/>
      <c r="H499" s="11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7"/>
      <c r="B500" s="7"/>
      <c r="C500" s="5"/>
      <c r="D500" s="5"/>
      <c r="E500" s="9"/>
      <c r="F500" s="9"/>
      <c r="G500" s="10"/>
      <c r="H500" s="11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7"/>
      <c r="B501" s="7"/>
      <c r="C501" s="5"/>
      <c r="D501" s="5"/>
      <c r="E501" s="9"/>
      <c r="F501" s="9"/>
      <c r="G501" s="10"/>
      <c r="H501" s="11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7"/>
      <c r="B502" s="7"/>
      <c r="C502" s="5"/>
      <c r="D502" s="5"/>
      <c r="E502" s="9"/>
      <c r="F502" s="9"/>
      <c r="G502" s="10"/>
      <c r="H502" s="11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7"/>
      <c r="B503" s="7"/>
      <c r="C503" s="5"/>
      <c r="D503" s="5"/>
      <c r="E503" s="9"/>
      <c r="F503" s="9"/>
      <c r="G503" s="10"/>
      <c r="H503" s="11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7"/>
      <c r="B504" s="7"/>
      <c r="C504" s="5"/>
      <c r="D504" s="5"/>
      <c r="E504" s="9"/>
      <c r="F504" s="9"/>
      <c r="G504" s="10"/>
      <c r="H504" s="11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7"/>
      <c r="B505" s="7"/>
      <c r="C505" s="5"/>
      <c r="D505" s="5"/>
      <c r="E505" s="9"/>
      <c r="F505" s="9"/>
      <c r="G505" s="10"/>
      <c r="H505" s="11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7"/>
      <c r="B506" s="7"/>
      <c r="C506" s="5"/>
      <c r="D506" s="5"/>
      <c r="E506" s="9"/>
      <c r="F506" s="9"/>
      <c r="G506" s="10"/>
      <c r="H506" s="11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7"/>
      <c r="B507" s="7"/>
      <c r="C507" s="5"/>
      <c r="D507" s="5"/>
      <c r="E507" s="9"/>
      <c r="F507" s="9"/>
      <c r="G507" s="10"/>
      <c r="H507" s="11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7"/>
      <c r="B508" s="7"/>
      <c r="C508" s="5"/>
      <c r="D508" s="5"/>
      <c r="E508" s="9"/>
      <c r="F508" s="9"/>
      <c r="G508" s="10"/>
      <c r="H508" s="11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7"/>
      <c r="B509" s="7"/>
      <c r="C509" s="5"/>
      <c r="D509" s="5"/>
      <c r="E509" s="9"/>
      <c r="F509" s="9"/>
      <c r="G509" s="10"/>
      <c r="H509" s="11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7"/>
      <c r="B510" s="7"/>
      <c r="C510" s="5"/>
      <c r="D510" s="5"/>
      <c r="E510" s="9"/>
      <c r="F510" s="9"/>
      <c r="G510" s="10"/>
      <c r="H510" s="11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7"/>
      <c r="B511" s="7"/>
      <c r="C511" s="5"/>
      <c r="D511" s="5"/>
      <c r="E511" s="9"/>
      <c r="F511" s="9"/>
      <c r="G511" s="10"/>
      <c r="H511" s="11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7"/>
      <c r="B512" s="7"/>
      <c r="C512" s="5"/>
      <c r="D512" s="5"/>
      <c r="E512" s="9"/>
      <c r="F512" s="9"/>
      <c r="G512" s="10"/>
      <c r="H512" s="11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7"/>
      <c r="B513" s="7"/>
      <c r="C513" s="5"/>
      <c r="D513" s="5"/>
      <c r="E513" s="9"/>
      <c r="F513" s="9"/>
      <c r="G513" s="10"/>
      <c r="H513" s="11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7"/>
      <c r="B514" s="7"/>
      <c r="C514" s="5"/>
      <c r="D514" s="5"/>
      <c r="E514" s="9"/>
      <c r="F514" s="9"/>
      <c r="G514" s="10"/>
      <c r="H514" s="11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7"/>
      <c r="B515" s="7"/>
      <c r="C515" s="5"/>
      <c r="D515" s="5"/>
      <c r="E515" s="9"/>
      <c r="F515" s="9"/>
      <c r="G515" s="10"/>
      <c r="H515" s="11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7"/>
      <c r="B516" s="7"/>
      <c r="C516" s="5"/>
      <c r="D516" s="5"/>
      <c r="E516" s="9"/>
      <c r="F516" s="9"/>
      <c r="G516" s="10"/>
      <c r="H516" s="11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7"/>
      <c r="B517" s="7"/>
      <c r="C517" s="5"/>
      <c r="D517" s="5"/>
      <c r="E517" s="9"/>
      <c r="F517" s="9"/>
      <c r="G517" s="10"/>
      <c r="H517" s="11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7"/>
      <c r="B518" s="7"/>
      <c r="C518" s="5"/>
      <c r="D518" s="5"/>
      <c r="E518" s="9"/>
      <c r="F518" s="9"/>
      <c r="G518" s="10"/>
      <c r="H518" s="11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7"/>
      <c r="B519" s="7"/>
      <c r="C519" s="5"/>
      <c r="D519" s="5"/>
      <c r="E519" s="9"/>
      <c r="F519" s="9"/>
      <c r="G519" s="10"/>
      <c r="H519" s="11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7"/>
      <c r="B520" s="7"/>
      <c r="C520" s="5"/>
      <c r="D520" s="5"/>
      <c r="E520" s="9"/>
      <c r="F520" s="9"/>
      <c r="G520" s="10"/>
      <c r="H520" s="11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7"/>
      <c r="B521" s="7"/>
      <c r="C521" s="5"/>
      <c r="D521" s="5"/>
      <c r="E521" s="9"/>
      <c r="F521" s="9"/>
      <c r="G521" s="10"/>
      <c r="H521" s="11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7"/>
      <c r="B522" s="7"/>
      <c r="C522" s="5"/>
      <c r="D522" s="5"/>
      <c r="E522" s="9"/>
      <c r="F522" s="9"/>
      <c r="G522" s="10"/>
      <c r="H522" s="11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7"/>
      <c r="B523" s="7"/>
      <c r="C523" s="5"/>
      <c r="D523" s="5"/>
      <c r="E523" s="9"/>
      <c r="F523" s="9"/>
      <c r="G523" s="10"/>
      <c r="H523" s="11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7"/>
      <c r="B524" s="7"/>
      <c r="C524" s="5"/>
      <c r="D524" s="5"/>
      <c r="E524" s="9"/>
      <c r="F524" s="9"/>
      <c r="G524" s="10"/>
      <c r="H524" s="11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7"/>
      <c r="B525" s="7"/>
      <c r="C525" s="5"/>
      <c r="D525" s="5"/>
      <c r="E525" s="9"/>
      <c r="F525" s="9"/>
      <c r="G525" s="10"/>
      <c r="H525" s="11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7"/>
      <c r="B526" s="7"/>
      <c r="C526" s="5"/>
      <c r="D526" s="5"/>
      <c r="E526" s="9"/>
      <c r="F526" s="9"/>
      <c r="G526" s="10"/>
      <c r="H526" s="11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7"/>
      <c r="B527" s="7"/>
      <c r="C527" s="5"/>
      <c r="D527" s="5"/>
      <c r="E527" s="9"/>
      <c r="F527" s="9"/>
      <c r="G527" s="10"/>
      <c r="H527" s="11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7"/>
      <c r="B528" s="7"/>
      <c r="C528" s="5"/>
      <c r="D528" s="5"/>
      <c r="E528" s="9"/>
      <c r="F528" s="9"/>
      <c r="G528" s="10"/>
      <c r="H528" s="11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7"/>
      <c r="B529" s="7"/>
      <c r="C529" s="5"/>
      <c r="D529" s="5"/>
      <c r="E529" s="9"/>
      <c r="F529" s="9"/>
      <c r="G529" s="10"/>
      <c r="H529" s="11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7"/>
      <c r="B530" s="7"/>
      <c r="C530" s="5"/>
      <c r="D530" s="5"/>
      <c r="E530" s="9"/>
      <c r="F530" s="9"/>
      <c r="G530" s="10"/>
      <c r="H530" s="11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7"/>
      <c r="B531" s="7"/>
      <c r="C531" s="5"/>
      <c r="D531" s="5"/>
      <c r="E531" s="9"/>
      <c r="F531" s="9"/>
      <c r="G531" s="10"/>
      <c r="H531" s="11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7"/>
      <c r="B532" s="7"/>
      <c r="C532" s="5"/>
      <c r="D532" s="5"/>
      <c r="E532" s="9"/>
      <c r="F532" s="9"/>
      <c r="G532" s="10"/>
      <c r="H532" s="11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7"/>
      <c r="B533" s="7"/>
      <c r="C533" s="5"/>
      <c r="D533" s="5"/>
      <c r="E533" s="9"/>
      <c r="F533" s="9"/>
      <c r="G533" s="10"/>
      <c r="H533" s="11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7"/>
      <c r="B534" s="7"/>
      <c r="C534" s="5"/>
      <c r="D534" s="5"/>
      <c r="E534" s="9"/>
      <c r="F534" s="9"/>
      <c r="G534" s="10"/>
      <c r="H534" s="11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7"/>
      <c r="B535" s="7"/>
      <c r="C535" s="5"/>
      <c r="D535" s="5"/>
      <c r="E535" s="9"/>
      <c r="F535" s="9"/>
      <c r="G535" s="10"/>
      <c r="H535" s="11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7"/>
      <c r="B536" s="7"/>
      <c r="C536" s="5"/>
      <c r="D536" s="5"/>
      <c r="E536" s="9"/>
      <c r="F536" s="9"/>
      <c r="G536" s="10"/>
      <c r="H536" s="11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7"/>
      <c r="B537" s="7"/>
      <c r="C537" s="5"/>
      <c r="D537" s="5"/>
      <c r="E537" s="9"/>
      <c r="F537" s="9"/>
      <c r="G537" s="10"/>
      <c r="H537" s="11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7"/>
      <c r="B538" s="7"/>
      <c r="C538" s="5"/>
      <c r="D538" s="5"/>
      <c r="E538" s="9"/>
      <c r="F538" s="9"/>
      <c r="G538" s="10"/>
      <c r="H538" s="11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7"/>
      <c r="B539" s="7"/>
      <c r="C539" s="5"/>
      <c r="D539" s="5"/>
      <c r="E539" s="9"/>
      <c r="F539" s="9"/>
      <c r="G539" s="10"/>
      <c r="H539" s="11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7"/>
      <c r="B540" s="7"/>
      <c r="C540" s="5"/>
      <c r="D540" s="5"/>
      <c r="E540" s="9"/>
      <c r="F540" s="9"/>
      <c r="G540" s="10"/>
      <c r="H540" s="11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7"/>
      <c r="B541" s="7"/>
      <c r="C541" s="5"/>
      <c r="D541" s="5"/>
      <c r="E541" s="9"/>
      <c r="F541" s="9"/>
      <c r="G541" s="10"/>
      <c r="H541" s="11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7"/>
      <c r="B542" s="7"/>
      <c r="C542" s="5"/>
      <c r="D542" s="5"/>
      <c r="E542" s="9"/>
      <c r="F542" s="9"/>
      <c r="G542" s="10"/>
      <c r="H542" s="11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7"/>
      <c r="B543" s="7"/>
      <c r="C543" s="5"/>
      <c r="D543" s="5"/>
      <c r="E543" s="9"/>
      <c r="F543" s="9"/>
      <c r="G543" s="10"/>
      <c r="H543" s="11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7"/>
      <c r="B544" s="7"/>
      <c r="C544" s="5"/>
      <c r="D544" s="5"/>
      <c r="E544" s="9"/>
      <c r="F544" s="9"/>
      <c r="G544" s="10"/>
      <c r="H544" s="11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7"/>
      <c r="B545" s="7"/>
      <c r="C545" s="5"/>
      <c r="D545" s="5"/>
      <c r="E545" s="9"/>
      <c r="F545" s="9"/>
      <c r="G545" s="10"/>
      <c r="H545" s="11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7"/>
      <c r="B546" s="7"/>
      <c r="C546" s="5"/>
      <c r="D546" s="5"/>
      <c r="E546" s="9"/>
      <c r="F546" s="9"/>
      <c r="G546" s="10"/>
      <c r="H546" s="11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7"/>
      <c r="B547" s="7"/>
      <c r="C547" s="5"/>
      <c r="D547" s="5"/>
      <c r="E547" s="9"/>
      <c r="F547" s="9"/>
      <c r="G547" s="10"/>
      <c r="H547" s="11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7"/>
      <c r="B548" s="7"/>
      <c r="C548" s="5"/>
      <c r="D548" s="5"/>
      <c r="E548" s="9"/>
      <c r="F548" s="9"/>
      <c r="G548" s="10"/>
      <c r="H548" s="11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7"/>
      <c r="B549" s="7"/>
      <c r="C549" s="5"/>
      <c r="D549" s="5"/>
      <c r="E549" s="9"/>
      <c r="F549" s="9"/>
      <c r="G549" s="10"/>
      <c r="H549" s="11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7"/>
      <c r="B550" s="7"/>
      <c r="C550" s="5"/>
      <c r="D550" s="5"/>
      <c r="E550" s="9"/>
      <c r="F550" s="9"/>
      <c r="G550" s="10"/>
      <c r="H550" s="11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7"/>
      <c r="B551" s="7"/>
      <c r="C551" s="5"/>
      <c r="D551" s="5"/>
      <c r="E551" s="9"/>
      <c r="F551" s="9"/>
      <c r="G551" s="10"/>
      <c r="H551" s="11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7"/>
      <c r="B552" s="7"/>
      <c r="C552" s="5"/>
      <c r="D552" s="5"/>
      <c r="E552" s="9"/>
      <c r="F552" s="9"/>
      <c r="G552" s="10"/>
      <c r="H552" s="11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7"/>
      <c r="B553" s="7"/>
      <c r="C553" s="5"/>
      <c r="D553" s="5"/>
      <c r="E553" s="9"/>
      <c r="F553" s="9"/>
      <c r="G553" s="10"/>
      <c r="H553" s="11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7"/>
      <c r="B554" s="7"/>
      <c r="C554" s="5"/>
      <c r="D554" s="5"/>
      <c r="E554" s="9"/>
      <c r="F554" s="9"/>
      <c r="G554" s="10"/>
      <c r="H554" s="11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7"/>
      <c r="B555" s="7"/>
      <c r="C555" s="5"/>
      <c r="D555" s="5"/>
      <c r="E555" s="9"/>
      <c r="F555" s="9"/>
      <c r="G555" s="10"/>
      <c r="H555" s="11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7"/>
      <c r="B556" s="7"/>
      <c r="C556" s="5"/>
      <c r="D556" s="5"/>
      <c r="E556" s="9"/>
      <c r="F556" s="9"/>
      <c r="G556" s="10"/>
      <c r="H556" s="11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7"/>
      <c r="B557" s="7"/>
      <c r="C557" s="5"/>
      <c r="D557" s="5"/>
      <c r="E557" s="9"/>
      <c r="F557" s="9"/>
      <c r="G557" s="10"/>
      <c r="H557" s="11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7"/>
      <c r="B558" s="7"/>
      <c r="C558" s="5"/>
      <c r="D558" s="5"/>
      <c r="E558" s="9"/>
      <c r="F558" s="9"/>
      <c r="G558" s="10"/>
      <c r="H558" s="11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7"/>
      <c r="B559" s="7"/>
      <c r="C559" s="5"/>
      <c r="D559" s="5"/>
      <c r="E559" s="9"/>
      <c r="F559" s="9"/>
      <c r="G559" s="10"/>
      <c r="H559" s="11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7"/>
      <c r="B560" s="7"/>
      <c r="C560" s="5"/>
      <c r="D560" s="5"/>
      <c r="E560" s="9"/>
      <c r="F560" s="9"/>
      <c r="G560" s="10"/>
      <c r="H560" s="11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7"/>
      <c r="B561" s="7"/>
      <c r="C561" s="5"/>
      <c r="D561" s="5"/>
      <c r="E561" s="9"/>
      <c r="F561" s="9"/>
      <c r="G561" s="10"/>
      <c r="H561" s="11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7"/>
      <c r="B562" s="7"/>
      <c r="C562" s="5"/>
      <c r="D562" s="5"/>
      <c r="E562" s="9"/>
      <c r="F562" s="9"/>
      <c r="G562" s="10"/>
      <c r="H562" s="11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7"/>
      <c r="B563" s="7"/>
      <c r="C563" s="5"/>
      <c r="D563" s="5"/>
      <c r="E563" s="9"/>
      <c r="F563" s="9"/>
      <c r="G563" s="10"/>
      <c r="H563" s="11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7"/>
      <c r="B564" s="7"/>
      <c r="C564" s="5"/>
      <c r="D564" s="5"/>
      <c r="E564" s="9"/>
      <c r="F564" s="9"/>
      <c r="G564" s="10"/>
      <c r="H564" s="11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7"/>
      <c r="B565" s="7"/>
      <c r="C565" s="5"/>
      <c r="D565" s="5"/>
      <c r="E565" s="9"/>
      <c r="F565" s="9"/>
      <c r="G565" s="10"/>
      <c r="H565" s="11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7"/>
      <c r="B566" s="7"/>
      <c r="C566" s="5"/>
      <c r="D566" s="5"/>
      <c r="E566" s="9"/>
      <c r="F566" s="9"/>
      <c r="G566" s="10"/>
      <c r="H566" s="11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7"/>
      <c r="B567" s="7"/>
      <c r="C567" s="5"/>
      <c r="D567" s="5"/>
      <c r="E567" s="9"/>
      <c r="F567" s="9"/>
      <c r="G567" s="10"/>
      <c r="H567" s="11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7"/>
      <c r="B568" s="7"/>
      <c r="C568" s="5"/>
      <c r="D568" s="5"/>
      <c r="E568" s="9"/>
      <c r="F568" s="9"/>
      <c r="G568" s="10"/>
      <c r="H568" s="11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7"/>
      <c r="B569" s="7"/>
      <c r="C569" s="5"/>
      <c r="D569" s="5"/>
      <c r="E569" s="9"/>
      <c r="F569" s="9"/>
      <c r="G569" s="10"/>
      <c r="H569" s="11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7"/>
      <c r="B570" s="7"/>
      <c r="C570" s="5"/>
      <c r="D570" s="5"/>
      <c r="E570" s="9"/>
      <c r="F570" s="9"/>
      <c r="G570" s="10"/>
      <c r="H570" s="11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7"/>
      <c r="B571" s="7"/>
      <c r="C571" s="5"/>
      <c r="D571" s="5"/>
      <c r="E571" s="9"/>
      <c r="F571" s="9"/>
      <c r="G571" s="10"/>
      <c r="H571" s="11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7"/>
      <c r="B572" s="7"/>
      <c r="C572" s="5"/>
      <c r="D572" s="5"/>
      <c r="E572" s="9"/>
      <c r="F572" s="9"/>
      <c r="G572" s="10"/>
      <c r="H572" s="11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7"/>
      <c r="B573" s="7"/>
      <c r="C573" s="5"/>
      <c r="D573" s="5"/>
      <c r="E573" s="9"/>
      <c r="F573" s="9"/>
      <c r="G573" s="10"/>
      <c r="H573" s="11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7"/>
      <c r="B574" s="7"/>
      <c r="C574" s="5"/>
      <c r="D574" s="5"/>
      <c r="E574" s="9"/>
      <c r="F574" s="9"/>
      <c r="G574" s="10"/>
      <c r="H574" s="11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7"/>
      <c r="B575" s="7"/>
      <c r="C575" s="5"/>
      <c r="D575" s="5"/>
      <c r="E575" s="9"/>
      <c r="F575" s="9"/>
      <c r="G575" s="10"/>
      <c r="H575" s="11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7"/>
      <c r="B576" s="7"/>
      <c r="C576" s="5"/>
      <c r="D576" s="5"/>
      <c r="E576" s="9"/>
      <c r="F576" s="9"/>
      <c r="G576" s="10"/>
      <c r="H576" s="11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7"/>
      <c r="B577" s="7"/>
      <c r="C577" s="5"/>
      <c r="D577" s="5"/>
      <c r="E577" s="9"/>
      <c r="F577" s="9"/>
      <c r="G577" s="10"/>
      <c r="H577" s="11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7"/>
      <c r="B578" s="7"/>
      <c r="C578" s="5"/>
      <c r="D578" s="5"/>
      <c r="E578" s="9"/>
      <c r="F578" s="9"/>
      <c r="G578" s="10"/>
      <c r="H578" s="11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7"/>
      <c r="B579" s="7"/>
      <c r="C579" s="5"/>
      <c r="D579" s="5"/>
      <c r="E579" s="9"/>
      <c r="F579" s="9"/>
      <c r="G579" s="10"/>
      <c r="H579" s="11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7"/>
      <c r="B580" s="7"/>
      <c r="C580" s="5"/>
      <c r="D580" s="5"/>
      <c r="E580" s="9"/>
      <c r="F580" s="9"/>
      <c r="G580" s="10"/>
      <c r="H580" s="11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7"/>
      <c r="B581" s="7"/>
      <c r="C581" s="5"/>
      <c r="D581" s="5"/>
      <c r="E581" s="9"/>
      <c r="F581" s="9"/>
      <c r="G581" s="10"/>
      <c r="H581" s="11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7"/>
      <c r="B582" s="7"/>
      <c r="C582" s="5"/>
      <c r="D582" s="5"/>
      <c r="E582" s="9"/>
      <c r="F582" s="9"/>
      <c r="G582" s="10"/>
      <c r="H582" s="11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7"/>
      <c r="B583" s="7"/>
      <c r="C583" s="5"/>
      <c r="D583" s="5"/>
      <c r="E583" s="9"/>
      <c r="F583" s="9"/>
      <c r="G583" s="10"/>
      <c r="H583" s="11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7"/>
      <c r="B584" s="7"/>
      <c r="C584" s="5"/>
      <c r="D584" s="5"/>
      <c r="E584" s="9"/>
      <c r="F584" s="9"/>
      <c r="G584" s="10"/>
      <c r="H584" s="11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7"/>
      <c r="B585" s="7"/>
      <c r="C585" s="5"/>
      <c r="D585" s="5"/>
      <c r="E585" s="9"/>
      <c r="F585" s="9"/>
      <c r="G585" s="10"/>
      <c r="H585" s="11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7"/>
      <c r="B586" s="7"/>
      <c r="C586" s="5"/>
      <c r="D586" s="5"/>
      <c r="E586" s="9"/>
      <c r="F586" s="9"/>
      <c r="G586" s="10"/>
      <c r="H586" s="11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7"/>
      <c r="B587" s="7"/>
      <c r="C587" s="5"/>
      <c r="D587" s="5"/>
      <c r="E587" s="9"/>
      <c r="F587" s="9"/>
      <c r="G587" s="10"/>
      <c r="H587" s="11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7"/>
      <c r="B588" s="7"/>
      <c r="C588" s="5"/>
      <c r="D588" s="5"/>
      <c r="E588" s="9"/>
      <c r="F588" s="9"/>
      <c r="G588" s="10"/>
      <c r="H588" s="11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7"/>
      <c r="B589" s="7"/>
      <c r="C589" s="5"/>
      <c r="D589" s="5"/>
      <c r="E589" s="9"/>
      <c r="F589" s="9"/>
      <c r="G589" s="10"/>
      <c r="H589" s="11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7"/>
      <c r="B590" s="7"/>
      <c r="C590" s="5"/>
      <c r="D590" s="5"/>
      <c r="E590" s="9"/>
      <c r="F590" s="9"/>
      <c r="G590" s="10"/>
      <c r="H590" s="11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7"/>
      <c r="B591" s="7"/>
      <c r="C591" s="5"/>
      <c r="D591" s="5"/>
      <c r="E591" s="9"/>
      <c r="F591" s="9"/>
      <c r="G591" s="10"/>
      <c r="H591" s="11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7"/>
      <c r="B592" s="7"/>
      <c r="C592" s="5"/>
      <c r="D592" s="5"/>
      <c r="E592" s="9"/>
      <c r="F592" s="9"/>
      <c r="G592" s="10"/>
      <c r="H592" s="11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7"/>
      <c r="B593" s="7"/>
      <c r="C593" s="5"/>
      <c r="D593" s="5"/>
      <c r="E593" s="9"/>
      <c r="F593" s="9"/>
      <c r="G593" s="10"/>
      <c r="H593" s="11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7"/>
      <c r="B594" s="7"/>
      <c r="C594" s="5"/>
      <c r="D594" s="5"/>
      <c r="E594" s="9"/>
      <c r="F594" s="9"/>
      <c r="G594" s="10"/>
      <c r="H594" s="11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7"/>
      <c r="B595" s="7"/>
      <c r="C595" s="5"/>
      <c r="D595" s="5"/>
      <c r="E595" s="9"/>
      <c r="F595" s="9"/>
      <c r="G595" s="10"/>
      <c r="H595" s="11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7"/>
      <c r="B596" s="7"/>
      <c r="C596" s="5"/>
      <c r="D596" s="5"/>
      <c r="E596" s="9"/>
      <c r="F596" s="9"/>
      <c r="G596" s="10"/>
      <c r="H596" s="11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7"/>
      <c r="B597" s="7"/>
      <c r="C597" s="5"/>
      <c r="D597" s="5"/>
      <c r="E597" s="9"/>
      <c r="F597" s="9"/>
      <c r="G597" s="10"/>
      <c r="H597" s="11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7"/>
      <c r="B598" s="7"/>
      <c r="C598" s="5"/>
      <c r="D598" s="5"/>
      <c r="E598" s="9"/>
      <c r="F598" s="9"/>
      <c r="G598" s="10"/>
      <c r="H598" s="11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7"/>
      <c r="B599" s="7"/>
      <c r="C599" s="5"/>
      <c r="D599" s="5"/>
      <c r="E599" s="9"/>
      <c r="F599" s="9"/>
      <c r="G599" s="10"/>
      <c r="H599" s="11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7"/>
      <c r="B600" s="7"/>
      <c r="C600" s="5"/>
      <c r="D600" s="5"/>
      <c r="E600" s="9"/>
      <c r="F600" s="9"/>
      <c r="G600" s="10"/>
      <c r="H600" s="11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7"/>
      <c r="B601" s="7"/>
      <c r="C601" s="5"/>
      <c r="D601" s="5"/>
      <c r="E601" s="9"/>
      <c r="F601" s="9"/>
      <c r="G601" s="10"/>
      <c r="H601" s="11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7"/>
      <c r="B602" s="7"/>
      <c r="C602" s="5"/>
      <c r="D602" s="5"/>
      <c r="E602" s="9"/>
      <c r="F602" s="9"/>
      <c r="G602" s="10"/>
      <c r="H602" s="11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7"/>
      <c r="B603" s="7"/>
      <c r="C603" s="5"/>
      <c r="D603" s="5"/>
      <c r="E603" s="9"/>
      <c r="F603" s="9"/>
      <c r="G603" s="10"/>
      <c r="H603" s="11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7"/>
      <c r="B604" s="7"/>
      <c r="C604" s="5"/>
      <c r="D604" s="5"/>
      <c r="E604" s="9"/>
      <c r="F604" s="9"/>
      <c r="G604" s="10"/>
      <c r="H604" s="11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7"/>
      <c r="B605" s="7"/>
      <c r="C605" s="5"/>
      <c r="D605" s="5"/>
      <c r="E605" s="9"/>
      <c r="F605" s="9"/>
      <c r="G605" s="10"/>
      <c r="H605" s="11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7"/>
      <c r="B606" s="7"/>
      <c r="C606" s="5"/>
      <c r="D606" s="5"/>
      <c r="E606" s="9"/>
      <c r="F606" s="9"/>
      <c r="G606" s="10"/>
      <c r="H606" s="11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7"/>
      <c r="B607" s="7"/>
      <c r="C607" s="5"/>
      <c r="D607" s="5"/>
      <c r="E607" s="9"/>
      <c r="F607" s="9"/>
      <c r="G607" s="10"/>
      <c r="H607" s="11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7"/>
      <c r="B608" s="7"/>
      <c r="C608" s="5"/>
      <c r="D608" s="5"/>
      <c r="E608" s="9"/>
      <c r="F608" s="9"/>
      <c r="G608" s="10"/>
      <c r="H608" s="11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7"/>
      <c r="B609" s="7"/>
      <c r="C609" s="5"/>
      <c r="D609" s="5"/>
      <c r="E609" s="9"/>
      <c r="F609" s="9"/>
      <c r="G609" s="10"/>
      <c r="H609" s="11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7"/>
      <c r="B610" s="7"/>
      <c r="C610" s="5"/>
      <c r="D610" s="5"/>
      <c r="E610" s="9"/>
      <c r="F610" s="9"/>
      <c r="G610" s="10"/>
      <c r="H610" s="11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7"/>
      <c r="B611" s="7"/>
      <c r="C611" s="5"/>
      <c r="D611" s="5"/>
      <c r="E611" s="9"/>
      <c r="F611" s="9"/>
      <c r="G611" s="10"/>
      <c r="H611" s="11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7"/>
      <c r="B612" s="7"/>
      <c r="C612" s="5"/>
      <c r="D612" s="5"/>
      <c r="E612" s="9"/>
      <c r="F612" s="9"/>
      <c r="G612" s="10"/>
      <c r="H612" s="11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7"/>
      <c r="B613" s="7"/>
      <c r="C613" s="5"/>
      <c r="D613" s="5"/>
      <c r="E613" s="9"/>
      <c r="F613" s="9"/>
      <c r="G613" s="10"/>
      <c r="H613" s="11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7"/>
      <c r="B614" s="7"/>
      <c r="C614" s="5"/>
      <c r="D614" s="5"/>
      <c r="E614" s="9"/>
      <c r="F614" s="9"/>
      <c r="G614" s="10"/>
      <c r="H614" s="11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7"/>
      <c r="B615" s="7"/>
      <c r="C615" s="5"/>
      <c r="D615" s="5"/>
      <c r="E615" s="9"/>
      <c r="F615" s="9"/>
      <c r="G615" s="10"/>
      <c r="H615" s="11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7"/>
      <c r="B616" s="7"/>
      <c r="C616" s="5"/>
      <c r="D616" s="5"/>
      <c r="E616" s="9"/>
      <c r="F616" s="9"/>
      <c r="G616" s="10"/>
      <c r="H616" s="11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7"/>
      <c r="B617" s="7"/>
      <c r="C617" s="5"/>
      <c r="D617" s="5"/>
      <c r="E617" s="9"/>
      <c r="F617" s="9"/>
      <c r="G617" s="10"/>
      <c r="H617" s="11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7"/>
      <c r="B618" s="7"/>
      <c r="C618" s="5"/>
      <c r="D618" s="5"/>
      <c r="E618" s="9"/>
      <c r="F618" s="9"/>
      <c r="G618" s="10"/>
      <c r="H618" s="11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7"/>
      <c r="B619" s="7"/>
      <c r="C619" s="5"/>
      <c r="D619" s="5"/>
      <c r="E619" s="9"/>
      <c r="F619" s="9"/>
      <c r="G619" s="10"/>
      <c r="H619" s="11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7"/>
      <c r="B620" s="7"/>
      <c r="C620" s="5"/>
      <c r="D620" s="5"/>
      <c r="E620" s="9"/>
      <c r="F620" s="9"/>
      <c r="G620" s="10"/>
      <c r="H620" s="11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7"/>
      <c r="B621" s="7"/>
      <c r="C621" s="5"/>
      <c r="D621" s="5"/>
      <c r="E621" s="9"/>
      <c r="F621" s="9"/>
      <c r="G621" s="10"/>
      <c r="H621" s="11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7"/>
      <c r="B622" s="7"/>
      <c r="C622" s="5"/>
      <c r="D622" s="5"/>
      <c r="E622" s="9"/>
      <c r="F622" s="9"/>
      <c r="G622" s="10"/>
      <c r="H622" s="11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7"/>
      <c r="B623" s="7"/>
      <c r="C623" s="5"/>
      <c r="D623" s="5"/>
      <c r="E623" s="9"/>
      <c r="F623" s="9"/>
      <c r="G623" s="10"/>
      <c r="H623" s="11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7"/>
      <c r="B624" s="7"/>
      <c r="C624" s="5"/>
      <c r="D624" s="5"/>
      <c r="E624" s="9"/>
      <c r="F624" s="9"/>
      <c r="G624" s="10"/>
      <c r="H624" s="11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7"/>
      <c r="B625" s="7"/>
      <c r="C625" s="5"/>
      <c r="D625" s="5"/>
      <c r="E625" s="9"/>
      <c r="F625" s="9"/>
      <c r="G625" s="10"/>
      <c r="H625" s="11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7"/>
      <c r="B626" s="7"/>
      <c r="C626" s="5"/>
      <c r="D626" s="5"/>
      <c r="E626" s="9"/>
      <c r="F626" s="9"/>
      <c r="G626" s="10"/>
      <c r="H626" s="11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7"/>
      <c r="B627" s="7"/>
      <c r="C627" s="5"/>
      <c r="D627" s="5"/>
      <c r="E627" s="9"/>
      <c r="F627" s="9"/>
      <c r="G627" s="10"/>
      <c r="H627" s="11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7"/>
      <c r="B628" s="7"/>
      <c r="C628" s="5"/>
      <c r="D628" s="5"/>
      <c r="E628" s="9"/>
      <c r="F628" s="9"/>
      <c r="G628" s="10"/>
      <c r="H628" s="11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7"/>
      <c r="B629" s="7"/>
      <c r="C629" s="5"/>
      <c r="D629" s="5"/>
      <c r="E629" s="9"/>
      <c r="F629" s="9"/>
      <c r="G629" s="10"/>
      <c r="H629" s="11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7"/>
      <c r="B630" s="7"/>
      <c r="C630" s="5"/>
      <c r="D630" s="5"/>
      <c r="E630" s="9"/>
      <c r="F630" s="9"/>
      <c r="G630" s="10"/>
      <c r="H630" s="11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7"/>
      <c r="B631" s="7"/>
      <c r="C631" s="5"/>
      <c r="D631" s="5"/>
      <c r="E631" s="9"/>
      <c r="F631" s="9"/>
      <c r="G631" s="10"/>
      <c r="H631" s="11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7"/>
      <c r="B632" s="7"/>
      <c r="C632" s="5"/>
      <c r="D632" s="5"/>
      <c r="E632" s="9"/>
      <c r="F632" s="9"/>
      <c r="G632" s="10"/>
      <c r="H632" s="11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7"/>
      <c r="B633" s="7"/>
      <c r="C633" s="5"/>
      <c r="D633" s="5"/>
      <c r="E633" s="9"/>
      <c r="F633" s="9"/>
      <c r="G633" s="10"/>
      <c r="H633" s="11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7"/>
      <c r="B634" s="7"/>
      <c r="C634" s="5"/>
      <c r="D634" s="5"/>
      <c r="E634" s="9"/>
      <c r="F634" s="9"/>
      <c r="G634" s="10"/>
      <c r="H634" s="11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7"/>
      <c r="B635" s="7"/>
      <c r="C635" s="5"/>
      <c r="D635" s="5"/>
      <c r="E635" s="9"/>
      <c r="F635" s="9"/>
      <c r="G635" s="10"/>
      <c r="H635" s="11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7"/>
      <c r="B636" s="7"/>
      <c r="C636" s="5"/>
      <c r="D636" s="5"/>
      <c r="E636" s="9"/>
      <c r="F636" s="9"/>
      <c r="G636" s="10"/>
      <c r="H636" s="11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7"/>
      <c r="B637" s="7"/>
      <c r="C637" s="5"/>
      <c r="D637" s="5"/>
      <c r="E637" s="9"/>
      <c r="F637" s="9"/>
      <c r="G637" s="10"/>
      <c r="H637" s="11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7"/>
      <c r="B638" s="7"/>
      <c r="C638" s="5"/>
      <c r="D638" s="5"/>
      <c r="E638" s="9"/>
      <c r="F638" s="9"/>
      <c r="G638" s="10"/>
      <c r="H638" s="11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7"/>
      <c r="B639" s="7"/>
      <c r="C639" s="5"/>
      <c r="D639" s="5"/>
      <c r="E639" s="9"/>
      <c r="F639" s="9"/>
      <c r="G639" s="10"/>
      <c r="H639" s="11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7"/>
      <c r="B640" s="7"/>
      <c r="C640" s="5"/>
      <c r="D640" s="5"/>
      <c r="E640" s="9"/>
      <c r="F640" s="9"/>
      <c r="G640" s="10"/>
      <c r="H640" s="11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7"/>
      <c r="B641" s="7"/>
      <c r="C641" s="5"/>
      <c r="D641" s="5"/>
      <c r="E641" s="9"/>
      <c r="F641" s="9"/>
      <c r="G641" s="10"/>
      <c r="H641" s="11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7"/>
      <c r="B642" s="7"/>
      <c r="C642" s="5"/>
      <c r="D642" s="5"/>
      <c r="E642" s="9"/>
      <c r="F642" s="9"/>
      <c r="G642" s="10"/>
      <c r="H642" s="11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7"/>
      <c r="B643" s="7"/>
      <c r="C643" s="5"/>
      <c r="D643" s="5"/>
      <c r="E643" s="9"/>
      <c r="F643" s="9"/>
      <c r="G643" s="10"/>
      <c r="H643" s="11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7"/>
      <c r="B644" s="7"/>
      <c r="C644" s="5"/>
      <c r="D644" s="5"/>
      <c r="E644" s="9"/>
      <c r="F644" s="9"/>
      <c r="G644" s="10"/>
      <c r="H644" s="11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7"/>
      <c r="B645" s="7"/>
      <c r="C645" s="5"/>
      <c r="D645" s="5"/>
      <c r="E645" s="9"/>
      <c r="F645" s="9"/>
      <c r="G645" s="10"/>
      <c r="H645" s="11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7"/>
      <c r="B646" s="7"/>
      <c r="C646" s="5"/>
      <c r="D646" s="5"/>
      <c r="E646" s="9"/>
      <c r="F646" s="9"/>
      <c r="G646" s="10"/>
      <c r="H646" s="11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7"/>
      <c r="B647" s="7"/>
      <c r="C647" s="5"/>
      <c r="D647" s="5"/>
      <c r="E647" s="9"/>
      <c r="F647" s="9"/>
      <c r="G647" s="10"/>
      <c r="H647" s="11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7"/>
      <c r="B648" s="7"/>
      <c r="C648" s="5"/>
      <c r="D648" s="5"/>
      <c r="E648" s="9"/>
      <c r="F648" s="9"/>
      <c r="G648" s="10"/>
      <c r="H648" s="11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7"/>
      <c r="B649" s="7"/>
      <c r="C649" s="5"/>
      <c r="D649" s="5"/>
      <c r="E649" s="9"/>
      <c r="F649" s="9"/>
      <c r="G649" s="10"/>
      <c r="H649" s="11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7"/>
      <c r="B650" s="7"/>
      <c r="C650" s="5"/>
      <c r="D650" s="5"/>
      <c r="E650" s="9"/>
      <c r="F650" s="9"/>
      <c r="G650" s="10"/>
      <c r="H650" s="11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7"/>
      <c r="B651" s="7"/>
      <c r="C651" s="5"/>
      <c r="D651" s="5"/>
      <c r="E651" s="9"/>
      <c r="F651" s="9"/>
      <c r="G651" s="10"/>
      <c r="H651" s="11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7"/>
      <c r="B652" s="7"/>
      <c r="C652" s="5"/>
      <c r="D652" s="5"/>
      <c r="E652" s="9"/>
      <c r="F652" s="9"/>
      <c r="G652" s="10"/>
      <c r="H652" s="11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7"/>
      <c r="B653" s="7"/>
      <c r="C653" s="5"/>
      <c r="D653" s="5"/>
      <c r="E653" s="9"/>
      <c r="F653" s="9"/>
      <c r="G653" s="10"/>
      <c r="H653" s="11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7"/>
      <c r="B654" s="7"/>
      <c r="C654" s="5"/>
      <c r="D654" s="5"/>
      <c r="E654" s="9"/>
      <c r="F654" s="9"/>
      <c r="G654" s="10"/>
      <c r="H654" s="11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7"/>
      <c r="B655" s="7"/>
      <c r="C655" s="5"/>
      <c r="D655" s="5"/>
      <c r="E655" s="9"/>
      <c r="F655" s="9"/>
      <c r="G655" s="10"/>
      <c r="H655" s="11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7"/>
      <c r="B656" s="7"/>
      <c r="C656" s="5"/>
      <c r="D656" s="5"/>
      <c r="E656" s="9"/>
      <c r="F656" s="9"/>
      <c r="G656" s="10"/>
      <c r="H656" s="11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7"/>
      <c r="B657" s="7"/>
      <c r="C657" s="5"/>
      <c r="D657" s="5"/>
      <c r="E657" s="9"/>
      <c r="F657" s="9"/>
      <c r="G657" s="10"/>
      <c r="H657" s="11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7"/>
      <c r="B658" s="7"/>
      <c r="C658" s="5"/>
      <c r="D658" s="5"/>
      <c r="E658" s="9"/>
      <c r="F658" s="9"/>
      <c r="G658" s="10"/>
      <c r="H658" s="11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7"/>
      <c r="B659" s="7"/>
      <c r="C659" s="5"/>
      <c r="D659" s="5"/>
      <c r="E659" s="9"/>
      <c r="F659" s="9"/>
      <c r="G659" s="10"/>
      <c r="H659" s="11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7"/>
      <c r="B660" s="7"/>
      <c r="C660" s="5"/>
      <c r="D660" s="5"/>
      <c r="E660" s="9"/>
      <c r="F660" s="9"/>
      <c r="G660" s="10"/>
      <c r="H660" s="11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7"/>
      <c r="B661" s="7"/>
      <c r="C661" s="5"/>
      <c r="D661" s="5"/>
      <c r="E661" s="9"/>
      <c r="F661" s="9"/>
      <c r="G661" s="10"/>
      <c r="H661" s="11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7"/>
      <c r="B662" s="7"/>
      <c r="C662" s="5"/>
      <c r="D662" s="5"/>
      <c r="E662" s="9"/>
      <c r="F662" s="9"/>
      <c r="G662" s="10"/>
      <c r="H662" s="11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7"/>
      <c r="B663" s="7"/>
      <c r="C663" s="5"/>
      <c r="D663" s="5"/>
      <c r="E663" s="9"/>
      <c r="F663" s="9"/>
      <c r="G663" s="10"/>
      <c r="H663" s="11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7"/>
      <c r="B664" s="7"/>
      <c r="C664" s="5"/>
      <c r="D664" s="5"/>
      <c r="E664" s="9"/>
      <c r="F664" s="9"/>
      <c r="G664" s="10"/>
      <c r="H664" s="11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7"/>
      <c r="B665" s="7"/>
      <c r="C665" s="5"/>
      <c r="D665" s="5"/>
      <c r="E665" s="9"/>
      <c r="F665" s="9"/>
      <c r="G665" s="10"/>
      <c r="H665" s="11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7"/>
      <c r="B666" s="7"/>
      <c r="C666" s="5"/>
      <c r="D666" s="5"/>
      <c r="E666" s="9"/>
      <c r="F666" s="9"/>
      <c r="G666" s="10"/>
      <c r="H666" s="11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7"/>
      <c r="B667" s="7"/>
      <c r="C667" s="5"/>
      <c r="D667" s="5"/>
      <c r="E667" s="9"/>
      <c r="F667" s="9"/>
      <c r="G667" s="10"/>
      <c r="H667" s="11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7"/>
      <c r="B668" s="7"/>
      <c r="C668" s="5"/>
      <c r="D668" s="5"/>
      <c r="E668" s="9"/>
      <c r="F668" s="9"/>
      <c r="G668" s="10"/>
      <c r="H668" s="11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7"/>
      <c r="B669" s="7"/>
      <c r="C669" s="5"/>
      <c r="D669" s="5"/>
      <c r="E669" s="9"/>
      <c r="F669" s="9"/>
      <c r="G669" s="10"/>
      <c r="H669" s="11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7"/>
      <c r="B670" s="7"/>
      <c r="C670" s="5"/>
      <c r="D670" s="5"/>
      <c r="E670" s="9"/>
      <c r="F670" s="9"/>
      <c r="G670" s="10"/>
      <c r="H670" s="11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7"/>
      <c r="B671" s="7"/>
      <c r="C671" s="5"/>
      <c r="D671" s="5"/>
      <c r="E671" s="9"/>
      <c r="F671" s="9"/>
      <c r="G671" s="10"/>
      <c r="H671" s="11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7"/>
      <c r="B672" s="7"/>
      <c r="C672" s="5"/>
      <c r="D672" s="5"/>
      <c r="E672" s="9"/>
      <c r="F672" s="9"/>
      <c r="G672" s="10"/>
      <c r="H672" s="11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7"/>
      <c r="B673" s="7"/>
      <c r="C673" s="5"/>
      <c r="D673" s="5"/>
      <c r="E673" s="9"/>
      <c r="F673" s="9"/>
      <c r="G673" s="10"/>
      <c r="H673" s="11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7"/>
      <c r="B674" s="7"/>
      <c r="C674" s="5"/>
      <c r="D674" s="5"/>
      <c r="E674" s="9"/>
      <c r="F674" s="9"/>
      <c r="G674" s="10"/>
      <c r="H674" s="11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7"/>
      <c r="B675" s="7"/>
      <c r="C675" s="5"/>
      <c r="D675" s="5"/>
      <c r="E675" s="9"/>
      <c r="F675" s="9"/>
      <c r="G675" s="10"/>
      <c r="H675" s="11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7"/>
      <c r="B676" s="7"/>
      <c r="C676" s="5"/>
      <c r="D676" s="5"/>
      <c r="E676" s="9"/>
      <c r="F676" s="9"/>
      <c r="G676" s="10"/>
      <c r="H676" s="11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7"/>
      <c r="B677" s="7"/>
      <c r="C677" s="5"/>
      <c r="D677" s="5"/>
      <c r="E677" s="9"/>
      <c r="F677" s="9"/>
      <c r="G677" s="10"/>
      <c r="H677" s="11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7"/>
      <c r="B678" s="7"/>
      <c r="C678" s="5"/>
      <c r="D678" s="5"/>
      <c r="E678" s="9"/>
      <c r="F678" s="9"/>
      <c r="G678" s="10"/>
      <c r="H678" s="11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7"/>
      <c r="B679" s="7"/>
      <c r="C679" s="5"/>
      <c r="D679" s="5"/>
      <c r="E679" s="9"/>
      <c r="F679" s="9"/>
      <c r="G679" s="10"/>
      <c r="H679" s="11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7"/>
      <c r="B680" s="7"/>
      <c r="C680" s="5"/>
      <c r="D680" s="5"/>
      <c r="E680" s="9"/>
      <c r="F680" s="9"/>
      <c r="G680" s="10"/>
      <c r="H680" s="11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7"/>
      <c r="B681" s="7"/>
      <c r="C681" s="5"/>
      <c r="D681" s="5"/>
      <c r="E681" s="9"/>
      <c r="F681" s="9"/>
      <c r="G681" s="10"/>
      <c r="H681" s="11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7"/>
      <c r="B682" s="7"/>
      <c r="C682" s="5"/>
      <c r="D682" s="5"/>
      <c r="E682" s="9"/>
      <c r="F682" s="9"/>
      <c r="G682" s="10"/>
      <c r="H682" s="11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7"/>
      <c r="B683" s="7"/>
      <c r="C683" s="5"/>
      <c r="D683" s="5"/>
      <c r="E683" s="9"/>
      <c r="F683" s="9"/>
      <c r="G683" s="10"/>
      <c r="H683" s="11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7"/>
      <c r="B684" s="7"/>
      <c r="C684" s="5"/>
      <c r="D684" s="5"/>
      <c r="E684" s="9"/>
      <c r="F684" s="9"/>
      <c r="G684" s="10"/>
      <c r="H684" s="11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7"/>
      <c r="B685" s="7"/>
      <c r="C685" s="5"/>
      <c r="D685" s="5"/>
      <c r="E685" s="9"/>
      <c r="F685" s="9"/>
      <c r="G685" s="10"/>
      <c r="H685" s="11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7"/>
      <c r="B686" s="7"/>
      <c r="C686" s="5"/>
      <c r="D686" s="5"/>
      <c r="E686" s="9"/>
      <c r="F686" s="9"/>
      <c r="G686" s="10"/>
      <c r="H686" s="11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7"/>
      <c r="B687" s="7"/>
      <c r="C687" s="5"/>
      <c r="D687" s="5"/>
      <c r="E687" s="9"/>
      <c r="F687" s="9"/>
      <c r="G687" s="10"/>
      <c r="H687" s="11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7"/>
      <c r="B688" s="7"/>
      <c r="C688" s="5"/>
      <c r="D688" s="5"/>
      <c r="E688" s="9"/>
      <c r="F688" s="9"/>
      <c r="G688" s="10"/>
      <c r="H688" s="11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7"/>
      <c r="B689" s="7"/>
      <c r="C689" s="5"/>
      <c r="D689" s="5"/>
      <c r="E689" s="9"/>
      <c r="F689" s="9"/>
      <c r="G689" s="10"/>
      <c r="H689" s="11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7"/>
      <c r="B690" s="7"/>
      <c r="C690" s="5"/>
      <c r="D690" s="5"/>
      <c r="E690" s="9"/>
      <c r="F690" s="9"/>
      <c r="G690" s="10"/>
      <c r="H690" s="11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7"/>
      <c r="B691" s="7"/>
      <c r="C691" s="5"/>
      <c r="D691" s="5"/>
      <c r="E691" s="9"/>
      <c r="F691" s="9"/>
      <c r="G691" s="10"/>
      <c r="H691" s="11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7"/>
      <c r="B692" s="7"/>
      <c r="C692" s="5"/>
      <c r="D692" s="5"/>
      <c r="E692" s="9"/>
      <c r="F692" s="9"/>
      <c r="G692" s="10"/>
      <c r="H692" s="11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7"/>
      <c r="B693" s="7"/>
      <c r="C693" s="5"/>
      <c r="D693" s="5"/>
      <c r="E693" s="9"/>
      <c r="F693" s="9"/>
      <c r="G693" s="10"/>
      <c r="H693" s="11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7"/>
      <c r="B694" s="7"/>
      <c r="C694" s="5"/>
      <c r="D694" s="5"/>
      <c r="E694" s="9"/>
      <c r="F694" s="9"/>
      <c r="G694" s="10"/>
      <c r="H694" s="11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7"/>
      <c r="B695" s="7"/>
      <c r="C695" s="5"/>
      <c r="D695" s="5"/>
      <c r="E695" s="9"/>
      <c r="F695" s="9"/>
      <c r="G695" s="10"/>
      <c r="H695" s="11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7"/>
      <c r="B696" s="7"/>
      <c r="C696" s="5"/>
      <c r="D696" s="5"/>
      <c r="E696" s="9"/>
      <c r="F696" s="9"/>
      <c r="G696" s="10"/>
      <c r="H696" s="11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7"/>
      <c r="B697" s="7"/>
      <c r="C697" s="5"/>
      <c r="D697" s="5"/>
      <c r="E697" s="9"/>
      <c r="F697" s="9"/>
      <c r="G697" s="10"/>
      <c r="H697" s="11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7"/>
      <c r="B698" s="7"/>
      <c r="C698" s="5"/>
      <c r="D698" s="5"/>
      <c r="E698" s="9"/>
      <c r="F698" s="9"/>
      <c r="G698" s="10"/>
      <c r="H698" s="11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7"/>
      <c r="B699" s="7"/>
      <c r="C699" s="5"/>
      <c r="D699" s="5"/>
      <c r="E699" s="9"/>
      <c r="F699" s="9"/>
      <c r="G699" s="10"/>
      <c r="H699" s="11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7"/>
      <c r="B700" s="7"/>
      <c r="C700" s="5"/>
      <c r="D700" s="5"/>
      <c r="E700" s="9"/>
      <c r="F700" s="9"/>
      <c r="G700" s="10"/>
      <c r="H700" s="11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7"/>
      <c r="B701" s="7"/>
      <c r="C701" s="5"/>
      <c r="D701" s="5"/>
      <c r="E701" s="9"/>
      <c r="F701" s="9"/>
      <c r="G701" s="10"/>
      <c r="H701" s="11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7"/>
      <c r="B702" s="7"/>
      <c r="C702" s="5"/>
      <c r="D702" s="5"/>
      <c r="E702" s="9"/>
      <c r="F702" s="9"/>
      <c r="G702" s="10"/>
      <c r="H702" s="11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7"/>
      <c r="B703" s="7"/>
      <c r="C703" s="5"/>
      <c r="D703" s="5"/>
      <c r="E703" s="9"/>
      <c r="F703" s="9"/>
      <c r="G703" s="10"/>
      <c r="H703" s="11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7"/>
      <c r="B704" s="7"/>
      <c r="C704" s="5"/>
      <c r="D704" s="5"/>
      <c r="E704" s="9"/>
      <c r="F704" s="9"/>
      <c r="G704" s="10"/>
      <c r="H704" s="11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7"/>
      <c r="B705" s="7"/>
      <c r="C705" s="5"/>
      <c r="D705" s="5"/>
      <c r="E705" s="9"/>
      <c r="F705" s="9"/>
      <c r="G705" s="10"/>
      <c r="H705" s="11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7"/>
      <c r="B706" s="7"/>
      <c r="C706" s="5"/>
      <c r="D706" s="5"/>
      <c r="E706" s="9"/>
      <c r="F706" s="9"/>
      <c r="G706" s="10"/>
      <c r="H706" s="11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7"/>
      <c r="B707" s="7"/>
      <c r="C707" s="5"/>
      <c r="D707" s="5"/>
      <c r="E707" s="9"/>
      <c r="F707" s="9"/>
      <c r="G707" s="10"/>
      <c r="H707" s="11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7"/>
      <c r="B708" s="7"/>
      <c r="C708" s="5"/>
      <c r="D708" s="5"/>
      <c r="E708" s="9"/>
      <c r="F708" s="9"/>
      <c r="G708" s="10"/>
      <c r="H708" s="11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7"/>
      <c r="B709" s="7"/>
      <c r="C709" s="5"/>
      <c r="D709" s="5"/>
      <c r="E709" s="9"/>
      <c r="F709" s="9"/>
      <c r="G709" s="10"/>
      <c r="H709" s="11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7"/>
      <c r="B710" s="7"/>
      <c r="C710" s="5"/>
      <c r="D710" s="5"/>
      <c r="E710" s="9"/>
      <c r="F710" s="9"/>
      <c r="G710" s="10"/>
      <c r="H710" s="11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7"/>
      <c r="B711" s="7"/>
      <c r="C711" s="5"/>
      <c r="D711" s="5"/>
      <c r="E711" s="9"/>
      <c r="F711" s="9"/>
      <c r="G711" s="10"/>
      <c r="H711" s="11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7"/>
      <c r="B712" s="7"/>
      <c r="C712" s="5"/>
      <c r="D712" s="5"/>
      <c r="E712" s="9"/>
      <c r="F712" s="9"/>
      <c r="G712" s="10"/>
      <c r="H712" s="11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7"/>
      <c r="B713" s="7"/>
      <c r="C713" s="5"/>
      <c r="D713" s="5"/>
      <c r="E713" s="9"/>
      <c r="F713" s="9"/>
      <c r="G713" s="10"/>
      <c r="H713" s="11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7"/>
      <c r="B714" s="7"/>
      <c r="C714" s="5"/>
      <c r="D714" s="5"/>
      <c r="E714" s="9"/>
      <c r="F714" s="9"/>
      <c r="G714" s="10"/>
      <c r="H714" s="11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7"/>
      <c r="B715" s="7"/>
      <c r="C715" s="5"/>
      <c r="D715" s="5"/>
      <c r="E715" s="9"/>
      <c r="F715" s="9"/>
      <c r="G715" s="10"/>
      <c r="H715" s="11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7"/>
      <c r="B716" s="7"/>
      <c r="C716" s="5"/>
      <c r="D716" s="5"/>
      <c r="E716" s="9"/>
      <c r="F716" s="9"/>
      <c r="G716" s="10"/>
      <c r="H716" s="11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7"/>
      <c r="B717" s="7"/>
      <c r="C717" s="5"/>
      <c r="D717" s="5"/>
      <c r="E717" s="9"/>
      <c r="F717" s="9"/>
      <c r="G717" s="10"/>
      <c r="H717" s="11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7"/>
      <c r="B718" s="7"/>
      <c r="C718" s="5"/>
      <c r="D718" s="5"/>
      <c r="E718" s="9"/>
      <c r="F718" s="9"/>
      <c r="G718" s="10"/>
      <c r="H718" s="11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7"/>
      <c r="B719" s="7"/>
      <c r="C719" s="5"/>
      <c r="D719" s="5"/>
      <c r="E719" s="9"/>
      <c r="F719" s="9"/>
      <c r="G719" s="10"/>
      <c r="H719" s="11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7"/>
      <c r="B720" s="7"/>
      <c r="C720" s="5"/>
      <c r="D720" s="5"/>
      <c r="E720" s="9"/>
      <c r="F720" s="9"/>
      <c r="G720" s="10"/>
      <c r="H720" s="11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7"/>
      <c r="B721" s="7"/>
      <c r="C721" s="5"/>
      <c r="D721" s="5"/>
      <c r="E721" s="9"/>
      <c r="F721" s="9"/>
      <c r="G721" s="10"/>
      <c r="H721" s="11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7"/>
      <c r="B722" s="7"/>
      <c r="C722" s="5"/>
      <c r="D722" s="5"/>
      <c r="E722" s="9"/>
      <c r="F722" s="9"/>
      <c r="G722" s="10"/>
      <c r="H722" s="11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7"/>
      <c r="B723" s="7"/>
      <c r="C723" s="5"/>
      <c r="D723" s="5"/>
      <c r="E723" s="9"/>
      <c r="F723" s="9"/>
      <c r="G723" s="10"/>
      <c r="H723" s="11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7"/>
      <c r="B724" s="7"/>
      <c r="C724" s="5"/>
      <c r="D724" s="5"/>
      <c r="E724" s="9"/>
      <c r="F724" s="9"/>
      <c r="G724" s="10"/>
      <c r="H724" s="11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7"/>
      <c r="B725" s="7"/>
      <c r="C725" s="5"/>
      <c r="D725" s="5"/>
      <c r="E725" s="9"/>
      <c r="F725" s="9"/>
      <c r="G725" s="10"/>
      <c r="H725" s="11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7"/>
      <c r="B726" s="7"/>
      <c r="C726" s="5"/>
      <c r="D726" s="5"/>
      <c r="E726" s="9"/>
      <c r="F726" s="9"/>
      <c r="G726" s="10"/>
      <c r="H726" s="11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7"/>
      <c r="B727" s="7"/>
      <c r="C727" s="5"/>
      <c r="D727" s="5"/>
      <c r="E727" s="9"/>
      <c r="F727" s="9"/>
      <c r="G727" s="10"/>
      <c r="H727" s="11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7"/>
      <c r="B728" s="7"/>
      <c r="C728" s="5"/>
      <c r="D728" s="5"/>
      <c r="E728" s="9"/>
      <c r="F728" s="9"/>
      <c r="G728" s="10"/>
      <c r="H728" s="11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7"/>
      <c r="B729" s="7"/>
      <c r="C729" s="5"/>
      <c r="D729" s="5"/>
      <c r="E729" s="9"/>
      <c r="F729" s="9"/>
      <c r="G729" s="10"/>
      <c r="H729" s="11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7"/>
      <c r="B730" s="7"/>
      <c r="C730" s="5"/>
      <c r="D730" s="5"/>
      <c r="E730" s="9"/>
      <c r="F730" s="9"/>
      <c r="G730" s="10"/>
      <c r="H730" s="11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7"/>
      <c r="B731" s="7"/>
      <c r="C731" s="5"/>
      <c r="D731" s="5"/>
      <c r="E731" s="9"/>
      <c r="F731" s="9"/>
      <c r="G731" s="10"/>
      <c r="H731" s="11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7"/>
      <c r="B732" s="7"/>
      <c r="C732" s="5"/>
      <c r="D732" s="5"/>
      <c r="E732" s="9"/>
      <c r="F732" s="9"/>
      <c r="G732" s="10"/>
      <c r="H732" s="11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7"/>
      <c r="B733" s="7"/>
      <c r="C733" s="5"/>
      <c r="D733" s="5"/>
      <c r="E733" s="9"/>
      <c r="F733" s="9"/>
      <c r="G733" s="10"/>
      <c r="H733" s="11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7"/>
      <c r="B734" s="7"/>
      <c r="C734" s="5"/>
      <c r="D734" s="5"/>
      <c r="E734" s="9"/>
      <c r="F734" s="9"/>
      <c r="G734" s="10"/>
      <c r="H734" s="11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7"/>
      <c r="B735" s="7"/>
      <c r="C735" s="5"/>
      <c r="D735" s="5"/>
      <c r="E735" s="9"/>
      <c r="F735" s="9"/>
      <c r="G735" s="10"/>
      <c r="H735" s="11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7"/>
      <c r="B736" s="7"/>
      <c r="C736" s="5"/>
      <c r="D736" s="5"/>
      <c r="E736" s="9"/>
      <c r="F736" s="9"/>
      <c r="G736" s="10"/>
      <c r="H736" s="11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7"/>
      <c r="B737" s="7"/>
      <c r="C737" s="5"/>
      <c r="D737" s="5"/>
      <c r="E737" s="9"/>
      <c r="F737" s="9"/>
      <c r="G737" s="10"/>
      <c r="H737" s="11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7"/>
      <c r="B738" s="7"/>
      <c r="C738" s="5"/>
      <c r="D738" s="5"/>
      <c r="E738" s="9"/>
      <c r="F738" s="9"/>
      <c r="G738" s="10"/>
      <c r="H738" s="11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7"/>
      <c r="B739" s="7"/>
      <c r="C739" s="5"/>
      <c r="D739" s="5"/>
      <c r="E739" s="9"/>
      <c r="F739" s="9"/>
      <c r="G739" s="10"/>
      <c r="H739" s="11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7"/>
      <c r="B740" s="7"/>
      <c r="C740" s="5"/>
      <c r="D740" s="5"/>
      <c r="E740" s="9"/>
      <c r="F740" s="9"/>
      <c r="G740" s="10"/>
      <c r="H740" s="11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7"/>
      <c r="B741" s="7"/>
      <c r="C741" s="5"/>
      <c r="D741" s="5"/>
      <c r="E741" s="9"/>
      <c r="F741" s="9"/>
      <c r="G741" s="10"/>
      <c r="H741" s="11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7"/>
      <c r="B742" s="7"/>
      <c r="C742" s="5"/>
      <c r="D742" s="5"/>
      <c r="E742" s="9"/>
      <c r="F742" s="9"/>
      <c r="G742" s="10"/>
      <c r="H742" s="11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7"/>
      <c r="B743" s="7"/>
      <c r="C743" s="5"/>
      <c r="D743" s="5"/>
      <c r="E743" s="9"/>
      <c r="F743" s="9"/>
      <c r="G743" s="10"/>
      <c r="H743" s="11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7"/>
      <c r="B744" s="7"/>
      <c r="C744" s="5"/>
      <c r="D744" s="5"/>
      <c r="E744" s="9"/>
      <c r="F744" s="9"/>
      <c r="G744" s="10"/>
      <c r="H744" s="11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7"/>
      <c r="B745" s="7"/>
      <c r="C745" s="5"/>
      <c r="D745" s="5"/>
      <c r="E745" s="9"/>
      <c r="F745" s="9"/>
      <c r="G745" s="10"/>
      <c r="H745" s="11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7"/>
      <c r="B746" s="7"/>
      <c r="C746" s="5"/>
      <c r="D746" s="5"/>
      <c r="E746" s="9"/>
      <c r="F746" s="9"/>
      <c r="G746" s="10"/>
      <c r="H746" s="11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7"/>
      <c r="B747" s="7"/>
      <c r="C747" s="5"/>
      <c r="D747" s="5"/>
      <c r="E747" s="9"/>
      <c r="F747" s="9"/>
      <c r="G747" s="10"/>
      <c r="H747" s="11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7"/>
      <c r="B748" s="7"/>
      <c r="C748" s="5"/>
      <c r="D748" s="5"/>
      <c r="E748" s="9"/>
      <c r="F748" s="9"/>
      <c r="G748" s="10"/>
      <c r="H748" s="11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7"/>
      <c r="B749" s="7"/>
      <c r="C749" s="5"/>
      <c r="D749" s="5"/>
      <c r="E749" s="9"/>
      <c r="F749" s="9"/>
      <c r="G749" s="10"/>
      <c r="H749" s="11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7"/>
      <c r="B750" s="7"/>
      <c r="C750" s="5"/>
      <c r="D750" s="5"/>
      <c r="E750" s="9"/>
      <c r="F750" s="9"/>
      <c r="G750" s="10"/>
      <c r="H750" s="11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7"/>
      <c r="B751" s="7"/>
      <c r="C751" s="5"/>
      <c r="D751" s="5"/>
      <c r="E751" s="9"/>
      <c r="F751" s="9"/>
      <c r="G751" s="10"/>
      <c r="H751" s="11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7"/>
      <c r="B752" s="7"/>
      <c r="C752" s="5"/>
      <c r="D752" s="5"/>
      <c r="E752" s="9"/>
      <c r="F752" s="9"/>
      <c r="G752" s="10"/>
      <c r="H752" s="11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7"/>
      <c r="B753" s="7"/>
      <c r="C753" s="5"/>
      <c r="D753" s="5"/>
      <c r="E753" s="9"/>
      <c r="F753" s="9"/>
      <c r="G753" s="10"/>
      <c r="H753" s="11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7"/>
      <c r="B754" s="7"/>
      <c r="C754" s="5"/>
      <c r="D754" s="5"/>
      <c r="E754" s="9"/>
      <c r="F754" s="9"/>
      <c r="G754" s="10"/>
      <c r="H754" s="11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7"/>
      <c r="B755" s="7"/>
      <c r="C755" s="5"/>
      <c r="D755" s="5"/>
      <c r="E755" s="9"/>
      <c r="F755" s="9"/>
      <c r="G755" s="10"/>
      <c r="H755" s="11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7"/>
      <c r="B756" s="7"/>
      <c r="C756" s="5"/>
      <c r="D756" s="5"/>
      <c r="E756" s="9"/>
      <c r="F756" s="9"/>
      <c r="G756" s="10"/>
      <c r="H756" s="11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7"/>
      <c r="B757" s="7"/>
      <c r="C757" s="5"/>
      <c r="D757" s="5"/>
      <c r="E757" s="9"/>
      <c r="F757" s="9"/>
      <c r="G757" s="10"/>
      <c r="H757" s="11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7"/>
      <c r="B758" s="7"/>
      <c r="C758" s="5"/>
      <c r="D758" s="5"/>
      <c r="E758" s="9"/>
      <c r="F758" s="9"/>
      <c r="G758" s="10"/>
      <c r="H758" s="11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7"/>
      <c r="B759" s="7"/>
      <c r="C759" s="5"/>
      <c r="D759" s="5"/>
      <c r="E759" s="9"/>
      <c r="F759" s="9"/>
      <c r="G759" s="10"/>
      <c r="H759" s="11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7"/>
      <c r="B760" s="7"/>
      <c r="C760" s="5"/>
      <c r="D760" s="5"/>
      <c r="E760" s="9"/>
      <c r="F760" s="9"/>
      <c r="G760" s="10"/>
      <c r="H760" s="11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7"/>
      <c r="B761" s="7"/>
      <c r="C761" s="5"/>
      <c r="D761" s="5"/>
      <c r="E761" s="9"/>
      <c r="F761" s="9"/>
      <c r="G761" s="10"/>
      <c r="H761" s="11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7"/>
      <c r="B762" s="7"/>
      <c r="C762" s="5"/>
      <c r="D762" s="5"/>
      <c r="E762" s="9"/>
      <c r="F762" s="9"/>
      <c r="G762" s="10"/>
      <c r="H762" s="11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7"/>
      <c r="B763" s="7"/>
      <c r="C763" s="5"/>
      <c r="D763" s="5"/>
      <c r="E763" s="9"/>
      <c r="F763" s="9"/>
      <c r="G763" s="10"/>
      <c r="H763" s="11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7"/>
      <c r="B764" s="7"/>
      <c r="C764" s="5"/>
      <c r="D764" s="5"/>
      <c r="E764" s="9"/>
      <c r="F764" s="9"/>
      <c r="G764" s="10"/>
      <c r="H764" s="11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7"/>
      <c r="B765" s="7"/>
      <c r="C765" s="5"/>
      <c r="D765" s="5"/>
      <c r="E765" s="9"/>
      <c r="F765" s="9"/>
      <c r="G765" s="10"/>
      <c r="H765" s="11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7"/>
      <c r="B766" s="7"/>
      <c r="C766" s="5"/>
      <c r="D766" s="5"/>
      <c r="E766" s="9"/>
      <c r="F766" s="9"/>
      <c r="G766" s="10"/>
      <c r="H766" s="11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7"/>
      <c r="B767" s="7"/>
      <c r="C767" s="5"/>
      <c r="D767" s="5"/>
      <c r="E767" s="9"/>
      <c r="F767" s="9"/>
      <c r="G767" s="10"/>
      <c r="H767" s="11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7"/>
      <c r="B768" s="7"/>
      <c r="C768" s="5"/>
      <c r="D768" s="5"/>
      <c r="E768" s="9"/>
      <c r="F768" s="9"/>
      <c r="G768" s="10"/>
      <c r="H768" s="11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7"/>
      <c r="B769" s="7"/>
      <c r="C769" s="5"/>
      <c r="D769" s="5"/>
      <c r="E769" s="9"/>
      <c r="F769" s="9"/>
      <c r="G769" s="10"/>
      <c r="H769" s="11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7"/>
      <c r="B770" s="7"/>
      <c r="C770" s="5"/>
      <c r="D770" s="5"/>
      <c r="E770" s="9"/>
      <c r="F770" s="9"/>
      <c r="G770" s="10"/>
      <c r="H770" s="11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7"/>
      <c r="B771" s="7"/>
      <c r="C771" s="5"/>
      <c r="D771" s="5"/>
      <c r="E771" s="9"/>
      <c r="F771" s="9"/>
      <c r="G771" s="10"/>
      <c r="H771" s="11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7"/>
      <c r="B772" s="7"/>
      <c r="C772" s="5"/>
      <c r="D772" s="5"/>
      <c r="E772" s="9"/>
      <c r="F772" s="9"/>
      <c r="G772" s="10"/>
      <c r="H772" s="11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7"/>
      <c r="B773" s="7"/>
      <c r="C773" s="5"/>
      <c r="D773" s="5"/>
      <c r="E773" s="9"/>
      <c r="F773" s="9"/>
      <c r="G773" s="10"/>
      <c r="H773" s="11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7"/>
      <c r="B774" s="7"/>
      <c r="C774" s="5"/>
      <c r="D774" s="5"/>
      <c r="E774" s="9"/>
      <c r="F774" s="9"/>
      <c r="G774" s="10"/>
      <c r="H774" s="11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7"/>
      <c r="B775" s="7"/>
      <c r="C775" s="5"/>
      <c r="D775" s="5"/>
      <c r="E775" s="9"/>
      <c r="F775" s="9"/>
      <c r="G775" s="10"/>
      <c r="H775" s="11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7"/>
      <c r="B776" s="7"/>
      <c r="C776" s="5"/>
      <c r="D776" s="5"/>
      <c r="E776" s="9"/>
      <c r="F776" s="9"/>
      <c r="G776" s="10"/>
      <c r="H776" s="11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7"/>
      <c r="B777" s="7"/>
      <c r="C777" s="5"/>
      <c r="D777" s="5"/>
      <c r="E777" s="9"/>
      <c r="F777" s="9"/>
      <c r="G777" s="10"/>
      <c r="H777" s="11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7"/>
      <c r="B778" s="7"/>
      <c r="C778" s="5"/>
      <c r="D778" s="5"/>
      <c r="E778" s="9"/>
      <c r="F778" s="9"/>
      <c r="G778" s="10"/>
      <c r="H778" s="11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7"/>
      <c r="B779" s="7"/>
      <c r="C779" s="5"/>
      <c r="D779" s="5"/>
      <c r="E779" s="9"/>
      <c r="F779" s="9"/>
      <c r="G779" s="10"/>
      <c r="H779" s="11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7"/>
      <c r="B780" s="7"/>
      <c r="C780" s="5"/>
      <c r="D780" s="5"/>
      <c r="E780" s="9"/>
      <c r="F780" s="9"/>
      <c r="G780" s="10"/>
      <c r="H780" s="11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7"/>
      <c r="B781" s="7"/>
      <c r="C781" s="5"/>
      <c r="D781" s="5"/>
      <c r="E781" s="9"/>
      <c r="F781" s="9"/>
      <c r="G781" s="10"/>
      <c r="H781" s="11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7"/>
      <c r="B782" s="7"/>
      <c r="C782" s="5"/>
      <c r="D782" s="5"/>
      <c r="E782" s="9"/>
      <c r="F782" s="9"/>
      <c r="G782" s="10"/>
      <c r="H782" s="11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7"/>
      <c r="B783" s="7"/>
      <c r="C783" s="5"/>
      <c r="D783" s="5"/>
      <c r="E783" s="9"/>
      <c r="F783" s="9"/>
      <c r="G783" s="10"/>
      <c r="H783" s="11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7"/>
      <c r="B784" s="7"/>
      <c r="C784" s="5"/>
      <c r="D784" s="5"/>
      <c r="E784" s="9"/>
      <c r="F784" s="9"/>
      <c r="G784" s="10"/>
      <c r="H784" s="11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7"/>
      <c r="B785" s="7"/>
      <c r="C785" s="5"/>
      <c r="D785" s="5"/>
      <c r="E785" s="9"/>
      <c r="F785" s="9"/>
      <c r="G785" s="10"/>
      <c r="H785" s="11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7"/>
      <c r="B786" s="7"/>
      <c r="C786" s="5"/>
      <c r="D786" s="5"/>
      <c r="E786" s="9"/>
      <c r="F786" s="9"/>
      <c r="G786" s="10"/>
      <c r="H786" s="11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7"/>
      <c r="B787" s="7"/>
      <c r="C787" s="5"/>
      <c r="D787" s="5"/>
      <c r="E787" s="9"/>
      <c r="F787" s="9"/>
      <c r="G787" s="10"/>
      <c r="H787" s="11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7"/>
      <c r="B788" s="7"/>
      <c r="C788" s="5"/>
      <c r="D788" s="5"/>
      <c r="E788" s="9"/>
      <c r="F788" s="9"/>
      <c r="G788" s="10"/>
      <c r="H788" s="11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7"/>
      <c r="B789" s="7"/>
      <c r="C789" s="5"/>
      <c r="D789" s="5"/>
      <c r="E789" s="9"/>
      <c r="F789" s="9"/>
      <c r="G789" s="10"/>
      <c r="H789" s="11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7"/>
      <c r="B790" s="7"/>
      <c r="C790" s="5"/>
      <c r="D790" s="5"/>
      <c r="E790" s="9"/>
      <c r="F790" s="9"/>
      <c r="G790" s="10"/>
      <c r="H790" s="11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7"/>
      <c r="B791" s="7"/>
      <c r="C791" s="5"/>
      <c r="D791" s="5"/>
      <c r="E791" s="9"/>
      <c r="F791" s="9"/>
      <c r="G791" s="10"/>
      <c r="H791" s="11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7"/>
      <c r="B792" s="7"/>
      <c r="C792" s="5"/>
      <c r="D792" s="5"/>
      <c r="E792" s="9"/>
      <c r="F792" s="9"/>
      <c r="G792" s="10"/>
      <c r="H792" s="11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7"/>
      <c r="B793" s="7"/>
      <c r="C793" s="5"/>
      <c r="D793" s="5"/>
      <c r="E793" s="9"/>
      <c r="F793" s="9"/>
      <c r="G793" s="10"/>
      <c r="H793" s="11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7"/>
      <c r="B794" s="7"/>
      <c r="C794" s="5"/>
      <c r="D794" s="5"/>
      <c r="E794" s="9"/>
      <c r="F794" s="9"/>
      <c r="G794" s="10"/>
      <c r="H794" s="11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7"/>
      <c r="B795" s="7"/>
      <c r="C795" s="5"/>
      <c r="D795" s="5"/>
      <c r="E795" s="9"/>
      <c r="F795" s="9"/>
      <c r="G795" s="10"/>
      <c r="H795" s="11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7"/>
      <c r="B796" s="7"/>
      <c r="C796" s="5"/>
      <c r="D796" s="5"/>
      <c r="E796" s="9"/>
      <c r="F796" s="9"/>
      <c r="G796" s="10"/>
      <c r="H796" s="11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7"/>
      <c r="B797" s="7"/>
      <c r="C797" s="5"/>
      <c r="D797" s="5"/>
      <c r="E797" s="9"/>
      <c r="F797" s="9"/>
      <c r="G797" s="10"/>
      <c r="H797" s="11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7"/>
      <c r="B798" s="7"/>
      <c r="C798" s="5"/>
      <c r="D798" s="5"/>
      <c r="E798" s="9"/>
      <c r="F798" s="9"/>
      <c r="G798" s="10"/>
      <c r="H798" s="11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7"/>
      <c r="B799" s="7"/>
      <c r="C799" s="5"/>
      <c r="D799" s="5"/>
      <c r="E799" s="9"/>
      <c r="F799" s="9"/>
      <c r="G799" s="10"/>
      <c r="H799" s="11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7"/>
      <c r="B800" s="7"/>
      <c r="C800" s="5"/>
      <c r="D800" s="5"/>
      <c r="E800" s="9"/>
      <c r="F800" s="9"/>
      <c r="G800" s="10"/>
      <c r="H800" s="11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7"/>
      <c r="B801" s="7"/>
      <c r="C801" s="5"/>
      <c r="D801" s="5"/>
      <c r="E801" s="9"/>
      <c r="F801" s="9"/>
      <c r="G801" s="10"/>
      <c r="H801" s="11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7"/>
      <c r="B802" s="7"/>
      <c r="C802" s="5"/>
      <c r="D802" s="5"/>
      <c r="E802" s="9"/>
      <c r="F802" s="9"/>
      <c r="G802" s="10"/>
      <c r="H802" s="11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7"/>
      <c r="B803" s="7"/>
      <c r="C803" s="5"/>
      <c r="D803" s="5"/>
      <c r="E803" s="9"/>
      <c r="F803" s="9"/>
      <c r="G803" s="10"/>
      <c r="H803" s="11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7"/>
      <c r="B804" s="7"/>
      <c r="C804" s="5"/>
      <c r="D804" s="5"/>
      <c r="E804" s="9"/>
      <c r="F804" s="9"/>
      <c r="G804" s="10"/>
      <c r="H804" s="11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7"/>
      <c r="B805" s="7"/>
      <c r="C805" s="5"/>
      <c r="D805" s="5"/>
      <c r="E805" s="9"/>
      <c r="F805" s="9"/>
      <c r="G805" s="10"/>
      <c r="H805" s="11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7"/>
      <c r="B806" s="7"/>
      <c r="C806" s="5"/>
      <c r="D806" s="5"/>
      <c r="E806" s="9"/>
      <c r="F806" s="9"/>
      <c r="G806" s="10"/>
      <c r="H806" s="11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7"/>
      <c r="B807" s="7"/>
      <c r="C807" s="5"/>
      <c r="D807" s="5"/>
      <c r="E807" s="9"/>
      <c r="F807" s="9"/>
      <c r="G807" s="10"/>
      <c r="H807" s="11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7"/>
      <c r="B808" s="7"/>
      <c r="C808" s="5"/>
      <c r="D808" s="5"/>
      <c r="E808" s="9"/>
      <c r="F808" s="9"/>
      <c r="G808" s="10"/>
      <c r="H808" s="11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7"/>
      <c r="B809" s="7"/>
      <c r="C809" s="5"/>
      <c r="D809" s="5"/>
      <c r="E809" s="9"/>
      <c r="F809" s="9"/>
      <c r="G809" s="10"/>
      <c r="H809" s="11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7"/>
      <c r="B810" s="7"/>
      <c r="C810" s="5"/>
      <c r="D810" s="5"/>
      <c r="E810" s="9"/>
      <c r="F810" s="9"/>
      <c r="G810" s="10"/>
      <c r="H810" s="11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7"/>
      <c r="B811" s="7"/>
      <c r="C811" s="5"/>
      <c r="D811" s="5"/>
      <c r="E811" s="9"/>
      <c r="F811" s="9"/>
      <c r="G811" s="10"/>
      <c r="H811" s="11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7"/>
      <c r="B812" s="7"/>
      <c r="C812" s="5"/>
      <c r="D812" s="5"/>
      <c r="E812" s="9"/>
      <c r="F812" s="9"/>
      <c r="G812" s="10"/>
      <c r="H812" s="11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7"/>
      <c r="B813" s="7"/>
      <c r="C813" s="5"/>
      <c r="D813" s="5"/>
      <c r="E813" s="9"/>
      <c r="F813" s="9"/>
      <c r="G813" s="10"/>
      <c r="H813" s="11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7"/>
      <c r="B814" s="7"/>
      <c r="C814" s="5"/>
      <c r="D814" s="5"/>
      <c r="E814" s="9"/>
      <c r="F814" s="9"/>
      <c r="G814" s="10"/>
      <c r="H814" s="11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7"/>
      <c r="B815" s="7"/>
      <c r="C815" s="5"/>
      <c r="D815" s="5"/>
      <c r="E815" s="9"/>
      <c r="F815" s="9"/>
      <c r="G815" s="10"/>
      <c r="H815" s="11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7"/>
      <c r="B816" s="7"/>
      <c r="C816" s="5"/>
      <c r="D816" s="5"/>
      <c r="E816" s="9"/>
      <c r="F816" s="9"/>
      <c r="G816" s="10"/>
      <c r="H816" s="11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7"/>
      <c r="B817" s="7"/>
      <c r="C817" s="5"/>
      <c r="D817" s="5"/>
      <c r="E817" s="9"/>
      <c r="F817" s="9"/>
      <c r="G817" s="10"/>
      <c r="H817" s="11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7"/>
      <c r="B818" s="7"/>
      <c r="C818" s="5"/>
      <c r="D818" s="5"/>
      <c r="E818" s="9"/>
      <c r="F818" s="9"/>
      <c r="G818" s="10"/>
      <c r="H818" s="11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7"/>
      <c r="B819" s="7"/>
      <c r="C819" s="5"/>
      <c r="D819" s="5"/>
      <c r="E819" s="9"/>
      <c r="F819" s="9"/>
      <c r="G819" s="10"/>
      <c r="H819" s="11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7"/>
      <c r="B820" s="7"/>
      <c r="C820" s="5"/>
      <c r="D820" s="5"/>
      <c r="E820" s="9"/>
      <c r="F820" s="9"/>
      <c r="G820" s="10"/>
      <c r="H820" s="11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7"/>
      <c r="B821" s="7"/>
      <c r="C821" s="5"/>
      <c r="D821" s="5"/>
      <c r="E821" s="9"/>
      <c r="F821" s="9"/>
      <c r="G821" s="10"/>
      <c r="H821" s="11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7"/>
      <c r="B822" s="7"/>
      <c r="C822" s="5"/>
      <c r="D822" s="5"/>
      <c r="E822" s="9"/>
      <c r="F822" s="9"/>
      <c r="G822" s="10"/>
      <c r="H822" s="11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7"/>
      <c r="B823" s="7"/>
      <c r="C823" s="5"/>
      <c r="D823" s="5"/>
      <c r="E823" s="9"/>
      <c r="F823" s="9"/>
      <c r="G823" s="10"/>
      <c r="H823" s="11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7"/>
      <c r="B824" s="7"/>
      <c r="C824" s="5"/>
      <c r="D824" s="5"/>
      <c r="E824" s="9"/>
      <c r="F824" s="9"/>
      <c r="G824" s="10"/>
      <c r="H824" s="11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7"/>
      <c r="B825" s="7"/>
      <c r="C825" s="5"/>
      <c r="D825" s="5"/>
      <c r="E825" s="9"/>
      <c r="F825" s="9"/>
      <c r="G825" s="10"/>
      <c r="H825" s="11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7"/>
      <c r="B826" s="7"/>
      <c r="C826" s="5"/>
      <c r="D826" s="5"/>
      <c r="E826" s="9"/>
      <c r="F826" s="9"/>
      <c r="G826" s="10"/>
      <c r="H826" s="11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7"/>
      <c r="B827" s="7"/>
      <c r="C827" s="5"/>
      <c r="D827" s="5"/>
      <c r="E827" s="9"/>
      <c r="F827" s="9"/>
      <c r="G827" s="10"/>
      <c r="H827" s="11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7"/>
      <c r="B828" s="7"/>
      <c r="C828" s="5"/>
      <c r="D828" s="5"/>
      <c r="E828" s="9"/>
      <c r="F828" s="9"/>
      <c r="G828" s="10"/>
      <c r="H828" s="11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7"/>
      <c r="B829" s="7"/>
      <c r="C829" s="5"/>
      <c r="D829" s="5"/>
      <c r="E829" s="9"/>
      <c r="F829" s="9"/>
      <c r="G829" s="10"/>
      <c r="H829" s="11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7"/>
      <c r="B830" s="7"/>
      <c r="C830" s="5"/>
      <c r="D830" s="5"/>
      <c r="E830" s="9"/>
      <c r="F830" s="9"/>
      <c r="G830" s="10"/>
      <c r="H830" s="11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7"/>
      <c r="B831" s="7"/>
      <c r="C831" s="5"/>
      <c r="D831" s="5"/>
      <c r="E831" s="9"/>
      <c r="F831" s="9"/>
      <c r="G831" s="10"/>
      <c r="H831" s="11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7"/>
      <c r="B832" s="7"/>
      <c r="C832" s="5"/>
      <c r="D832" s="5"/>
      <c r="E832" s="9"/>
      <c r="F832" s="9"/>
      <c r="G832" s="10"/>
      <c r="H832" s="11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7"/>
      <c r="B833" s="7"/>
      <c r="C833" s="5"/>
      <c r="D833" s="5"/>
      <c r="E833" s="9"/>
      <c r="F833" s="9"/>
      <c r="G833" s="10"/>
      <c r="H833" s="11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7"/>
      <c r="B834" s="7"/>
      <c r="C834" s="5"/>
      <c r="D834" s="5"/>
      <c r="E834" s="9"/>
      <c r="F834" s="9"/>
      <c r="G834" s="10"/>
      <c r="H834" s="11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7"/>
      <c r="B835" s="7"/>
      <c r="C835" s="5"/>
      <c r="D835" s="5"/>
      <c r="E835" s="9"/>
      <c r="F835" s="9"/>
      <c r="G835" s="10"/>
      <c r="H835" s="11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7"/>
      <c r="B836" s="7"/>
      <c r="C836" s="5"/>
      <c r="D836" s="5"/>
      <c r="E836" s="9"/>
      <c r="F836" s="9"/>
      <c r="G836" s="10"/>
      <c r="H836" s="11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7"/>
      <c r="B837" s="7"/>
      <c r="C837" s="5"/>
      <c r="D837" s="5"/>
      <c r="E837" s="9"/>
      <c r="F837" s="9"/>
      <c r="G837" s="10"/>
      <c r="H837" s="11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7"/>
      <c r="B838" s="7"/>
      <c r="C838" s="5"/>
      <c r="D838" s="5"/>
      <c r="E838" s="9"/>
      <c r="F838" s="9"/>
      <c r="G838" s="10"/>
      <c r="H838" s="11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7"/>
      <c r="B839" s="7"/>
      <c r="C839" s="5"/>
      <c r="D839" s="5"/>
      <c r="E839" s="9"/>
      <c r="F839" s="9"/>
      <c r="G839" s="10"/>
      <c r="H839" s="11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7"/>
      <c r="B840" s="7"/>
      <c r="C840" s="5"/>
      <c r="D840" s="5"/>
      <c r="E840" s="9"/>
      <c r="F840" s="9"/>
      <c r="G840" s="10"/>
      <c r="H840" s="11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7"/>
      <c r="B841" s="7"/>
      <c r="C841" s="5"/>
      <c r="D841" s="5"/>
      <c r="E841" s="9"/>
      <c r="F841" s="9"/>
      <c r="G841" s="10"/>
      <c r="H841" s="11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7"/>
      <c r="B842" s="7"/>
      <c r="C842" s="5"/>
      <c r="D842" s="5"/>
      <c r="E842" s="9"/>
      <c r="F842" s="9"/>
      <c r="G842" s="10"/>
      <c r="H842" s="11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7"/>
      <c r="B843" s="7"/>
      <c r="C843" s="5"/>
      <c r="D843" s="5"/>
      <c r="E843" s="9"/>
      <c r="F843" s="9"/>
      <c r="G843" s="10"/>
      <c r="H843" s="11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7"/>
      <c r="B844" s="7"/>
      <c r="C844" s="5"/>
      <c r="D844" s="5"/>
      <c r="E844" s="9"/>
      <c r="F844" s="9"/>
      <c r="G844" s="10"/>
      <c r="H844" s="11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7"/>
      <c r="B845" s="7"/>
      <c r="C845" s="5"/>
      <c r="D845" s="5"/>
      <c r="E845" s="9"/>
      <c r="F845" s="9"/>
      <c r="G845" s="10"/>
      <c r="H845" s="11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7"/>
      <c r="B846" s="7"/>
      <c r="C846" s="5"/>
      <c r="D846" s="5"/>
      <c r="E846" s="9"/>
      <c r="F846" s="9"/>
      <c r="G846" s="10"/>
      <c r="H846" s="11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7"/>
      <c r="B847" s="7"/>
      <c r="C847" s="5"/>
      <c r="D847" s="5"/>
      <c r="E847" s="9"/>
      <c r="F847" s="9"/>
      <c r="G847" s="10"/>
      <c r="H847" s="11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7"/>
      <c r="B848" s="7"/>
      <c r="C848" s="5"/>
      <c r="D848" s="5"/>
      <c r="E848" s="9"/>
      <c r="F848" s="9"/>
      <c r="G848" s="10"/>
      <c r="H848" s="11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7"/>
      <c r="B849" s="7"/>
      <c r="C849" s="5"/>
      <c r="D849" s="5"/>
      <c r="E849" s="9"/>
      <c r="F849" s="9"/>
      <c r="G849" s="10"/>
      <c r="H849" s="11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7"/>
      <c r="B850" s="7"/>
      <c r="C850" s="5"/>
      <c r="D850" s="5"/>
      <c r="E850" s="9"/>
      <c r="F850" s="9"/>
      <c r="G850" s="10"/>
      <c r="H850" s="11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7"/>
      <c r="B851" s="7"/>
      <c r="C851" s="5"/>
      <c r="D851" s="5"/>
      <c r="E851" s="9"/>
      <c r="F851" s="9"/>
      <c r="G851" s="10"/>
      <c r="H851" s="11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7"/>
      <c r="B852" s="7"/>
      <c r="C852" s="5"/>
      <c r="D852" s="5"/>
      <c r="E852" s="9"/>
      <c r="F852" s="9"/>
      <c r="G852" s="10"/>
      <c r="H852" s="11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7"/>
      <c r="B853" s="7"/>
      <c r="C853" s="5"/>
      <c r="D853" s="5"/>
      <c r="E853" s="9"/>
      <c r="F853" s="9"/>
      <c r="G853" s="10"/>
      <c r="H853" s="11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7"/>
      <c r="B854" s="7"/>
      <c r="C854" s="5"/>
      <c r="D854" s="5"/>
      <c r="E854" s="9"/>
      <c r="F854" s="9"/>
      <c r="G854" s="10"/>
      <c r="H854" s="11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7"/>
      <c r="B855" s="7"/>
      <c r="C855" s="5"/>
      <c r="D855" s="5"/>
      <c r="E855" s="9"/>
      <c r="F855" s="9"/>
      <c r="G855" s="10"/>
      <c r="H855" s="11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7"/>
      <c r="B856" s="7"/>
      <c r="C856" s="5"/>
      <c r="D856" s="5"/>
      <c r="E856" s="9"/>
      <c r="F856" s="9"/>
      <c r="G856" s="10"/>
      <c r="H856" s="11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7"/>
      <c r="B857" s="7"/>
      <c r="C857" s="5"/>
      <c r="D857" s="5"/>
      <c r="E857" s="9"/>
      <c r="F857" s="9"/>
      <c r="G857" s="10"/>
      <c r="H857" s="11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7"/>
      <c r="B858" s="7"/>
      <c r="C858" s="5"/>
      <c r="D858" s="5"/>
      <c r="E858" s="9"/>
      <c r="F858" s="9"/>
      <c r="G858" s="10"/>
      <c r="H858" s="11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7"/>
      <c r="B859" s="7"/>
      <c r="C859" s="5"/>
      <c r="D859" s="5"/>
      <c r="E859" s="9"/>
      <c r="F859" s="9"/>
      <c r="G859" s="10"/>
      <c r="H859" s="11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7"/>
      <c r="B860" s="7"/>
      <c r="C860" s="5"/>
      <c r="D860" s="5"/>
      <c r="E860" s="9"/>
      <c r="F860" s="9"/>
      <c r="G860" s="10"/>
      <c r="H860" s="11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7"/>
      <c r="B861" s="7"/>
      <c r="C861" s="5"/>
      <c r="D861" s="5"/>
      <c r="E861" s="9"/>
      <c r="F861" s="9"/>
      <c r="G861" s="10"/>
      <c r="H861" s="11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7"/>
      <c r="B862" s="7"/>
      <c r="C862" s="5"/>
      <c r="D862" s="5"/>
      <c r="E862" s="9"/>
      <c r="F862" s="9"/>
      <c r="G862" s="10"/>
      <c r="H862" s="11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7"/>
      <c r="B863" s="7"/>
      <c r="C863" s="5"/>
      <c r="D863" s="5"/>
      <c r="E863" s="9"/>
      <c r="F863" s="9"/>
      <c r="G863" s="10"/>
      <c r="H863" s="11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7"/>
      <c r="B864" s="7"/>
      <c r="C864" s="5"/>
      <c r="D864" s="5"/>
      <c r="E864" s="9"/>
      <c r="F864" s="9"/>
      <c r="G864" s="10"/>
      <c r="H864" s="11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7"/>
      <c r="B865" s="7"/>
      <c r="C865" s="5"/>
      <c r="D865" s="5"/>
      <c r="E865" s="9"/>
      <c r="F865" s="9"/>
      <c r="G865" s="10"/>
      <c r="H865" s="11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7"/>
      <c r="B866" s="7"/>
      <c r="C866" s="5"/>
      <c r="D866" s="5"/>
      <c r="E866" s="9"/>
      <c r="F866" s="9"/>
      <c r="G866" s="10"/>
      <c r="H866" s="11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7"/>
      <c r="B867" s="7"/>
      <c r="C867" s="5"/>
      <c r="D867" s="5"/>
      <c r="E867" s="9"/>
      <c r="F867" s="9"/>
      <c r="G867" s="10"/>
      <c r="H867" s="11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7"/>
      <c r="B868" s="7"/>
      <c r="C868" s="5"/>
      <c r="D868" s="5"/>
      <c r="E868" s="9"/>
      <c r="F868" s="9"/>
      <c r="G868" s="10"/>
      <c r="H868" s="11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7"/>
      <c r="B869" s="7"/>
      <c r="C869" s="5"/>
      <c r="D869" s="5"/>
      <c r="E869" s="9"/>
      <c r="F869" s="9"/>
      <c r="G869" s="10"/>
      <c r="H869" s="11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7"/>
      <c r="B870" s="7"/>
      <c r="C870" s="5"/>
      <c r="D870" s="5"/>
      <c r="E870" s="9"/>
      <c r="F870" s="9"/>
      <c r="G870" s="10"/>
      <c r="H870" s="11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7"/>
      <c r="B871" s="7"/>
      <c r="C871" s="5"/>
      <c r="D871" s="5"/>
      <c r="E871" s="9"/>
      <c r="F871" s="9"/>
      <c r="G871" s="10"/>
      <c r="H871" s="11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7"/>
      <c r="B872" s="7"/>
      <c r="C872" s="5"/>
      <c r="D872" s="5"/>
      <c r="E872" s="9"/>
      <c r="F872" s="9"/>
      <c r="G872" s="10"/>
      <c r="H872" s="11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7"/>
      <c r="B873" s="7"/>
      <c r="C873" s="5"/>
      <c r="D873" s="5"/>
      <c r="E873" s="9"/>
      <c r="F873" s="9"/>
      <c r="G873" s="10"/>
      <c r="H873" s="11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7"/>
      <c r="B874" s="7"/>
      <c r="C874" s="5"/>
      <c r="D874" s="5"/>
      <c r="E874" s="9"/>
      <c r="F874" s="9"/>
      <c r="G874" s="10"/>
      <c r="H874" s="11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7"/>
      <c r="B875" s="7"/>
      <c r="C875" s="5"/>
      <c r="D875" s="5"/>
      <c r="E875" s="9"/>
      <c r="F875" s="9"/>
      <c r="G875" s="10"/>
      <c r="H875" s="11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7"/>
      <c r="B876" s="7"/>
      <c r="C876" s="5"/>
      <c r="D876" s="5"/>
      <c r="E876" s="9"/>
      <c r="F876" s="9"/>
      <c r="G876" s="10"/>
      <c r="H876" s="11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7"/>
      <c r="B877" s="7"/>
      <c r="C877" s="5"/>
      <c r="D877" s="5"/>
      <c r="E877" s="9"/>
      <c r="F877" s="9"/>
      <c r="G877" s="10"/>
      <c r="H877" s="11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7"/>
      <c r="B878" s="7"/>
      <c r="C878" s="5"/>
      <c r="D878" s="5"/>
      <c r="E878" s="9"/>
      <c r="F878" s="9"/>
      <c r="G878" s="10"/>
      <c r="H878" s="11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7"/>
      <c r="B879" s="7"/>
      <c r="C879" s="5"/>
      <c r="D879" s="5"/>
      <c r="E879" s="9"/>
      <c r="F879" s="9"/>
      <c r="G879" s="10"/>
      <c r="H879" s="11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7"/>
      <c r="B880" s="7"/>
      <c r="C880" s="5"/>
      <c r="D880" s="5"/>
      <c r="E880" s="9"/>
      <c r="F880" s="9"/>
      <c r="G880" s="10"/>
      <c r="H880" s="11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7"/>
      <c r="B881" s="7"/>
      <c r="C881" s="5"/>
      <c r="D881" s="5"/>
      <c r="E881" s="9"/>
      <c r="F881" s="9"/>
      <c r="G881" s="10"/>
      <c r="H881" s="11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7"/>
      <c r="B882" s="7"/>
      <c r="C882" s="5"/>
      <c r="D882" s="5"/>
      <c r="E882" s="9"/>
      <c r="F882" s="9"/>
      <c r="G882" s="10"/>
      <c r="H882" s="11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7"/>
      <c r="B883" s="7"/>
      <c r="C883" s="5"/>
      <c r="D883" s="5"/>
      <c r="E883" s="9"/>
      <c r="F883" s="9"/>
      <c r="G883" s="10"/>
      <c r="H883" s="11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7"/>
      <c r="B884" s="7"/>
      <c r="C884" s="5"/>
      <c r="D884" s="5"/>
      <c r="E884" s="9"/>
      <c r="F884" s="9"/>
      <c r="G884" s="10"/>
      <c r="H884" s="11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7"/>
      <c r="B885" s="7"/>
      <c r="C885" s="5"/>
      <c r="D885" s="5"/>
      <c r="E885" s="9"/>
      <c r="F885" s="9"/>
      <c r="G885" s="10"/>
      <c r="H885" s="11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7"/>
      <c r="B886" s="7"/>
      <c r="C886" s="5"/>
      <c r="D886" s="5"/>
      <c r="E886" s="9"/>
      <c r="F886" s="9"/>
      <c r="G886" s="10"/>
      <c r="H886" s="11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7"/>
      <c r="B887" s="7"/>
      <c r="C887" s="5"/>
      <c r="D887" s="5"/>
      <c r="E887" s="9"/>
      <c r="F887" s="9"/>
      <c r="G887" s="10"/>
      <c r="H887" s="11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7"/>
      <c r="B888" s="7"/>
      <c r="C888" s="5"/>
      <c r="D888" s="5"/>
      <c r="E888" s="9"/>
      <c r="F888" s="9"/>
      <c r="G888" s="10"/>
      <c r="H888" s="11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7"/>
      <c r="B889" s="7"/>
      <c r="C889" s="5"/>
      <c r="D889" s="5"/>
      <c r="E889" s="9"/>
      <c r="F889" s="9"/>
      <c r="G889" s="10"/>
      <c r="H889" s="11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7"/>
      <c r="B890" s="7"/>
      <c r="C890" s="5"/>
      <c r="D890" s="5"/>
      <c r="E890" s="9"/>
      <c r="F890" s="9"/>
      <c r="G890" s="10"/>
      <c r="H890" s="11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7"/>
      <c r="B891" s="7"/>
      <c r="C891" s="5"/>
      <c r="D891" s="5"/>
      <c r="E891" s="9"/>
      <c r="F891" s="9"/>
      <c r="G891" s="10"/>
      <c r="H891" s="11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7"/>
      <c r="B892" s="7"/>
      <c r="C892" s="5"/>
      <c r="D892" s="5"/>
      <c r="E892" s="9"/>
      <c r="F892" s="9"/>
      <c r="G892" s="10"/>
      <c r="H892" s="11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7"/>
      <c r="B893" s="7"/>
      <c r="C893" s="5"/>
      <c r="D893" s="5"/>
      <c r="E893" s="9"/>
      <c r="F893" s="9"/>
      <c r="G893" s="10"/>
      <c r="H893" s="11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7"/>
      <c r="B894" s="7"/>
      <c r="C894" s="5"/>
      <c r="D894" s="5"/>
      <c r="E894" s="9"/>
      <c r="F894" s="9"/>
      <c r="G894" s="10"/>
      <c r="H894" s="11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7"/>
      <c r="B895" s="7"/>
      <c r="C895" s="5"/>
      <c r="D895" s="5"/>
      <c r="E895" s="9"/>
      <c r="F895" s="9"/>
      <c r="G895" s="10"/>
      <c r="H895" s="11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7"/>
      <c r="B896" s="7"/>
      <c r="C896" s="5"/>
      <c r="D896" s="5"/>
      <c r="E896" s="9"/>
      <c r="F896" s="9"/>
      <c r="G896" s="10"/>
      <c r="H896" s="11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7"/>
      <c r="B897" s="7"/>
      <c r="C897" s="5"/>
      <c r="D897" s="5"/>
      <c r="E897" s="9"/>
      <c r="F897" s="9"/>
      <c r="G897" s="10"/>
      <c r="H897" s="11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7"/>
      <c r="B898" s="7"/>
      <c r="C898" s="5"/>
      <c r="D898" s="5"/>
      <c r="E898" s="9"/>
      <c r="F898" s="9"/>
      <c r="G898" s="10"/>
      <c r="H898" s="11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7"/>
      <c r="B899" s="7"/>
      <c r="C899" s="5"/>
      <c r="D899" s="5"/>
      <c r="E899" s="9"/>
      <c r="F899" s="9"/>
      <c r="G899" s="10"/>
      <c r="H899" s="11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7"/>
      <c r="B900" s="7"/>
      <c r="C900" s="5"/>
      <c r="D900" s="5"/>
      <c r="E900" s="9"/>
      <c r="F900" s="9"/>
      <c r="G900" s="10"/>
      <c r="H900" s="11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7"/>
      <c r="B901" s="7"/>
      <c r="C901" s="5"/>
      <c r="D901" s="5"/>
      <c r="E901" s="9"/>
      <c r="F901" s="9"/>
      <c r="G901" s="10"/>
      <c r="H901" s="11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7"/>
      <c r="B902" s="7"/>
      <c r="C902" s="5"/>
      <c r="D902" s="5"/>
      <c r="E902" s="9"/>
      <c r="F902" s="9"/>
      <c r="G902" s="10"/>
      <c r="H902" s="11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7"/>
      <c r="B903" s="7"/>
      <c r="C903" s="5"/>
      <c r="D903" s="5"/>
      <c r="E903" s="9"/>
      <c r="F903" s="9"/>
      <c r="G903" s="10"/>
      <c r="H903" s="11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7"/>
      <c r="B904" s="7"/>
      <c r="C904" s="5"/>
      <c r="D904" s="5"/>
      <c r="E904" s="9"/>
      <c r="F904" s="9"/>
      <c r="G904" s="10"/>
      <c r="H904" s="11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7"/>
      <c r="B905" s="7"/>
      <c r="C905" s="5"/>
      <c r="D905" s="5"/>
      <c r="E905" s="9"/>
      <c r="F905" s="9"/>
      <c r="G905" s="10"/>
      <c r="H905" s="11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7"/>
      <c r="B906" s="7"/>
      <c r="C906" s="5"/>
      <c r="D906" s="5"/>
      <c r="E906" s="9"/>
      <c r="F906" s="9"/>
      <c r="G906" s="10"/>
      <c r="H906" s="11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7"/>
      <c r="B907" s="7"/>
      <c r="C907" s="5"/>
      <c r="D907" s="5"/>
      <c r="E907" s="9"/>
      <c r="F907" s="9"/>
      <c r="G907" s="10"/>
      <c r="H907" s="11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7"/>
      <c r="B908" s="7"/>
      <c r="C908" s="5"/>
      <c r="D908" s="5"/>
      <c r="E908" s="9"/>
      <c r="F908" s="9"/>
      <c r="G908" s="10"/>
      <c r="H908" s="11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7"/>
      <c r="B909" s="7"/>
      <c r="C909" s="5"/>
      <c r="D909" s="5"/>
      <c r="E909" s="9"/>
      <c r="F909" s="9"/>
      <c r="G909" s="10"/>
      <c r="H909" s="11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7"/>
      <c r="B910" s="7"/>
      <c r="C910" s="5"/>
      <c r="D910" s="5"/>
      <c r="E910" s="9"/>
      <c r="F910" s="9"/>
      <c r="G910" s="10"/>
      <c r="H910" s="11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7"/>
      <c r="B911" s="7"/>
      <c r="C911" s="5"/>
      <c r="D911" s="5"/>
      <c r="E911" s="9"/>
      <c r="F911" s="9"/>
      <c r="G911" s="10"/>
      <c r="H911" s="11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7"/>
      <c r="B912" s="7"/>
      <c r="C912" s="5"/>
      <c r="D912" s="5"/>
      <c r="E912" s="9"/>
      <c r="F912" s="9"/>
      <c r="G912" s="10"/>
      <c r="H912" s="11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7"/>
      <c r="B913" s="7"/>
      <c r="C913" s="5"/>
      <c r="D913" s="5"/>
      <c r="E913" s="9"/>
      <c r="F913" s="9"/>
      <c r="G913" s="10"/>
      <c r="H913" s="11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7"/>
      <c r="B914" s="7"/>
      <c r="C914" s="5"/>
      <c r="D914" s="5"/>
      <c r="E914" s="9"/>
      <c r="F914" s="9"/>
      <c r="G914" s="10"/>
      <c r="H914" s="11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7"/>
      <c r="B915" s="7"/>
      <c r="C915" s="5"/>
      <c r="D915" s="5"/>
      <c r="E915" s="9"/>
      <c r="F915" s="9"/>
      <c r="G915" s="10"/>
      <c r="H915" s="11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7"/>
      <c r="B916" s="7"/>
      <c r="C916" s="5"/>
      <c r="D916" s="5"/>
      <c r="E916" s="9"/>
      <c r="F916" s="9"/>
      <c r="G916" s="10"/>
      <c r="H916" s="11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7"/>
      <c r="B917" s="7"/>
      <c r="C917" s="5"/>
      <c r="D917" s="5"/>
      <c r="E917" s="9"/>
      <c r="F917" s="9"/>
      <c r="G917" s="10"/>
      <c r="H917" s="11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7"/>
      <c r="B918" s="7"/>
      <c r="C918" s="5"/>
      <c r="D918" s="5"/>
      <c r="E918" s="9"/>
      <c r="F918" s="9"/>
      <c r="G918" s="10"/>
      <c r="H918" s="11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7"/>
      <c r="B919" s="7"/>
      <c r="C919" s="5"/>
      <c r="D919" s="5"/>
      <c r="E919" s="9"/>
      <c r="F919" s="9"/>
      <c r="G919" s="10"/>
      <c r="H919" s="11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7"/>
      <c r="B920" s="7"/>
      <c r="C920" s="5"/>
      <c r="D920" s="5"/>
      <c r="E920" s="9"/>
      <c r="F920" s="9"/>
      <c r="G920" s="10"/>
      <c r="H920" s="11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7"/>
      <c r="B921" s="7"/>
      <c r="C921" s="5"/>
      <c r="D921" s="5"/>
      <c r="E921" s="9"/>
      <c r="F921" s="9"/>
      <c r="G921" s="10"/>
      <c r="H921" s="11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7"/>
      <c r="B922" s="7"/>
      <c r="C922" s="5"/>
      <c r="D922" s="5"/>
      <c r="E922" s="9"/>
      <c r="F922" s="9"/>
      <c r="G922" s="10"/>
      <c r="H922" s="11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7"/>
      <c r="B923" s="7"/>
      <c r="C923" s="5"/>
      <c r="D923" s="5"/>
      <c r="E923" s="9"/>
      <c r="F923" s="9"/>
      <c r="G923" s="10"/>
      <c r="H923" s="11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7"/>
      <c r="B924" s="7"/>
      <c r="C924" s="5"/>
      <c r="D924" s="5"/>
      <c r="E924" s="9"/>
      <c r="F924" s="9"/>
      <c r="G924" s="10"/>
      <c r="H924" s="11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7"/>
      <c r="B925" s="7"/>
      <c r="C925" s="5"/>
      <c r="D925" s="5"/>
      <c r="E925" s="9"/>
      <c r="F925" s="9"/>
      <c r="G925" s="10"/>
      <c r="H925" s="11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7"/>
      <c r="B926" s="7"/>
      <c r="C926" s="5"/>
      <c r="D926" s="5"/>
      <c r="E926" s="9"/>
      <c r="F926" s="9"/>
      <c r="G926" s="10"/>
      <c r="H926" s="11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7"/>
      <c r="B927" s="7"/>
      <c r="C927" s="5"/>
      <c r="D927" s="5"/>
      <c r="E927" s="9"/>
      <c r="F927" s="9"/>
      <c r="G927" s="10"/>
      <c r="H927" s="11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7"/>
      <c r="B928" s="7"/>
      <c r="C928" s="5"/>
      <c r="D928" s="5"/>
      <c r="E928" s="9"/>
      <c r="F928" s="9"/>
      <c r="G928" s="10"/>
      <c r="H928" s="11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7"/>
      <c r="B929" s="7"/>
      <c r="C929" s="5"/>
      <c r="D929" s="5"/>
      <c r="E929" s="9"/>
      <c r="F929" s="9"/>
      <c r="G929" s="10"/>
      <c r="H929" s="11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7"/>
      <c r="B930" s="7"/>
      <c r="C930" s="5"/>
      <c r="D930" s="5"/>
      <c r="E930" s="9"/>
      <c r="F930" s="9"/>
      <c r="G930" s="10"/>
      <c r="H930" s="11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7"/>
      <c r="B931" s="7"/>
      <c r="C931" s="5"/>
      <c r="D931" s="5"/>
      <c r="E931" s="9"/>
      <c r="F931" s="9"/>
      <c r="G931" s="10"/>
      <c r="H931" s="11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7"/>
      <c r="B932" s="7"/>
      <c r="C932" s="5"/>
      <c r="D932" s="5"/>
      <c r="E932" s="9"/>
      <c r="F932" s="9"/>
      <c r="G932" s="10"/>
      <c r="H932" s="11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7"/>
      <c r="B933" s="7"/>
      <c r="C933" s="5"/>
      <c r="D933" s="5"/>
      <c r="E933" s="9"/>
      <c r="F933" s="9"/>
      <c r="G933" s="10"/>
      <c r="H933" s="11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7"/>
      <c r="B934" s="7"/>
      <c r="C934" s="5"/>
      <c r="D934" s="5"/>
      <c r="E934" s="9"/>
      <c r="F934" s="9"/>
      <c r="G934" s="10"/>
      <c r="H934" s="11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7"/>
      <c r="B935" s="7"/>
      <c r="C935" s="5"/>
      <c r="D935" s="5"/>
      <c r="E935" s="9"/>
      <c r="F935" s="9"/>
      <c r="G935" s="10"/>
      <c r="H935" s="11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7"/>
      <c r="B936" s="7"/>
      <c r="C936" s="5"/>
      <c r="D936" s="5"/>
      <c r="E936" s="9"/>
      <c r="F936" s="9"/>
      <c r="G936" s="10"/>
      <c r="H936" s="11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7"/>
      <c r="B937" s="7"/>
      <c r="C937" s="5"/>
      <c r="D937" s="5"/>
      <c r="E937" s="9"/>
      <c r="F937" s="9"/>
      <c r="G937" s="10"/>
      <c r="H937" s="11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7"/>
      <c r="B938" s="7"/>
      <c r="C938" s="5"/>
      <c r="D938" s="5"/>
      <c r="E938" s="9"/>
      <c r="F938" s="9"/>
      <c r="G938" s="10"/>
      <c r="H938" s="11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7"/>
      <c r="B939" s="7"/>
      <c r="C939" s="5"/>
      <c r="D939" s="5"/>
      <c r="E939" s="9"/>
      <c r="F939" s="9"/>
      <c r="G939" s="10"/>
      <c r="H939" s="11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7"/>
      <c r="B940" s="7"/>
      <c r="C940" s="5"/>
      <c r="D940" s="5"/>
      <c r="E940" s="9"/>
      <c r="F940" s="9"/>
      <c r="G940" s="10"/>
      <c r="H940" s="11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7"/>
      <c r="B941" s="7"/>
      <c r="C941" s="5"/>
      <c r="D941" s="5"/>
      <c r="E941" s="9"/>
      <c r="F941" s="9"/>
      <c r="G941" s="10"/>
      <c r="H941" s="11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7"/>
      <c r="B942" s="7"/>
      <c r="C942" s="5"/>
      <c r="D942" s="5"/>
      <c r="E942" s="9"/>
      <c r="F942" s="9"/>
      <c r="G942" s="10"/>
      <c r="H942" s="11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7"/>
      <c r="B943" s="7"/>
      <c r="C943" s="5"/>
      <c r="D943" s="5"/>
      <c r="E943" s="9"/>
      <c r="F943" s="9"/>
      <c r="G943" s="10"/>
      <c r="H943" s="11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7"/>
      <c r="B944" s="7"/>
      <c r="C944" s="5"/>
      <c r="D944" s="5"/>
      <c r="E944" s="9"/>
      <c r="F944" s="9"/>
      <c r="G944" s="10"/>
      <c r="H944" s="11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7"/>
      <c r="B945" s="7"/>
      <c r="C945" s="5"/>
      <c r="D945" s="5"/>
      <c r="E945" s="9"/>
      <c r="F945" s="9"/>
      <c r="G945" s="10"/>
      <c r="H945" s="11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7"/>
      <c r="B946" s="7"/>
      <c r="C946" s="5"/>
      <c r="D946" s="5"/>
      <c r="E946" s="9"/>
      <c r="F946" s="9"/>
      <c r="G946" s="10"/>
      <c r="H946" s="11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7"/>
      <c r="B947" s="7"/>
      <c r="C947" s="5"/>
      <c r="D947" s="5"/>
      <c r="E947" s="9"/>
      <c r="F947" s="9"/>
      <c r="G947" s="10"/>
      <c r="H947" s="11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7"/>
      <c r="B948" s="7"/>
      <c r="C948" s="5"/>
      <c r="D948" s="5"/>
      <c r="E948" s="9"/>
      <c r="F948" s="9"/>
      <c r="G948" s="10"/>
      <c r="H948" s="11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7"/>
      <c r="B949" s="7"/>
      <c r="C949" s="5"/>
      <c r="D949" s="5"/>
      <c r="E949" s="9"/>
      <c r="F949" s="9"/>
      <c r="G949" s="10"/>
      <c r="H949" s="11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7"/>
      <c r="B950" s="7"/>
      <c r="C950" s="5"/>
      <c r="D950" s="5"/>
      <c r="E950" s="9"/>
      <c r="F950" s="9"/>
      <c r="G950" s="10"/>
      <c r="H950" s="11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7"/>
      <c r="B951" s="7"/>
      <c r="C951" s="5"/>
      <c r="D951" s="5"/>
      <c r="E951" s="9"/>
      <c r="F951" s="9"/>
      <c r="G951" s="10"/>
      <c r="H951" s="11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7"/>
      <c r="B952" s="7"/>
      <c r="C952" s="5"/>
      <c r="D952" s="5"/>
      <c r="E952" s="9"/>
      <c r="F952" s="9"/>
      <c r="G952" s="10"/>
      <c r="H952" s="11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7"/>
      <c r="B953" s="7"/>
      <c r="C953" s="5"/>
      <c r="D953" s="5"/>
      <c r="E953" s="9"/>
      <c r="F953" s="9"/>
      <c r="G953" s="10"/>
      <c r="H953" s="11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7"/>
      <c r="B954" s="7"/>
      <c r="C954" s="5"/>
      <c r="D954" s="5"/>
      <c r="E954" s="9"/>
      <c r="F954" s="9"/>
      <c r="G954" s="10"/>
      <c r="H954" s="11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7"/>
      <c r="B955" s="7"/>
      <c r="C955" s="5"/>
      <c r="D955" s="5"/>
      <c r="E955" s="9"/>
      <c r="F955" s="9"/>
      <c r="G955" s="10"/>
      <c r="H955" s="11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7"/>
      <c r="B956" s="7"/>
      <c r="C956" s="5"/>
      <c r="D956" s="5"/>
      <c r="E956" s="9"/>
      <c r="F956" s="9"/>
      <c r="G956" s="10"/>
      <c r="H956" s="11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7"/>
      <c r="B957" s="7"/>
      <c r="C957" s="5"/>
      <c r="D957" s="5"/>
      <c r="E957" s="9"/>
      <c r="F957" s="9"/>
      <c r="G957" s="10"/>
      <c r="H957" s="11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7"/>
      <c r="B958" s="7"/>
      <c r="C958" s="5"/>
      <c r="D958" s="5"/>
      <c r="E958" s="9"/>
      <c r="F958" s="9"/>
      <c r="G958" s="10"/>
      <c r="H958" s="11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7"/>
      <c r="B959" s="7"/>
      <c r="C959" s="5"/>
      <c r="D959" s="5"/>
      <c r="E959" s="9"/>
      <c r="F959" s="9"/>
      <c r="G959" s="10"/>
      <c r="H959" s="11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7"/>
      <c r="B960" s="7"/>
      <c r="C960" s="5"/>
      <c r="D960" s="5"/>
      <c r="E960" s="9"/>
      <c r="F960" s="9"/>
      <c r="G960" s="10"/>
      <c r="H960" s="11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7"/>
      <c r="B961" s="7"/>
      <c r="C961" s="5"/>
      <c r="D961" s="5"/>
      <c r="E961" s="9"/>
      <c r="F961" s="9"/>
      <c r="G961" s="10"/>
      <c r="H961" s="11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7"/>
      <c r="B962" s="7"/>
      <c r="C962" s="5"/>
      <c r="D962" s="5"/>
      <c r="E962" s="9"/>
      <c r="F962" s="9"/>
      <c r="G962" s="10"/>
      <c r="H962" s="11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7"/>
      <c r="B963" s="7"/>
      <c r="C963" s="5"/>
      <c r="D963" s="5"/>
      <c r="E963" s="9"/>
      <c r="F963" s="9"/>
      <c r="G963" s="10"/>
      <c r="H963" s="11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7"/>
      <c r="B964" s="7"/>
      <c r="C964" s="5"/>
      <c r="D964" s="5"/>
      <c r="E964" s="9"/>
      <c r="F964" s="9"/>
      <c r="G964" s="10"/>
      <c r="H964" s="11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7"/>
      <c r="B965" s="7"/>
      <c r="C965" s="5"/>
      <c r="D965" s="5"/>
      <c r="E965" s="9"/>
      <c r="F965" s="9"/>
      <c r="G965" s="10"/>
      <c r="H965" s="11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7"/>
      <c r="B966" s="7"/>
      <c r="C966" s="5"/>
      <c r="D966" s="5"/>
      <c r="E966" s="9"/>
      <c r="F966" s="9"/>
      <c r="G966" s="10"/>
      <c r="H966" s="11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7"/>
      <c r="B967" s="7"/>
      <c r="C967" s="5"/>
      <c r="D967" s="5"/>
      <c r="E967" s="9"/>
      <c r="F967" s="9"/>
      <c r="G967" s="10"/>
      <c r="H967" s="11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7"/>
      <c r="B968" s="7"/>
      <c r="C968" s="5"/>
      <c r="D968" s="5"/>
      <c r="E968" s="9"/>
      <c r="F968" s="9"/>
      <c r="G968" s="10"/>
      <c r="H968" s="11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7"/>
      <c r="B969" s="7"/>
      <c r="C969" s="5"/>
      <c r="D969" s="5"/>
      <c r="E969" s="9"/>
      <c r="F969" s="9"/>
      <c r="G969" s="10"/>
      <c r="H969" s="11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7"/>
      <c r="B970" s="7"/>
      <c r="C970" s="5"/>
      <c r="D970" s="5"/>
      <c r="E970" s="9"/>
      <c r="F970" s="9"/>
      <c r="G970" s="10"/>
      <c r="H970" s="11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7"/>
      <c r="B971" s="7"/>
      <c r="C971" s="5"/>
      <c r="D971" s="5"/>
      <c r="E971" s="9"/>
      <c r="F971" s="9"/>
      <c r="G971" s="10"/>
      <c r="H971" s="11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7"/>
      <c r="B972" s="7"/>
      <c r="C972" s="5"/>
      <c r="D972" s="5"/>
      <c r="E972" s="9"/>
      <c r="F972" s="9"/>
      <c r="G972" s="10"/>
      <c r="H972" s="11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7"/>
      <c r="B973" s="7"/>
      <c r="C973" s="5"/>
      <c r="D973" s="5"/>
      <c r="E973" s="9"/>
      <c r="F973" s="9"/>
      <c r="G973" s="10"/>
      <c r="H973" s="11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7"/>
      <c r="B974" s="7"/>
      <c r="C974" s="5"/>
      <c r="D974" s="5"/>
      <c r="E974" s="9"/>
      <c r="F974" s="9"/>
      <c r="G974" s="10"/>
      <c r="H974" s="11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7"/>
      <c r="B975" s="7"/>
      <c r="C975" s="5"/>
      <c r="D975" s="5"/>
      <c r="E975" s="9"/>
      <c r="F975" s="9"/>
      <c r="G975" s="10"/>
      <c r="H975" s="11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7"/>
      <c r="B976" s="7"/>
      <c r="C976" s="5"/>
      <c r="D976" s="5"/>
      <c r="E976" s="9"/>
      <c r="F976" s="9"/>
      <c r="G976" s="10"/>
      <c r="H976" s="11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7"/>
      <c r="B977" s="7"/>
      <c r="C977" s="5"/>
      <c r="D977" s="5"/>
      <c r="E977" s="9"/>
      <c r="F977" s="9"/>
      <c r="G977" s="10"/>
      <c r="H977" s="11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7"/>
      <c r="B978" s="7"/>
      <c r="C978" s="5"/>
      <c r="D978" s="5"/>
      <c r="E978" s="9"/>
      <c r="F978" s="9"/>
      <c r="G978" s="10"/>
      <c r="H978" s="11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7"/>
      <c r="B979" s="7"/>
      <c r="C979" s="5"/>
      <c r="D979" s="5"/>
      <c r="E979" s="9"/>
      <c r="F979" s="9"/>
      <c r="G979" s="10"/>
      <c r="H979" s="11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7"/>
      <c r="B980" s="7"/>
      <c r="C980" s="5"/>
      <c r="D980" s="5"/>
      <c r="E980" s="9"/>
      <c r="F980" s="9"/>
      <c r="G980" s="10"/>
      <c r="H980" s="11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7"/>
      <c r="B981" s="7"/>
      <c r="C981" s="5"/>
      <c r="D981" s="5"/>
      <c r="E981" s="9"/>
      <c r="F981" s="9"/>
      <c r="G981" s="10"/>
      <c r="H981" s="11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7"/>
      <c r="B982" s="7"/>
      <c r="C982" s="5"/>
      <c r="D982" s="5"/>
      <c r="E982" s="9"/>
      <c r="F982" s="9"/>
      <c r="G982" s="10"/>
      <c r="H982" s="11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7"/>
      <c r="B983" s="7"/>
      <c r="C983" s="5"/>
      <c r="D983" s="5"/>
      <c r="E983" s="9"/>
      <c r="F983" s="9"/>
      <c r="G983" s="10"/>
      <c r="H983" s="11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7"/>
      <c r="B984" s="7"/>
      <c r="C984" s="5"/>
      <c r="D984" s="5"/>
      <c r="E984" s="9"/>
      <c r="F984" s="9"/>
      <c r="G984" s="10"/>
      <c r="H984" s="11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7"/>
      <c r="B985" s="7"/>
      <c r="C985" s="5"/>
      <c r="D985" s="5"/>
      <c r="E985" s="9"/>
      <c r="F985" s="9"/>
      <c r="G985" s="10"/>
      <c r="H985" s="11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7"/>
      <c r="B986" s="7"/>
      <c r="C986" s="5"/>
      <c r="D986" s="5"/>
      <c r="E986" s="9"/>
      <c r="F986" s="9"/>
      <c r="G986" s="10"/>
      <c r="H986" s="11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7"/>
      <c r="B987" s="7"/>
      <c r="C987" s="5"/>
      <c r="D987" s="5"/>
      <c r="E987" s="9"/>
      <c r="F987" s="9"/>
      <c r="G987" s="10"/>
      <c r="H987" s="11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7"/>
      <c r="B988" s="7"/>
      <c r="C988" s="5"/>
      <c r="D988" s="5"/>
      <c r="E988" s="9"/>
      <c r="F988" s="9"/>
      <c r="G988" s="10"/>
      <c r="H988" s="11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7"/>
      <c r="B989" s="7"/>
      <c r="C989" s="5"/>
      <c r="D989" s="5"/>
      <c r="E989" s="9"/>
      <c r="F989" s="9"/>
      <c r="G989" s="10"/>
      <c r="H989" s="11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7"/>
      <c r="B990" s="7"/>
      <c r="C990" s="5"/>
      <c r="D990" s="5"/>
      <c r="E990" s="9"/>
      <c r="F990" s="9"/>
      <c r="G990" s="10"/>
      <c r="H990" s="11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7"/>
      <c r="B991" s="7"/>
      <c r="C991" s="5"/>
      <c r="D991" s="5"/>
      <c r="E991" s="9"/>
      <c r="F991" s="9"/>
      <c r="G991" s="10"/>
      <c r="H991" s="11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7"/>
      <c r="B992" s="7"/>
      <c r="C992" s="5"/>
      <c r="D992" s="5"/>
      <c r="E992" s="9"/>
      <c r="F992" s="9"/>
      <c r="G992" s="10"/>
      <c r="H992" s="11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7"/>
      <c r="B993" s="7"/>
      <c r="C993" s="5"/>
      <c r="D993" s="5"/>
      <c r="E993" s="9"/>
      <c r="F993" s="9"/>
      <c r="G993" s="10"/>
      <c r="H993" s="11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7"/>
      <c r="B994" s="7"/>
      <c r="C994" s="5"/>
      <c r="D994" s="5"/>
      <c r="E994" s="9"/>
      <c r="F994" s="9"/>
      <c r="G994" s="10"/>
      <c r="H994" s="11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7"/>
      <c r="B995" s="7"/>
      <c r="C995" s="5"/>
      <c r="D995" s="5"/>
      <c r="E995" s="9"/>
      <c r="F995" s="9"/>
      <c r="G995" s="10"/>
      <c r="H995" s="11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7"/>
      <c r="B996" s="7"/>
      <c r="C996" s="5"/>
      <c r="D996" s="5"/>
      <c r="E996" s="9"/>
      <c r="F996" s="9"/>
      <c r="G996" s="10"/>
      <c r="H996" s="11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7"/>
      <c r="B997" s="7"/>
      <c r="C997" s="5"/>
      <c r="D997" s="5"/>
      <c r="E997" s="9"/>
      <c r="F997" s="9"/>
      <c r="G997" s="10"/>
      <c r="H997" s="11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7"/>
      <c r="B998" s="7"/>
      <c r="C998" s="5"/>
      <c r="D998" s="5"/>
      <c r="E998" s="9"/>
      <c r="F998" s="9"/>
      <c r="G998" s="10"/>
      <c r="H998" s="11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7"/>
      <c r="B999" s="7"/>
      <c r="C999" s="5"/>
      <c r="D999" s="5"/>
      <c r="E999" s="9"/>
      <c r="F999" s="9"/>
      <c r="G999" s="10"/>
      <c r="H999" s="11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7"/>
      <c r="B1000" s="7"/>
      <c r="C1000" s="5"/>
      <c r="D1000" s="5"/>
      <c r="E1000" s="9"/>
      <c r="F1000" s="9"/>
      <c r="G1000" s="10"/>
      <c r="H1000" s="11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6:$H$42">
    <sortState ref="A6:H42">
      <sortCondition descending="1" ref="F6:F42"/>
    </sortState>
  </autoFilter>
  <mergeCells count="4">
    <mergeCell ref="A1:H1"/>
    <mergeCell ref="A2:H2"/>
    <mergeCell ref="A5:H5"/>
    <mergeCell ref="A57:B57"/>
  </mergeCells>
  <printOptions/>
  <pageMargins bottom="0.75" footer="0.0" header="0.0" left="0.7" right="0.2" top="0.75"/>
  <pageSetup orientation="portrait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6.14"/>
    <col customWidth="1" min="2" max="2" width="26.29"/>
    <col customWidth="1" min="3" max="3" width="13.43"/>
    <col customWidth="1" min="4" max="4" width="5.57"/>
    <col customWidth="1" min="5" max="6" width="13.57"/>
    <col customWidth="1" min="7" max="7" width="14.14"/>
    <col customWidth="1" min="8" max="8" width="19.0"/>
    <col customWidth="1" min="9" max="11" width="9.14"/>
    <col customWidth="1" min="12" max="26" width="8.71"/>
  </cols>
  <sheetData>
    <row r="1" ht="16.5" customHeight="1">
      <c r="A1" s="2" t="s">
        <v>0</v>
      </c>
      <c r="B1" s="3"/>
      <c r="C1" s="3"/>
      <c r="D1" s="3"/>
      <c r="E1" s="3"/>
      <c r="F1" s="3"/>
      <c r="G1" s="3"/>
      <c r="H1" s="4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6" t="s">
        <v>2</v>
      </c>
      <c r="B2" s="3"/>
      <c r="C2" s="3"/>
      <c r="D2" s="3"/>
      <c r="E2" s="3"/>
      <c r="F2" s="3"/>
      <c r="G2" s="3"/>
      <c r="H2" s="4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7"/>
      <c r="B3" s="7"/>
      <c r="C3" s="5"/>
      <c r="D3" s="5"/>
      <c r="E3" s="9"/>
      <c r="F3" s="9"/>
      <c r="G3" s="10"/>
      <c r="H3" s="11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7"/>
      <c r="B4" s="7"/>
      <c r="C4" s="5"/>
      <c r="D4" s="5"/>
      <c r="E4" s="9"/>
      <c r="F4" s="9"/>
      <c r="G4" s="10"/>
      <c r="H4" s="11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9.0" customHeight="1">
      <c r="A5" s="128"/>
      <c r="B5" s="129"/>
      <c r="C5" s="129"/>
      <c r="D5" s="129"/>
      <c r="E5" s="129"/>
      <c r="F5" s="129"/>
      <c r="G5" s="129"/>
      <c r="H5" s="131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143" t="s">
        <v>3</v>
      </c>
      <c r="B6" s="143" t="s">
        <v>4</v>
      </c>
      <c r="C6" s="144" t="s">
        <v>5</v>
      </c>
      <c r="D6" s="146" t="s">
        <v>115</v>
      </c>
      <c r="E6" s="147" t="s">
        <v>116</v>
      </c>
      <c r="F6" s="147" t="s">
        <v>141</v>
      </c>
      <c r="G6" s="173" t="s">
        <v>118</v>
      </c>
      <c r="H6" s="143" t="s">
        <v>119</v>
      </c>
      <c r="I6" s="19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4.75" customHeight="1">
      <c r="A7" s="148" t="s">
        <v>14</v>
      </c>
      <c r="B7" s="149" t="s">
        <v>144</v>
      </c>
      <c r="C7" s="150">
        <v>45791.0</v>
      </c>
      <c r="D7" s="151">
        <f t="shared" ref="D7:D8" si="1">31</f>
        <v>31</v>
      </c>
      <c r="E7" s="152">
        <f>145000+55000</f>
        <v>200000</v>
      </c>
      <c r="F7" s="174">
        <f>E7/31*D7</f>
        <v>200000</v>
      </c>
      <c r="G7" s="177">
        <f>F7-50000-30000-120000</f>
        <v>0</v>
      </c>
      <c r="H7" s="156" t="s">
        <v>17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4.75" customHeight="1">
      <c r="A8" s="148" t="s">
        <v>18</v>
      </c>
      <c r="B8" s="149" t="s">
        <v>114</v>
      </c>
      <c r="C8" s="150">
        <v>44774.0</v>
      </c>
      <c r="D8" s="178">
        <f t="shared" si="1"/>
        <v>31</v>
      </c>
      <c r="E8" s="152">
        <v>110000.0</v>
      </c>
      <c r="F8" s="174">
        <f>E8/31*D8-1150</f>
        <v>108850</v>
      </c>
      <c r="G8" s="179">
        <f>F8-108850</f>
        <v>0</v>
      </c>
      <c r="H8" s="156" t="s">
        <v>24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4.75" customHeight="1">
      <c r="A9" s="148" t="s">
        <v>22</v>
      </c>
      <c r="B9" s="149" t="s">
        <v>23</v>
      </c>
      <c r="C9" s="150">
        <v>45787.0</v>
      </c>
      <c r="D9" s="178">
        <v>31.0</v>
      </c>
      <c r="E9" s="152">
        <v>75000.0</v>
      </c>
      <c r="F9" s="174">
        <v>69036.0</v>
      </c>
      <c r="G9" s="179">
        <f>F9-69036</f>
        <v>0</v>
      </c>
      <c r="H9" s="156" t="s">
        <v>24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4.75" customHeight="1">
      <c r="A10" s="148" t="s">
        <v>25</v>
      </c>
      <c r="B10" s="149" t="s">
        <v>26</v>
      </c>
      <c r="C10" s="150">
        <v>44251.0</v>
      </c>
      <c r="D10" s="178">
        <v>31.0</v>
      </c>
      <c r="E10" s="152">
        <v>75000.0</v>
      </c>
      <c r="F10" s="174">
        <f>E10/31*D10-417</f>
        <v>74583</v>
      </c>
      <c r="G10" s="179">
        <f>F10-50000-24583</f>
        <v>0</v>
      </c>
      <c r="H10" s="156" t="s">
        <v>24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4.75" customHeight="1">
      <c r="A11" s="148" t="s">
        <v>27</v>
      </c>
      <c r="B11" s="149" t="s">
        <v>28</v>
      </c>
      <c r="C11" s="150">
        <v>45792.0</v>
      </c>
      <c r="D11" s="151">
        <f>31</f>
        <v>31</v>
      </c>
      <c r="E11" s="152">
        <v>50000.0</v>
      </c>
      <c r="F11" s="174">
        <f>E11/31*D11-1000</f>
        <v>49000</v>
      </c>
      <c r="G11" s="179">
        <f>F11-49000</f>
        <v>0</v>
      </c>
      <c r="H11" s="156" t="s">
        <v>32</v>
      </c>
      <c r="I11" s="5"/>
      <c r="J11" s="5"/>
      <c r="K11" s="51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4.75" customHeight="1">
      <c r="A12" s="148" t="s">
        <v>30</v>
      </c>
      <c r="B12" s="159" t="s">
        <v>120</v>
      </c>
      <c r="C12" s="150">
        <v>45710.0</v>
      </c>
      <c r="D12" s="151">
        <f>31-7-1</f>
        <v>23</v>
      </c>
      <c r="E12" s="152">
        <v>50000.0</v>
      </c>
      <c r="F12" s="174">
        <f t="shared" ref="F12:F13" si="2">E12/31*D12-550</f>
        <v>36546.77419</v>
      </c>
      <c r="G12" s="179">
        <f>F12-36547</f>
        <v>-0.2258064516</v>
      </c>
      <c r="H12" s="156" t="s">
        <v>40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4.75" customHeight="1">
      <c r="A13" s="148" t="s">
        <v>34</v>
      </c>
      <c r="B13" s="161" t="s">
        <v>33</v>
      </c>
      <c r="C13" s="150">
        <v>45871.0</v>
      </c>
      <c r="D13" s="151">
        <f>31-3</f>
        <v>28</v>
      </c>
      <c r="E13" s="162">
        <v>50000.0</v>
      </c>
      <c r="F13" s="174">
        <f t="shared" si="2"/>
        <v>44611.29032</v>
      </c>
      <c r="G13" s="179">
        <f>F13-44611</f>
        <v>0.2903225807</v>
      </c>
      <c r="H13" s="156" t="s">
        <v>32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4.75" customHeight="1">
      <c r="A14" s="148" t="s">
        <v>37</v>
      </c>
      <c r="B14" s="149" t="s">
        <v>81</v>
      </c>
      <c r="C14" s="163">
        <v>45783.0</v>
      </c>
      <c r="D14" s="151">
        <f>31</f>
        <v>31</v>
      </c>
      <c r="E14" s="152">
        <f>40000+10000+10000</f>
        <v>60000</v>
      </c>
      <c r="F14" s="174">
        <f>E14/31*D14</f>
        <v>60000</v>
      </c>
      <c r="G14" s="179">
        <f>F14-30000-10000-20000</f>
        <v>0</v>
      </c>
      <c r="H14" s="156" t="s">
        <v>32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4.75" customHeight="1">
      <c r="A15" s="148" t="s">
        <v>41</v>
      </c>
      <c r="B15" s="161" t="s">
        <v>121</v>
      </c>
      <c r="C15" s="150">
        <v>45890.0</v>
      </c>
      <c r="D15" s="151">
        <f t="shared" ref="D15:D17" si="3">31-1</f>
        <v>30</v>
      </c>
      <c r="E15" s="162">
        <v>30000.0</v>
      </c>
      <c r="F15" s="174">
        <f>E15/31*D15-550</f>
        <v>28482.25806</v>
      </c>
      <c r="G15" s="179">
        <f>F15-5000-23482</f>
        <v>0.2580645161</v>
      </c>
      <c r="H15" s="176" t="s">
        <v>36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4.75" customHeight="1">
      <c r="A16" s="148" t="s">
        <v>44</v>
      </c>
      <c r="B16" s="161" t="s">
        <v>31</v>
      </c>
      <c r="C16" s="150">
        <v>45871.0</v>
      </c>
      <c r="D16" s="151">
        <f t="shared" si="3"/>
        <v>30</v>
      </c>
      <c r="E16" s="162">
        <f>30000+30000</f>
        <v>60000</v>
      </c>
      <c r="F16" s="174">
        <f>E16/31*D16</f>
        <v>58064.51613</v>
      </c>
      <c r="G16" s="179">
        <f>F16-10000-48065</f>
        <v>-0.4838709677</v>
      </c>
      <c r="H16" s="156" t="s">
        <v>32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4.75" customHeight="1">
      <c r="A17" s="148" t="s">
        <v>47</v>
      </c>
      <c r="B17" s="161" t="s">
        <v>122</v>
      </c>
      <c r="C17" s="163">
        <v>45859.0</v>
      </c>
      <c r="D17" s="151">
        <f t="shared" si="3"/>
        <v>30</v>
      </c>
      <c r="E17" s="152">
        <v>25000.0</v>
      </c>
      <c r="F17" s="174">
        <f>E17/31*D17-850</f>
        <v>23343.54839</v>
      </c>
      <c r="G17" s="179">
        <f>F17-5000-18344</f>
        <v>-0.4516129032</v>
      </c>
      <c r="H17" s="156" t="s">
        <v>43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4.75" customHeight="1">
      <c r="A18" s="148" t="s">
        <v>49</v>
      </c>
      <c r="B18" s="161" t="s">
        <v>163</v>
      </c>
      <c r="C18" s="150">
        <v>45879.0</v>
      </c>
      <c r="D18" s="151">
        <f t="shared" ref="D18:D19" si="4">31</f>
        <v>31</v>
      </c>
      <c r="E18" s="162">
        <v>25000.0</v>
      </c>
      <c r="F18" s="174">
        <f>E18/31*D18-500</f>
        <v>24500</v>
      </c>
      <c r="G18" s="204">
        <f>F18-5000-5000-14500</f>
        <v>0</v>
      </c>
      <c r="H18" s="176" t="s">
        <v>36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4.75" customHeight="1">
      <c r="A19" s="148" t="s">
        <v>51</v>
      </c>
      <c r="B19" s="161" t="s">
        <v>35</v>
      </c>
      <c r="C19" s="150">
        <v>45886.0</v>
      </c>
      <c r="D19" s="151">
        <f t="shared" si="4"/>
        <v>31</v>
      </c>
      <c r="E19" s="162">
        <v>25000.0</v>
      </c>
      <c r="F19" s="174">
        <f>E19/31*D19-1100</f>
        <v>23900</v>
      </c>
      <c r="G19" s="179">
        <f>F19-5000-18900</f>
        <v>0</v>
      </c>
      <c r="H19" s="176" t="s">
        <v>36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4.75" customHeight="1">
      <c r="A20" s="148" t="s">
        <v>53</v>
      </c>
      <c r="B20" s="149" t="s">
        <v>123</v>
      </c>
      <c r="C20" s="163">
        <v>45840.0</v>
      </c>
      <c r="D20" s="151">
        <f>31-1</f>
        <v>30</v>
      </c>
      <c r="E20" s="152">
        <v>22000.0</v>
      </c>
      <c r="F20" s="174">
        <f>E20/31*D20-650</f>
        <v>20640.32258</v>
      </c>
      <c r="G20" s="179">
        <f>F20-20640</f>
        <v>0.3225806452</v>
      </c>
      <c r="H20" s="156" t="s">
        <v>43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4.75" customHeight="1">
      <c r="A21" s="148" t="s">
        <v>55</v>
      </c>
      <c r="B21" s="159" t="s">
        <v>38</v>
      </c>
      <c r="C21" s="163">
        <v>45787.0</v>
      </c>
      <c r="D21" s="151">
        <f>31-2</f>
        <v>29</v>
      </c>
      <c r="E21" s="152">
        <v>20000.0</v>
      </c>
      <c r="F21" s="174">
        <f>E21/31*D21-500</f>
        <v>18209.67742</v>
      </c>
      <c r="G21" s="205">
        <f>F21-2000-10000-1000-5210</f>
        <v>-0.3225806452</v>
      </c>
      <c r="H21" s="156" t="s">
        <v>43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4.75" customHeight="1">
      <c r="A22" s="148" t="s">
        <v>60</v>
      </c>
      <c r="B22" s="159" t="s">
        <v>42</v>
      </c>
      <c r="C22" s="163">
        <v>45823.0</v>
      </c>
      <c r="D22" s="151">
        <f>31</f>
        <v>31</v>
      </c>
      <c r="E22" s="152">
        <v>20000.0</v>
      </c>
      <c r="F22" s="174">
        <f>E22/31*D22-800</f>
        <v>19200</v>
      </c>
      <c r="G22" s="204">
        <f>F22-2500-3000-5000-8700</f>
        <v>0</v>
      </c>
      <c r="H22" s="156" t="s">
        <v>43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4.75" customHeight="1">
      <c r="A23" s="148" t="s">
        <v>65</v>
      </c>
      <c r="B23" s="149" t="s">
        <v>59</v>
      </c>
      <c r="C23" s="150">
        <v>45871.0</v>
      </c>
      <c r="D23" s="151">
        <f t="shared" ref="D23:D24" si="5">31-2-2</f>
        <v>27</v>
      </c>
      <c r="E23" s="162">
        <v>20000.0</v>
      </c>
      <c r="F23" s="174">
        <f>E23/31*D23-1150</f>
        <v>16269.35484</v>
      </c>
      <c r="G23" s="179">
        <f>F23-5000-11269</f>
        <v>0.3548387097</v>
      </c>
      <c r="H23" s="176" t="s">
        <v>36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4.75" customHeight="1">
      <c r="A24" s="148" t="s">
        <v>68</v>
      </c>
      <c r="B24" s="149" t="s">
        <v>124</v>
      </c>
      <c r="C24" s="150">
        <v>45879.0</v>
      </c>
      <c r="D24" s="151">
        <f t="shared" si="5"/>
        <v>27</v>
      </c>
      <c r="E24" s="162">
        <v>20000.0</v>
      </c>
      <c r="F24" s="174">
        <f>E24/31*D24-750</f>
        <v>16669.35484</v>
      </c>
      <c r="G24" s="179">
        <f>F24-5000-11669</f>
        <v>0.3548387097</v>
      </c>
      <c r="H24" s="156" t="s">
        <v>43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4.75" customHeight="1">
      <c r="A25" s="148" t="s">
        <v>57</v>
      </c>
      <c r="B25" s="161" t="s">
        <v>87</v>
      </c>
      <c r="C25" s="150">
        <v>45934.0</v>
      </c>
      <c r="D25" s="151">
        <f t="shared" ref="D25:D26" si="6">31</f>
        <v>31</v>
      </c>
      <c r="E25" s="162">
        <v>20000.0</v>
      </c>
      <c r="F25" s="174">
        <f>E25/31*D25-550</f>
        <v>19450</v>
      </c>
      <c r="G25" s="179">
        <f>F25-5000-14450</f>
        <v>0</v>
      </c>
      <c r="H25" s="156" t="s">
        <v>43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4.75" customHeight="1">
      <c r="A26" s="148" t="s">
        <v>62</v>
      </c>
      <c r="B26" s="149" t="s">
        <v>125</v>
      </c>
      <c r="C26" s="150">
        <v>45943.0</v>
      </c>
      <c r="D26" s="151">
        <f t="shared" si="6"/>
        <v>31</v>
      </c>
      <c r="E26" s="162">
        <v>20000.0</v>
      </c>
      <c r="F26" s="174">
        <f>E26/31*D26-750</f>
        <v>19250</v>
      </c>
      <c r="G26" s="179">
        <f>F26-5000-14250</f>
        <v>0</v>
      </c>
      <c r="H26" s="156" t="s">
        <v>43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4.75" customHeight="1">
      <c r="A27" s="148" t="s">
        <v>64</v>
      </c>
      <c r="B27" s="149" t="s">
        <v>127</v>
      </c>
      <c r="C27" s="150">
        <v>45971.0</v>
      </c>
      <c r="D27" s="151">
        <f>31-1</f>
        <v>30</v>
      </c>
      <c r="E27" s="162">
        <v>20000.0</v>
      </c>
      <c r="F27" s="174">
        <f>E27/31*D27-550</f>
        <v>18804.83871</v>
      </c>
      <c r="G27" s="179">
        <f>F27-5000-13805</f>
        <v>-0.1612903226</v>
      </c>
      <c r="H27" s="156" t="s">
        <v>43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4.75" customHeight="1">
      <c r="A28" s="148" t="s">
        <v>70</v>
      </c>
      <c r="B28" s="149" t="s">
        <v>128</v>
      </c>
      <c r="C28" s="150">
        <v>45971.0</v>
      </c>
      <c r="D28" s="151">
        <f>31-6</f>
        <v>25</v>
      </c>
      <c r="E28" s="162">
        <v>40000.0</v>
      </c>
      <c r="F28" s="174">
        <f>E28/31*D28</f>
        <v>32258.06452</v>
      </c>
      <c r="G28" s="204">
        <f>F28-3000-5000-5000-2000-17258</f>
        <v>0.06451612903</v>
      </c>
      <c r="H28" s="156" t="s">
        <v>129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4.75" customHeight="1">
      <c r="A29" s="148" t="s">
        <v>72</v>
      </c>
      <c r="B29" s="149" t="s">
        <v>164</v>
      </c>
      <c r="C29" s="150">
        <v>45972.0</v>
      </c>
      <c r="D29" s="151">
        <f>31-4-1</f>
        <v>26</v>
      </c>
      <c r="E29" s="162">
        <v>35000.0</v>
      </c>
      <c r="F29" s="174">
        <f>E29/31*D29-750</f>
        <v>28604.83871</v>
      </c>
      <c r="G29" s="204">
        <f>F29-5000-6000-5000-10000-2605</f>
        <v>-0.1612903226</v>
      </c>
      <c r="H29" s="156" t="s">
        <v>40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4.75" customHeight="1">
      <c r="A30" s="148" t="s">
        <v>75</v>
      </c>
      <c r="B30" s="149" t="s">
        <v>50</v>
      </c>
      <c r="C30" s="150">
        <v>45972.0</v>
      </c>
      <c r="D30" s="151">
        <f t="shared" ref="D30:D31" si="7">31</f>
        <v>31</v>
      </c>
      <c r="E30" s="162">
        <v>20000.0</v>
      </c>
      <c r="F30" s="174">
        <f>E30/31*D30-1000</f>
        <v>19000</v>
      </c>
      <c r="G30" s="204">
        <f>F30-1000-6000-5000-2000-5000</f>
        <v>0</v>
      </c>
      <c r="H30" s="156" t="s">
        <v>43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4.75" customHeight="1">
      <c r="A31" s="148" t="s">
        <v>89</v>
      </c>
      <c r="B31" s="149" t="s">
        <v>52</v>
      </c>
      <c r="C31" s="150">
        <v>45997.0</v>
      </c>
      <c r="D31" s="151">
        <f t="shared" si="7"/>
        <v>31</v>
      </c>
      <c r="E31" s="162">
        <v>20000.0</v>
      </c>
      <c r="F31" s="174">
        <f>E31/31*D31-700</f>
        <v>19300</v>
      </c>
      <c r="G31" s="179">
        <f>F31-5000-5000-9300</f>
        <v>0</v>
      </c>
      <c r="H31" s="156" t="s">
        <v>43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24.75" customHeight="1">
      <c r="A32" s="148" t="s">
        <v>91</v>
      </c>
      <c r="B32" s="149" t="s">
        <v>130</v>
      </c>
      <c r="C32" s="150">
        <v>46011.0</v>
      </c>
      <c r="D32" s="151">
        <f>31-5</f>
        <v>26</v>
      </c>
      <c r="E32" s="162">
        <v>22000.0</v>
      </c>
      <c r="F32" s="174">
        <f>E32/31*D32-450</f>
        <v>18001.6129</v>
      </c>
      <c r="G32" s="205">
        <f>F32-7000-10000-1002</f>
        <v>-0.3870967742</v>
      </c>
      <c r="H32" s="156" t="s">
        <v>43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24.75" customHeight="1">
      <c r="A33" s="148" t="s">
        <v>93</v>
      </c>
      <c r="B33" s="169" t="s">
        <v>77</v>
      </c>
      <c r="C33" s="206">
        <v>46023.0</v>
      </c>
      <c r="D33" s="151">
        <f>31-1</f>
        <v>30</v>
      </c>
      <c r="E33" s="172">
        <v>70000.0</v>
      </c>
      <c r="F33" s="174">
        <f>E33/31*D33-950</f>
        <v>66791.93548</v>
      </c>
      <c r="G33" s="179">
        <f>F33-20000-46792</f>
        <v>-0.06451612903</v>
      </c>
      <c r="H33" s="156" t="s">
        <v>24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24.75" customHeight="1">
      <c r="A34" s="148" t="s">
        <v>97</v>
      </c>
      <c r="B34" s="169" t="s">
        <v>131</v>
      </c>
      <c r="C34" s="206">
        <v>46023.0</v>
      </c>
      <c r="D34" s="151">
        <f>31</f>
        <v>31</v>
      </c>
      <c r="E34" s="172">
        <v>20000.0</v>
      </c>
      <c r="F34" s="174">
        <f>E34/31*D34-1000</f>
        <v>19000</v>
      </c>
      <c r="G34" s="179">
        <f>F34-5000-14000</f>
        <v>0</v>
      </c>
      <c r="H34" s="156" t="s">
        <v>43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24.75" customHeight="1">
      <c r="A35" s="148" t="s">
        <v>99</v>
      </c>
      <c r="B35" s="169" t="s">
        <v>86</v>
      </c>
      <c r="C35" s="206">
        <v>46023.0</v>
      </c>
      <c r="D35" s="151">
        <f>31-3</f>
        <v>28</v>
      </c>
      <c r="E35" s="172">
        <v>35000.0</v>
      </c>
      <c r="F35" s="174">
        <f>E35/31*D35-800</f>
        <v>30812.90323</v>
      </c>
      <c r="G35" s="204">
        <f>F35-10000-5000-15813</f>
        <v>-0.09677419355</v>
      </c>
      <c r="H35" s="156" t="s">
        <v>40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24.75" customHeight="1">
      <c r="A36" s="148" t="s">
        <v>100</v>
      </c>
      <c r="B36" s="169" t="s">
        <v>54</v>
      </c>
      <c r="C36" s="206">
        <v>46023.0</v>
      </c>
      <c r="D36" s="151">
        <f>31</f>
        <v>31</v>
      </c>
      <c r="E36" s="172">
        <v>50000.0</v>
      </c>
      <c r="F36" s="174">
        <f>E36/31*D36-1050</f>
        <v>48950</v>
      </c>
      <c r="G36" s="204">
        <f>F36-20000-5000-23950</f>
        <v>0</v>
      </c>
      <c r="H36" s="156" t="s">
        <v>32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4.75" customHeight="1">
      <c r="A37" s="148" t="s">
        <v>101</v>
      </c>
      <c r="B37" s="169" t="s">
        <v>79</v>
      </c>
      <c r="C37" s="206">
        <v>46025.0</v>
      </c>
      <c r="D37" s="151">
        <v>28.0</v>
      </c>
      <c r="E37" s="172">
        <v>35000.0</v>
      </c>
      <c r="F37" s="174">
        <f>E37/31*D37-800</f>
        <v>30812.90323</v>
      </c>
      <c r="G37" s="179">
        <f>F37-5000-25813</f>
        <v>-0.09677419355</v>
      </c>
      <c r="H37" s="156" t="s">
        <v>40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24.75" customHeight="1">
      <c r="A38" s="148" t="s">
        <v>104</v>
      </c>
      <c r="B38" s="169" t="s">
        <v>82</v>
      </c>
      <c r="C38" s="206">
        <v>46026.0</v>
      </c>
      <c r="D38" s="151">
        <v>28.0</v>
      </c>
      <c r="E38" s="172">
        <v>20000.0</v>
      </c>
      <c r="F38" s="174">
        <f>E38/31*D38-750</f>
        <v>17314.51613</v>
      </c>
      <c r="G38" s="179">
        <f>F38-5000-12315</f>
        <v>-0.4838709677</v>
      </c>
      <c r="H38" s="156" t="s">
        <v>43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4.75" customHeight="1">
      <c r="A39" s="148" t="s">
        <v>107</v>
      </c>
      <c r="B39" s="169" t="s">
        <v>133</v>
      </c>
      <c r="C39" s="170">
        <v>46032.0</v>
      </c>
      <c r="D39" s="151">
        <v>22.0</v>
      </c>
      <c r="E39" s="172">
        <v>25000.0</v>
      </c>
      <c r="F39" s="174">
        <f>E39/31*D39-600</f>
        <v>17141.93548</v>
      </c>
      <c r="G39" s="179">
        <f>F39-5000-5000-7142</f>
        <v>-0.06451612903</v>
      </c>
      <c r="H39" s="207" t="s">
        <v>36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4.75" customHeight="1">
      <c r="A40" s="148" t="s">
        <v>108</v>
      </c>
      <c r="B40" s="208" t="s">
        <v>56</v>
      </c>
      <c r="C40" s="170">
        <v>46032.0</v>
      </c>
      <c r="D40" s="151">
        <v>22.0</v>
      </c>
      <c r="E40" s="172">
        <v>25000.0</v>
      </c>
      <c r="F40" s="174">
        <f>E40/31*D40-550</f>
        <v>17191.93548</v>
      </c>
      <c r="G40" s="179">
        <f>F40-5000-12192</f>
        <v>-0.06451612903</v>
      </c>
      <c r="H40" s="207" t="s">
        <v>36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24.75" customHeight="1">
      <c r="A41" s="148" t="s">
        <v>135</v>
      </c>
      <c r="B41" s="169" t="s">
        <v>136</v>
      </c>
      <c r="C41" s="170">
        <v>46032.0</v>
      </c>
      <c r="D41" s="151">
        <v>20.0</v>
      </c>
      <c r="E41" s="172">
        <v>25000.0</v>
      </c>
      <c r="F41" s="174">
        <f>E41/31*D41-400</f>
        <v>15729.03226</v>
      </c>
      <c r="G41" s="209">
        <f>F41-5000-10729</f>
        <v>0.03225806452</v>
      </c>
      <c r="H41" s="207" t="s">
        <v>36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24.75" customHeight="1">
      <c r="A42" s="154"/>
      <c r="B42" s="149"/>
      <c r="C42" s="163"/>
      <c r="D42" s="187"/>
      <c r="E42" s="162"/>
      <c r="F42" s="152"/>
      <c r="G42" s="210"/>
      <c r="H42" s="164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24.75" customHeight="1">
      <c r="A43" s="154"/>
      <c r="B43" s="180" t="s">
        <v>165</v>
      </c>
      <c r="C43" s="181"/>
      <c r="D43" s="182">
        <v>31.0</v>
      </c>
      <c r="E43" s="183">
        <v>24000.0</v>
      </c>
      <c r="F43" s="152">
        <f>E43/31*D43</f>
        <v>24000</v>
      </c>
      <c r="G43" s="209">
        <f>F43-2000-10000-12000</f>
        <v>0</v>
      </c>
      <c r="H43" s="164" t="s">
        <v>109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24.75" customHeight="1">
      <c r="A44" s="211"/>
      <c r="B44" s="161" t="s">
        <v>166</v>
      </c>
      <c r="C44" s="163"/>
      <c r="D44" s="151"/>
      <c r="E44" s="212">
        <v>44000.0</v>
      </c>
      <c r="F44" s="212">
        <v>44000.0</v>
      </c>
      <c r="G44" s="213"/>
      <c r="H44" s="154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24.75" customHeight="1">
      <c r="A45" s="189" t="s">
        <v>78</v>
      </c>
      <c r="B45" s="190"/>
      <c r="C45" s="191"/>
      <c r="D45" s="191"/>
      <c r="E45" s="152">
        <f t="shared" ref="E45:G45" si="8">SUM(E7:E44)</f>
        <v>1507000</v>
      </c>
      <c r="F45" s="152">
        <f t="shared" si="8"/>
        <v>1398320.613</v>
      </c>
      <c r="G45" s="152">
        <f t="shared" si="8"/>
        <v>-1.387096774</v>
      </c>
      <c r="H45" s="154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120"/>
      <c r="B46" s="120"/>
      <c r="C46" s="121"/>
      <c r="D46" s="121"/>
      <c r="E46" s="122"/>
      <c r="F46" s="122"/>
      <c r="G46" s="123"/>
      <c r="H46" s="11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120"/>
      <c r="B47" s="120"/>
      <c r="C47" s="121"/>
      <c r="D47" s="121"/>
      <c r="E47" s="122"/>
      <c r="F47" s="122"/>
      <c r="G47" s="123"/>
      <c r="H47" s="11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120"/>
      <c r="B48" s="120"/>
      <c r="C48" s="121"/>
      <c r="D48" s="121"/>
      <c r="E48" s="122"/>
      <c r="F48" s="122"/>
      <c r="G48" s="123"/>
      <c r="H48" s="11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120"/>
      <c r="B49" s="120"/>
      <c r="C49" s="121"/>
      <c r="D49" s="121"/>
      <c r="E49" s="122"/>
      <c r="F49" s="122"/>
      <c r="G49" s="123"/>
      <c r="H49" s="11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120"/>
      <c r="B50" s="120"/>
      <c r="C50" s="121"/>
      <c r="D50" s="121"/>
      <c r="E50" s="122"/>
      <c r="F50" s="122"/>
      <c r="G50" s="123"/>
      <c r="H50" s="11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120"/>
      <c r="B51" s="120"/>
      <c r="C51" s="121"/>
      <c r="D51" s="121"/>
      <c r="E51" s="122"/>
      <c r="F51" s="122"/>
      <c r="G51" s="123"/>
      <c r="H51" s="11"/>
      <c r="I51" s="5"/>
      <c r="J51" s="5"/>
      <c r="K51" s="5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6.5" customHeight="1">
      <c r="A52" s="120"/>
      <c r="B52" s="120"/>
      <c r="C52" s="121"/>
      <c r="D52" s="121"/>
      <c r="E52" s="122"/>
      <c r="F52" s="122"/>
      <c r="G52" s="123"/>
      <c r="H52" s="11"/>
      <c r="I52" s="5"/>
      <c r="J52" s="5"/>
      <c r="K52" s="5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6.5" customHeight="1">
      <c r="A53" s="120"/>
      <c r="B53" s="120"/>
      <c r="C53" s="121"/>
      <c r="D53" s="121"/>
      <c r="E53" s="122"/>
      <c r="F53" s="122"/>
      <c r="G53" s="123"/>
      <c r="H53" s="11"/>
      <c r="I53" s="5"/>
      <c r="J53" s="5"/>
      <c r="K53" s="5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6.5" customHeight="1">
      <c r="A54" s="120"/>
      <c r="B54" s="120"/>
      <c r="C54" s="121"/>
      <c r="D54" s="121"/>
      <c r="E54" s="122"/>
      <c r="F54" s="122"/>
      <c r="G54" s="123"/>
      <c r="H54" s="11"/>
      <c r="I54" s="5"/>
      <c r="J54" s="5"/>
      <c r="K54" s="5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6.5" customHeight="1">
      <c r="A55" s="120"/>
      <c r="B55" s="120"/>
      <c r="C55" s="121"/>
      <c r="D55" s="121"/>
      <c r="E55" s="122"/>
      <c r="F55" s="122"/>
      <c r="G55" s="123"/>
      <c r="H55" s="11"/>
      <c r="I55" s="5"/>
      <c r="J55" s="5"/>
      <c r="K55" s="5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6.5" customHeight="1">
      <c r="A56" s="7"/>
      <c r="B56" s="7"/>
      <c r="C56" s="5"/>
      <c r="D56" s="5"/>
      <c r="E56" s="9"/>
      <c r="F56" s="9"/>
      <c r="G56" s="10"/>
      <c r="H56" s="11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6.5" customHeight="1">
      <c r="A57" s="7"/>
      <c r="B57" s="7"/>
      <c r="C57" s="5"/>
      <c r="D57" s="5"/>
      <c r="E57" s="9"/>
      <c r="F57" s="9"/>
      <c r="G57" s="10"/>
      <c r="H57" s="11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7"/>
      <c r="B58" s="7"/>
      <c r="C58" s="5"/>
      <c r="D58" s="5"/>
      <c r="E58" s="9"/>
      <c r="F58" s="9"/>
      <c r="G58" s="10"/>
      <c r="H58" s="11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7"/>
      <c r="B59" s="7"/>
      <c r="C59" s="5"/>
      <c r="D59" s="5"/>
      <c r="E59" s="9"/>
      <c r="F59" s="9"/>
      <c r="G59" s="10"/>
      <c r="H59" s="11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7"/>
      <c r="B60" s="7"/>
      <c r="C60" s="5"/>
      <c r="D60" s="5"/>
      <c r="E60" s="9"/>
      <c r="F60" s="9"/>
      <c r="G60" s="10"/>
      <c r="H60" s="11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7"/>
      <c r="B61" s="7"/>
      <c r="C61" s="5"/>
      <c r="D61" s="5"/>
      <c r="E61" s="9"/>
      <c r="F61" s="9"/>
      <c r="G61" s="10"/>
      <c r="H61" s="11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7"/>
      <c r="B62" s="7"/>
      <c r="C62" s="5"/>
      <c r="D62" s="5"/>
      <c r="E62" s="9"/>
      <c r="F62" s="9"/>
      <c r="G62" s="10"/>
      <c r="H62" s="11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7"/>
      <c r="B63" s="7"/>
      <c r="C63" s="5"/>
      <c r="D63" s="5"/>
      <c r="E63" s="9"/>
      <c r="F63" s="9"/>
      <c r="G63" s="10"/>
      <c r="H63" s="11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7"/>
      <c r="B64" s="7"/>
      <c r="C64" s="5"/>
      <c r="D64" s="5"/>
      <c r="E64" s="9"/>
      <c r="F64" s="9"/>
      <c r="G64" s="10"/>
      <c r="H64" s="11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7"/>
      <c r="B65" s="7"/>
      <c r="C65" s="5"/>
      <c r="D65" s="5"/>
      <c r="E65" s="9"/>
      <c r="F65" s="9"/>
      <c r="G65" s="10"/>
      <c r="H65" s="11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7"/>
      <c r="B66" s="7"/>
      <c r="C66" s="5"/>
      <c r="D66" s="5"/>
      <c r="E66" s="9"/>
      <c r="F66" s="9"/>
      <c r="G66" s="10"/>
      <c r="H66" s="11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7"/>
      <c r="B67" s="7"/>
      <c r="C67" s="5"/>
      <c r="D67" s="5"/>
      <c r="E67" s="9"/>
      <c r="F67" s="9"/>
      <c r="G67" s="10"/>
      <c r="H67" s="11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7"/>
      <c r="B68" s="7"/>
      <c r="C68" s="5"/>
      <c r="D68" s="5"/>
      <c r="E68" s="9"/>
      <c r="F68" s="9"/>
      <c r="G68" s="10"/>
      <c r="H68" s="11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7"/>
      <c r="B69" s="7"/>
      <c r="C69" s="5"/>
      <c r="D69" s="5"/>
      <c r="E69" s="9"/>
      <c r="F69" s="9"/>
      <c r="G69" s="10"/>
      <c r="H69" s="11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7"/>
      <c r="B70" s="7"/>
      <c r="C70" s="5"/>
      <c r="D70" s="5"/>
      <c r="E70" s="9"/>
      <c r="F70" s="9"/>
      <c r="G70" s="10"/>
      <c r="H70" s="11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7"/>
      <c r="B71" s="7"/>
      <c r="C71" s="5"/>
      <c r="D71" s="5"/>
      <c r="E71" s="9"/>
      <c r="F71" s="9"/>
      <c r="G71" s="10"/>
      <c r="H71" s="11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7"/>
      <c r="B72" s="7"/>
      <c r="C72" s="5"/>
      <c r="D72" s="5"/>
      <c r="E72" s="9"/>
      <c r="F72" s="9"/>
      <c r="G72" s="10"/>
      <c r="H72" s="11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7"/>
      <c r="B73" s="7"/>
      <c r="C73" s="5"/>
      <c r="D73" s="5"/>
      <c r="E73" s="9"/>
      <c r="F73" s="9"/>
      <c r="G73" s="10"/>
      <c r="H73" s="11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7"/>
      <c r="B74" s="7"/>
      <c r="C74" s="5"/>
      <c r="D74" s="5"/>
      <c r="E74" s="9"/>
      <c r="F74" s="9"/>
      <c r="G74" s="10"/>
      <c r="H74" s="11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7"/>
      <c r="B75" s="7"/>
      <c r="C75" s="5"/>
      <c r="D75" s="5"/>
      <c r="E75" s="9"/>
      <c r="F75" s="9"/>
      <c r="G75" s="10"/>
      <c r="H75" s="11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7"/>
      <c r="B76" s="7"/>
      <c r="C76" s="5"/>
      <c r="D76" s="5"/>
      <c r="E76" s="9"/>
      <c r="F76" s="9"/>
      <c r="G76" s="10"/>
      <c r="H76" s="11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7"/>
      <c r="B77" s="7"/>
      <c r="C77" s="5"/>
      <c r="D77" s="5"/>
      <c r="E77" s="9"/>
      <c r="F77" s="9"/>
      <c r="G77" s="10"/>
      <c r="H77" s="11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7"/>
      <c r="B78" s="7"/>
      <c r="C78" s="5"/>
      <c r="D78" s="5"/>
      <c r="E78" s="9"/>
      <c r="F78" s="9"/>
      <c r="G78" s="10"/>
      <c r="H78" s="11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7"/>
      <c r="B79" s="7"/>
      <c r="C79" s="5"/>
      <c r="D79" s="5"/>
      <c r="E79" s="9"/>
      <c r="F79" s="9"/>
      <c r="G79" s="10"/>
      <c r="H79" s="11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7"/>
      <c r="B80" s="7"/>
      <c r="C80" s="5"/>
      <c r="D80" s="5"/>
      <c r="E80" s="9"/>
      <c r="F80" s="9"/>
      <c r="G80" s="10"/>
      <c r="H80" s="11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7"/>
      <c r="B81" s="7"/>
      <c r="C81" s="5"/>
      <c r="D81" s="5"/>
      <c r="E81" s="9"/>
      <c r="F81" s="9"/>
      <c r="G81" s="10"/>
      <c r="H81" s="11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7"/>
      <c r="B82" s="7"/>
      <c r="C82" s="5"/>
      <c r="D82" s="5"/>
      <c r="E82" s="9"/>
      <c r="F82" s="9"/>
      <c r="G82" s="10"/>
      <c r="H82" s="11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7"/>
      <c r="B83" s="7"/>
      <c r="C83" s="5"/>
      <c r="D83" s="5"/>
      <c r="E83" s="9"/>
      <c r="F83" s="9"/>
      <c r="G83" s="10"/>
      <c r="H83" s="11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7"/>
      <c r="B84" s="7"/>
      <c r="C84" s="5"/>
      <c r="D84" s="5"/>
      <c r="E84" s="9"/>
      <c r="F84" s="9"/>
      <c r="G84" s="10"/>
      <c r="H84" s="11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7"/>
      <c r="B85" s="7"/>
      <c r="C85" s="5"/>
      <c r="D85" s="5"/>
      <c r="E85" s="9"/>
      <c r="F85" s="9"/>
      <c r="G85" s="10"/>
      <c r="H85" s="11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7"/>
      <c r="B86" s="7"/>
      <c r="C86" s="5"/>
      <c r="D86" s="5"/>
      <c r="E86" s="9"/>
      <c r="F86" s="9"/>
      <c r="G86" s="10"/>
      <c r="H86" s="11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7"/>
      <c r="B87" s="7"/>
      <c r="C87" s="5"/>
      <c r="D87" s="5"/>
      <c r="E87" s="9"/>
      <c r="F87" s="9"/>
      <c r="G87" s="10"/>
      <c r="H87" s="11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7"/>
      <c r="B88" s="7"/>
      <c r="C88" s="5"/>
      <c r="D88" s="5"/>
      <c r="E88" s="9"/>
      <c r="F88" s="9"/>
      <c r="G88" s="10"/>
      <c r="H88" s="11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7"/>
      <c r="B89" s="7"/>
      <c r="C89" s="5"/>
      <c r="D89" s="5"/>
      <c r="E89" s="9"/>
      <c r="F89" s="9"/>
      <c r="G89" s="10"/>
      <c r="H89" s="11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7"/>
      <c r="B90" s="7"/>
      <c r="C90" s="5"/>
      <c r="D90" s="5"/>
      <c r="E90" s="9"/>
      <c r="F90" s="9"/>
      <c r="G90" s="10"/>
      <c r="H90" s="11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7"/>
      <c r="B91" s="7"/>
      <c r="C91" s="5"/>
      <c r="D91" s="5"/>
      <c r="E91" s="9"/>
      <c r="F91" s="9"/>
      <c r="G91" s="10"/>
      <c r="H91" s="11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7"/>
      <c r="B92" s="7"/>
      <c r="C92" s="5"/>
      <c r="D92" s="5"/>
      <c r="E92" s="9"/>
      <c r="F92" s="9"/>
      <c r="G92" s="10"/>
      <c r="H92" s="11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7"/>
      <c r="B93" s="7"/>
      <c r="C93" s="5"/>
      <c r="D93" s="5"/>
      <c r="E93" s="9"/>
      <c r="F93" s="9"/>
      <c r="G93" s="10"/>
      <c r="H93" s="11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7"/>
      <c r="B94" s="7"/>
      <c r="C94" s="5"/>
      <c r="D94" s="5"/>
      <c r="E94" s="9"/>
      <c r="F94" s="9"/>
      <c r="G94" s="10"/>
      <c r="H94" s="11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7"/>
      <c r="B95" s="7"/>
      <c r="C95" s="5"/>
      <c r="D95" s="5"/>
      <c r="E95" s="9"/>
      <c r="F95" s="9"/>
      <c r="G95" s="10"/>
      <c r="H95" s="11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7"/>
      <c r="B96" s="7"/>
      <c r="C96" s="5"/>
      <c r="D96" s="5"/>
      <c r="E96" s="9"/>
      <c r="F96" s="9"/>
      <c r="G96" s="10"/>
      <c r="H96" s="11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7"/>
      <c r="B97" s="7"/>
      <c r="C97" s="5"/>
      <c r="D97" s="5"/>
      <c r="E97" s="9"/>
      <c r="F97" s="9"/>
      <c r="G97" s="10"/>
      <c r="H97" s="11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7"/>
      <c r="B98" s="7"/>
      <c r="C98" s="5"/>
      <c r="D98" s="5"/>
      <c r="E98" s="9"/>
      <c r="F98" s="9"/>
      <c r="G98" s="10"/>
      <c r="H98" s="11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7"/>
      <c r="B99" s="7"/>
      <c r="C99" s="5"/>
      <c r="D99" s="5"/>
      <c r="E99" s="9"/>
      <c r="F99" s="9"/>
      <c r="G99" s="10"/>
      <c r="H99" s="11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7"/>
      <c r="B100" s="7"/>
      <c r="C100" s="5"/>
      <c r="D100" s="5"/>
      <c r="E100" s="9"/>
      <c r="F100" s="9"/>
      <c r="G100" s="10"/>
      <c r="H100" s="11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7"/>
      <c r="B101" s="7"/>
      <c r="C101" s="5"/>
      <c r="D101" s="5"/>
      <c r="E101" s="9"/>
      <c r="F101" s="9"/>
      <c r="G101" s="10"/>
      <c r="H101" s="11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7"/>
      <c r="B102" s="7"/>
      <c r="C102" s="5"/>
      <c r="D102" s="5"/>
      <c r="E102" s="9"/>
      <c r="F102" s="9"/>
      <c r="G102" s="10"/>
      <c r="H102" s="11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7"/>
      <c r="B103" s="7"/>
      <c r="C103" s="5"/>
      <c r="D103" s="5"/>
      <c r="E103" s="9"/>
      <c r="F103" s="9"/>
      <c r="G103" s="10"/>
      <c r="H103" s="11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7"/>
      <c r="B104" s="7"/>
      <c r="C104" s="5"/>
      <c r="D104" s="5"/>
      <c r="E104" s="9"/>
      <c r="F104" s="9"/>
      <c r="G104" s="10"/>
      <c r="H104" s="11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7"/>
      <c r="B105" s="7"/>
      <c r="C105" s="5"/>
      <c r="D105" s="5"/>
      <c r="E105" s="9"/>
      <c r="F105" s="9"/>
      <c r="G105" s="10"/>
      <c r="H105" s="11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7"/>
      <c r="B106" s="7"/>
      <c r="C106" s="5"/>
      <c r="D106" s="5"/>
      <c r="E106" s="9"/>
      <c r="F106" s="9"/>
      <c r="G106" s="10"/>
      <c r="H106" s="11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7"/>
      <c r="B107" s="7"/>
      <c r="C107" s="5"/>
      <c r="D107" s="5"/>
      <c r="E107" s="9"/>
      <c r="F107" s="9"/>
      <c r="G107" s="10"/>
      <c r="H107" s="11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7"/>
      <c r="B108" s="7"/>
      <c r="C108" s="5"/>
      <c r="D108" s="5"/>
      <c r="E108" s="9"/>
      <c r="F108" s="9"/>
      <c r="G108" s="10"/>
      <c r="H108" s="11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7"/>
      <c r="B109" s="7"/>
      <c r="C109" s="5"/>
      <c r="D109" s="5"/>
      <c r="E109" s="9"/>
      <c r="F109" s="9"/>
      <c r="G109" s="10"/>
      <c r="H109" s="11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7"/>
      <c r="B110" s="7"/>
      <c r="C110" s="5"/>
      <c r="D110" s="5"/>
      <c r="E110" s="9"/>
      <c r="F110" s="9"/>
      <c r="G110" s="10"/>
      <c r="H110" s="11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7"/>
      <c r="B111" s="7"/>
      <c r="C111" s="5"/>
      <c r="D111" s="5"/>
      <c r="E111" s="9"/>
      <c r="F111" s="9"/>
      <c r="G111" s="10"/>
      <c r="H111" s="11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7"/>
      <c r="B112" s="7"/>
      <c r="C112" s="5"/>
      <c r="D112" s="5"/>
      <c r="E112" s="9"/>
      <c r="F112" s="9"/>
      <c r="G112" s="10"/>
      <c r="H112" s="11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7"/>
      <c r="B113" s="7"/>
      <c r="C113" s="5"/>
      <c r="D113" s="5"/>
      <c r="E113" s="9"/>
      <c r="F113" s="9"/>
      <c r="G113" s="10"/>
      <c r="H113" s="11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7"/>
      <c r="B114" s="7"/>
      <c r="C114" s="5"/>
      <c r="D114" s="5"/>
      <c r="E114" s="9"/>
      <c r="F114" s="9"/>
      <c r="G114" s="10"/>
      <c r="H114" s="11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7"/>
      <c r="B115" s="7"/>
      <c r="C115" s="5"/>
      <c r="D115" s="5"/>
      <c r="E115" s="9"/>
      <c r="F115" s="9"/>
      <c r="G115" s="10"/>
      <c r="H115" s="11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7"/>
      <c r="B116" s="7"/>
      <c r="C116" s="5"/>
      <c r="D116" s="5"/>
      <c r="E116" s="9"/>
      <c r="F116" s="9"/>
      <c r="G116" s="10"/>
      <c r="H116" s="11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7"/>
      <c r="B117" s="7"/>
      <c r="C117" s="5"/>
      <c r="D117" s="5"/>
      <c r="E117" s="9"/>
      <c r="F117" s="9"/>
      <c r="G117" s="10"/>
      <c r="H117" s="11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7"/>
      <c r="B118" s="7"/>
      <c r="C118" s="5"/>
      <c r="D118" s="5"/>
      <c r="E118" s="9"/>
      <c r="F118" s="9"/>
      <c r="G118" s="10"/>
      <c r="H118" s="11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7"/>
      <c r="B119" s="7"/>
      <c r="C119" s="5"/>
      <c r="D119" s="5"/>
      <c r="E119" s="9"/>
      <c r="F119" s="9"/>
      <c r="G119" s="10"/>
      <c r="H119" s="11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7"/>
      <c r="B120" s="7"/>
      <c r="C120" s="5"/>
      <c r="D120" s="5"/>
      <c r="E120" s="9"/>
      <c r="F120" s="9"/>
      <c r="G120" s="10"/>
      <c r="H120" s="11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7"/>
      <c r="B121" s="7"/>
      <c r="C121" s="5"/>
      <c r="D121" s="5"/>
      <c r="E121" s="9"/>
      <c r="F121" s="9"/>
      <c r="G121" s="10"/>
      <c r="H121" s="11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7"/>
      <c r="B122" s="7"/>
      <c r="C122" s="5"/>
      <c r="D122" s="5"/>
      <c r="E122" s="9"/>
      <c r="F122" s="9"/>
      <c r="G122" s="10"/>
      <c r="H122" s="11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7"/>
      <c r="B123" s="7"/>
      <c r="C123" s="5"/>
      <c r="D123" s="5"/>
      <c r="E123" s="9"/>
      <c r="F123" s="9"/>
      <c r="G123" s="10"/>
      <c r="H123" s="11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7"/>
      <c r="B124" s="7"/>
      <c r="C124" s="5"/>
      <c r="D124" s="5"/>
      <c r="E124" s="9"/>
      <c r="F124" s="9"/>
      <c r="G124" s="10"/>
      <c r="H124" s="11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7"/>
      <c r="B125" s="7"/>
      <c r="C125" s="5"/>
      <c r="D125" s="5"/>
      <c r="E125" s="9"/>
      <c r="F125" s="9"/>
      <c r="G125" s="10"/>
      <c r="H125" s="11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7"/>
      <c r="B126" s="7"/>
      <c r="C126" s="5"/>
      <c r="D126" s="5"/>
      <c r="E126" s="9"/>
      <c r="F126" s="9"/>
      <c r="G126" s="10"/>
      <c r="H126" s="11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7"/>
      <c r="B127" s="7"/>
      <c r="C127" s="5"/>
      <c r="D127" s="5"/>
      <c r="E127" s="9"/>
      <c r="F127" s="9"/>
      <c r="G127" s="10"/>
      <c r="H127" s="11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7"/>
      <c r="B128" s="7"/>
      <c r="C128" s="5"/>
      <c r="D128" s="5"/>
      <c r="E128" s="9"/>
      <c r="F128" s="9"/>
      <c r="G128" s="10"/>
      <c r="H128" s="11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7"/>
      <c r="B129" s="7"/>
      <c r="C129" s="5"/>
      <c r="D129" s="5"/>
      <c r="E129" s="9"/>
      <c r="F129" s="9"/>
      <c r="G129" s="10"/>
      <c r="H129" s="11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7"/>
      <c r="B130" s="7"/>
      <c r="C130" s="5"/>
      <c r="D130" s="5"/>
      <c r="E130" s="9"/>
      <c r="F130" s="9"/>
      <c r="G130" s="10"/>
      <c r="H130" s="11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7"/>
      <c r="B131" s="7"/>
      <c r="C131" s="5"/>
      <c r="D131" s="5"/>
      <c r="E131" s="9"/>
      <c r="F131" s="9"/>
      <c r="G131" s="10"/>
      <c r="H131" s="11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7"/>
      <c r="B132" s="7"/>
      <c r="C132" s="5"/>
      <c r="D132" s="5"/>
      <c r="E132" s="9"/>
      <c r="F132" s="9"/>
      <c r="G132" s="10"/>
      <c r="H132" s="11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7"/>
      <c r="B133" s="7"/>
      <c r="C133" s="5"/>
      <c r="D133" s="5"/>
      <c r="E133" s="9"/>
      <c r="F133" s="9"/>
      <c r="G133" s="10"/>
      <c r="H133" s="11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7"/>
      <c r="B134" s="7"/>
      <c r="C134" s="5"/>
      <c r="D134" s="5"/>
      <c r="E134" s="9"/>
      <c r="F134" s="9"/>
      <c r="G134" s="10"/>
      <c r="H134" s="11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7"/>
      <c r="B135" s="7"/>
      <c r="C135" s="5"/>
      <c r="D135" s="5"/>
      <c r="E135" s="9"/>
      <c r="F135" s="9"/>
      <c r="G135" s="10"/>
      <c r="H135" s="11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7"/>
      <c r="B136" s="7"/>
      <c r="C136" s="5"/>
      <c r="D136" s="5"/>
      <c r="E136" s="9"/>
      <c r="F136" s="9"/>
      <c r="G136" s="10"/>
      <c r="H136" s="11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7"/>
      <c r="B137" s="7"/>
      <c r="C137" s="5"/>
      <c r="D137" s="5"/>
      <c r="E137" s="9"/>
      <c r="F137" s="9"/>
      <c r="G137" s="10"/>
      <c r="H137" s="11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7"/>
      <c r="B138" s="7"/>
      <c r="C138" s="5"/>
      <c r="D138" s="5"/>
      <c r="E138" s="9"/>
      <c r="F138" s="9"/>
      <c r="G138" s="10"/>
      <c r="H138" s="11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7"/>
      <c r="B139" s="7"/>
      <c r="C139" s="5"/>
      <c r="D139" s="5"/>
      <c r="E139" s="9"/>
      <c r="F139" s="9"/>
      <c r="G139" s="10"/>
      <c r="H139" s="11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7"/>
      <c r="B140" s="7"/>
      <c r="C140" s="5"/>
      <c r="D140" s="5"/>
      <c r="E140" s="9"/>
      <c r="F140" s="9"/>
      <c r="G140" s="10"/>
      <c r="H140" s="11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7"/>
      <c r="B141" s="7"/>
      <c r="C141" s="5"/>
      <c r="D141" s="5"/>
      <c r="E141" s="9"/>
      <c r="F141" s="9"/>
      <c r="G141" s="10"/>
      <c r="H141" s="11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7"/>
      <c r="B142" s="7"/>
      <c r="C142" s="5"/>
      <c r="D142" s="5"/>
      <c r="E142" s="9"/>
      <c r="F142" s="9"/>
      <c r="G142" s="10"/>
      <c r="H142" s="11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7"/>
      <c r="B143" s="7"/>
      <c r="C143" s="5"/>
      <c r="D143" s="5"/>
      <c r="E143" s="9"/>
      <c r="F143" s="9"/>
      <c r="G143" s="10"/>
      <c r="H143" s="11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7"/>
      <c r="B144" s="7"/>
      <c r="C144" s="5"/>
      <c r="D144" s="5"/>
      <c r="E144" s="9"/>
      <c r="F144" s="9"/>
      <c r="G144" s="10"/>
      <c r="H144" s="11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7"/>
      <c r="B145" s="7"/>
      <c r="C145" s="5"/>
      <c r="D145" s="5"/>
      <c r="E145" s="9"/>
      <c r="F145" s="9"/>
      <c r="G145" s="10"/>
      <c r="H145" s="11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7"/>
      <c r="B146" s="7"/>
      <c r="C146" s="5"/>
      <c r="D146" s="5"/>
      <c r="E146" s="9"/>
      <c r="F146" s="9"/>
      <c r="G146" s="10"/>
      <c r="H146" s="11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7"/>
      <c r="B147" s="7"/>
      <c r="C147" s="5"/>
      <c r="D147" s="5"/>
      <c r="E147" s="9"/>
      <c r="F147" s="9"/>
      <c r="G147" s="10"/>
      <c r="H147" s="11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7"/>
      <c r="B148" s="7"/>
      <c r="C148" s="5"/>
      <c r="D148" s="5"/>
      <c r="E148" s="9"/>
      <c r="F148" s="9"/>
      <c r="G148" s="10"/>
      <c r="H148" s="11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7"/>
      <c r="B149" s="7"/>
      <c r="C149" s="5"/>
      <c r="D149" s="5"/>
      <c r="E149" s="9"/>
      <c r="F149" s="9"/>
      <c r="G149" s="10"/>
      <c r="H149" s="11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7"/>
      <c r="B150" s="7"/>
      <c r="C150" s="5"/>
      <c r="D150" s="5"/>
      <c r="E150" s="9"/>
      <c r="F150" s="9"/>
      <c r="G150" s="10"/>
      <c r="H150" s="11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7"/>
      <c r="B151" s="7"/>
      <c r="C151" s="5"/>
      <c r="D151" s="5"/>
      <c r="E151" s="9"/>
      <c r="F151" s="9"/>
      <c r="G151" s="10"/>
      <c r="H151" s="11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7"/>
      <c r="B152" s="7"/>
      <c r="C152" s="5"/>
      <c r="D152" s="5"/>
      <c r="E152" s="9"/>
      <c r="F152" s="9"/>
      <c r="G152" s="10"/>
      <c r="H152" s="11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7"/>
      <c r="B153" s="7"/>
      <c r="C153" s="5"/>
      <c r="D153" s="5"/>
      <c r="E153" s="9"/>
      <c r="F153" s="9"/>
      <c r="G153" s="10"/>
      <c r="H153" s="11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7"/>
      <c r="B154" s="7"/>
      <c r="C154" s="5"/>
      <c r="D154" s="5"/>
      <c r="E154" s="9"/>
      <c r="F154" s="9"/>
      <c r="G154" s="10"/>
      <c r="H154" s="11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7"/>
      <c r="B155" s="7"/>
      <c r="C155" s="5"/>
      <c r="D155" s="5"/>
      <c r="E155" s="9"/>
      <c r="F155" s="9"/>
      <c r="G155" s="10"/>
      <c r="H155" s="11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7"/>
      <c r="B156" s="7"/>
      <c r="C156" s="5"/>
      <c r="D156" s="5"/>
      <c r="E156" s="9"/>
      <c r="F156" s="9"/>
      <c r="G156" s="10"/>
      <c r="H156" s="11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7"/>
      <c r="B157" s="7"/>
      <c r="C157" s="5"/>
      <c r="D157" s="5"/>
      <c r="E157" s="9"/>
      <c r="F157" s="9"/>
      <c r="G157" s="10"/>
      <c r="H157" s="11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7"/>
      <c r="B158" s="7"/>
      <c r="C158" s="5"/>
      <c r="D158" s="5"/>
      <c r="E158" s="9"/>
      <c r="F158" s="9"/>
      <c r="G158" s="10"/>
      <c r="H158" s="11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7"/>
      <c r="B159" s="7"/>
      <c r="C159" s="5"/>
      <c r="D159" s="5"/>
      <c r="E159" s="9"/>
      <c r="F159" s="9"/>
      <c r="G159" s="10"/>
      <c r="H159" s="11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7"/>
      <c r="B160" s="7"/>
      <c r="C160" s="5"/>
      <c r="D160" s="5"/>
      <c r="E160" s="9"/>
      <c r="F160" s="9"/>
      <c r="G160" s="10"/>
      <c r="H160" s="11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7"/>
      <c r="B161" s="7"/>
      <c r="C161" s="5"/>
      <c r="D161" s="5"/>
      <c r="E161" s="9"/>
      <c r="F161" s="9"/>
      <c r="G161" s="10"/>
      <c r="H161" s="11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7"/>
      <c r="B162" s="7"/>
      <c r="C162" s="5"/>
      <c r="D162" s="5"/>
      <c r="E162" s="9"/>
      <c r="F162" s="9"/>
      <c r="G162" s="10"/>
      <c r="H162" s="11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7"/>
      <c r="B163" s="7"/>
      <c r="C163" s="5"/>
      <c r="D163" s="5"/>
      <c r="E163" s="9"/>
      <c r="F163" s="9"/>
      <c r="G163" s="10"/>
      <c r="H163" s="11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7"/>
      <c r="B164" s="7"/>
      <c r="C164" s="5"/>
      <c r="D164" s="5"/>
      <c r="E164" s="9"/>
      <c r="F164" s="9"/>
      <c r="G164" s="10"/>
      <c r="H164" s="11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7"/>
      <c r="B165" s="7"/>
      <c r="C165" s="5"/>
      <c r="D165" s="5"/>
      <c r="E165" s="9"/>
      <c r="F165" s="9"/>
      <c r="G165" s="10"/>
      <c r="H165" s="11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7"/>
      <c r="B166" s="7"/>
      <c r="C166" s="5"/>
      <c r="D166" s="5"/>
      <c r="E166" s="9"/>
      <c r="F166" s="9"/>
      <c r="G166" s="10"/>
      <c r="H166" s="11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7"/>
      <c r="B167" s="7"/>
      <c r="C167" s="5"/>
      <c r="D167" s="5"/>
      <c r="E167" s="9"/>
      <c r="F167" s="9"/>
      <c r="G167" s="10"/>
      <c r="H167" s="11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7"/>
      <c r="B168" s="7"/>
      <c r="C168" s="5"/>
      <c r="D168" s="5"/>
      <c r="E168" s="9"/>
      <c r="F168" s="9"/>
      <c r="G168" s="10"/>
      <c r="H168" s="11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7"/>
      <c r="B169" s="7"/>
      <c r="C169" s="5"/>
      <c r="D169" s="5"/>
      <c r="E169" s="9"/>
      <c r="F169" s="9"/>
      <c r="G169" s="10"/>
      <c r="H169" s="11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7"/>
      <c r="B170" s="7"/>
      <c r="C170" s="5"/>
      <c r="D170" s="5"/>
      <c r="E170" s="9"/>
      <c r="F170" s="9"/>
      <c r="G170" s="10"/>
      <c r="H170" s="11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7"/>
      <c r="B171" s="7"/>
      <c r="C171" s="5"/>
      <c r="D171" s="5"/>
      <c r="E171" s="9"/>
      <c r="F171" s="9"/>
      <c r="G171" s="10"/>
      <c r="H171" s="11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7"/>
      <c r="B172" s="7"/>
      <c r="C172" s="5"/>
      <c r="D172" s="5"/>
      <c r="E172" s="9"/>
      <c r="F172" s="9"/>
      <c r="G172" s="10"/>
      <c r="H172" s="11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7"/>
      <c r="B173" s="7"/>
      <c r="C173" s="5"/>
      <c r="D173" s="5"/>
      <c r="E173" s="9"/>
      <c r="F173" s="9"/>
      <c r="G173" s="10"/>
      <c r="H173" s="11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7"/>
      <c r="B174" s="7"/>
      <c r="C174" s="5"/>
      <c r="D174" s="5"/>
      <c r="E174" s="9"/>
      <c r="F174" s="9"/>
      <c r="G174" s="10"/>
      <c r="H174" s="11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7"/>
      <c r="B175" s="7"/>
      <c r="C175" s="5"/>
      <c r="D175" s="5"/>
      <c r="E175" s="9"/>
      <c r="F175" s="9"/>
      <c r="G175" s="10"/>
      <c r="H175" s="11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7"/>
      <c r="B176" s="7"/>
      <c r="C176" s="5"/>
      <c r="D176" s="5"/>
      <c r="E176" s="9"/>
      <c r="F176" s="9"/>
      <c r="G176" s="10"/>
      <c r="H176" s="11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7"/>
      <c r="B177" s="7"/>
      <c r="C177" s="5"/>
      <c r="D177" s="5"/>
      <c r="E177" s="9"/>
      <c r="F177" s="9"/>
      <c r="G177" s="10"/>
      <c r="H177" s="11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7"/>
      <c r="B178" s="7"/>
      <c r="C178" s="5"/>
      <c r="D178" s="5"/>
      <c r="E178" s="9"/>
      <c r="F178" s="9"/>
      <c r="G178" s="10"/>
      <c r="H178" s="11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7"/>
      <c r="B179" s="7"/>
      <c r="C179" s="5"/>
      <c r="D179" s="5"/>
      <c r="E179" s="9"/>
      <c r="F179" s="9"/>
      <c r="G179" s="10"/>
      <c r="H179" s="11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7"/>
      <c r="B180" s="7"/>
      <c r="C180" s="5"/>
      <c r="D180" s="5"/>
      <c r="E180" s="9"/>
      <c r="F180" s="9"/>
      <c r="G180" s="10"/>
      <c r="H180" s="11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7"/>
      <c r="B181" s="7"/>
      <c r="C181" s="5"/>
      <c r="D181" s="5"/>
      <c r="E181" s="9"/>
      <c r="F181" s="9"/>
      <c r="G181" s="10"/>
      <c r="H181" s="11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7"/>
      <c r="B182" s="7"/>
      <c r="C182" s="5"/>
      <c r="D182" s="5"/>
      <c r="E182" s="9"/>
      <c r="F182" s="9"/>
      <c r="G182" s="10"/>
      <c r="H182" s="11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7"/>
      <c r="B183" s="7"/>
      <c r="C183" s="5"/>
      <c r="D183" s="5"/>
      <c r="E183" s="9"/>
      <c r="F183" s="9"/>
      <c r="G183" s="10"/>
      <c r="H183" s="11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7"/>
      <c r="B184" s="7"/>
      <c r="C184" s="5"/>
      <c r="D184" s="5"/>
      <c r="E184" s="9"/>
      <c r="F184" s="9"/>
      <c r="G184" s="10"/>
      <c r="H184" s="11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7"/>
      <c r="B185" s="7"/>
      <c r="C185" s="5"/>
      <c r="D185" s="5"/>
      <c r="E185" s="9"/>
      <c r="F185" s="9"/>
      <c r="G185" s="10"/>
      <c r="H185" s="11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7"/>
      <c r="B186" s="7"/>
      <c r="C186" s="5"/>
      <c r="D186" s="5"/>
      <c r="E186" s="9"/>
      <c r="F186" s="9"/>
      <c r="G186" s="10"/>
      <c r="H186" s="11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7"/>
      <c r="B187" s="7"/>
      <c r="C187" s="5"/>
      <c r="D187" s="5"/>
      <c r="E187" s="9"/>
      <c r="F187" s="9"/>
      <c r="G187" s="10"/>
      <c r="H187" s="11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7"/>
      <c r="B188" s="7"/>
      <c r="C188" s="5"/>
      <c r="D188" s="5"/>
      <c r="E188" s="9"/>
      <c r="F188" s="9"/>
      <c r="G188" s="10"/>
      <c r="H188" s="11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7"/>
      <c r="B189" s="7"/>
      <c r="C189" s="5"/>
      <c r="D189" s="5"/>
      <c r="E189" s="9"/>
      <c r="F189" s="9"/>
      <c r="G189" s="10"/>
      <c r="H189" s="11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7"/>
      <c r="B190" s="7"/>
      <c r="C190" s="5"/>
      <c r="D190" s="5"/>
      <c r="E190" s="9"/>
      <c r="F190" s="9"/>
      <c r="G190" s="10"/>
      <c r="H190" s="11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7"/>
      <c r="B191" s="7"/>
      <c r="C191" s="5"/>
      <c r="D191" s="5"/>
      <c r="E191" s="9"/>
      <c r="F191" s="9"/>
      <c r="G191" s="10"/>
      <c r="H191" s="11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7"/>
      <c r="B192" s="7"/>
      <c r="C192" s="5"/>
      <c r="D192" s="5"/>
      <c r="E192" s="9"/>
      <c r="F192" s="9"/>
      <c r="G192" s="10"/>
      <c r="H192" s="11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7"/>
      <c r="B193" s="7"/>
      <c r="C193" s="5"/>
      <c r="D193" s="5"/>
      <c r="E193" s="9"/>
      <c r="F193" s="9"/>
      <c r="G193" s="10"/>
      <c r="H193" s="11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7"/>
      <c r="B194" s="7"/>
      <c r="C194" s="5"/>
      <c r="D194" s="5"/>
      <c r="E194" s="9"/>
      <c r="F194" s="9"/>
      <c r="G194" s="10"/>
      <c r="H194" s="11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7"/>
      <c r="B195" s="7"/>
      <c r="C195" s="5"/>
      <c r="D195" s="5"/>
      <c r="E195" s="9"/>
      <c r="F195" s="9"/>
      <c r="G195" s="10"/>
      <c r="H195" s="11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7"/>
      <c r="B196" s="7"/>
      <c r="C196" s="5"/>
      <c r="D196" s="5"/>
      <c r="E196" s="9"/>
      <c r="F196" s="9"/>
      <c r="G196" s="10"/>
      <c r="H196" s="11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7"/>
      <c r="B197" s="7"/>
      <c r="C197" s="5"/>
      <c r="D197" s="5"/>
      <c r="E197" s="9"/>
      <c r="F197" s="9"/>
      <c r="G197" s="10"/>
      <c r="H197" s="11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7"/>
      <c r="B198" s="7"/>
      <c r="C198" s="5"/>
      <c r="D198" s="5"/>
      <c r="E198" s="9"/>
      <c r="F198" s="9"/>
      <c r="G198" s="10"/>
      <c r="H198" s="11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7"/>
      <c r="B199" s="7"/>
      <c r="C199" s="5"/>
      <c r="D199" s="5"/>
      <c r="E199" s="9"/>
      <c r="F199" s="9"/>
      <c r="G199" s="10"/>
      <c r="H199" s="11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7"/>
      <c r="B200" s="7"/>
      <c r="C200" s="5"/>
      <c r="D200" s="5"/>
      <c r="E200" s="9"/>
      <c r="F200" s="9"/>
      <c r="G200" s="10"/>
      <c r="H200" s="11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7"/>
      <c r="B201" s="7"/>
      <c r="C201" s="5"/>
      <c r="D201" s="5"/>
      <c r="E201" s="9"/>
      <c r="F201" s="9"/>
      <c r="G201" s="10"/>
      <c r="H201" s="11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7"/>
      <c r="B202" s="7"/>
      <c r="C202" s="5"/>
      <c r="D202" s="5"/>
      <c r="E202" s="9"/>
      <c r="F202" s="9"/>
      <c r="G202" s="10"/>
      <c r="H202" s="11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7"/>
      <c r="B203" s="7"/>
      <c r="C203" s="5"/>
      <c r="D203" s="5"/>
      <c r="E203" s="9"/>
      <c r="F203" s="9"/>
      <c r="G203" s="10"/>
      <c r="H203" s="11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7"/>
      <c r="B204" s="7"/>
      <c r="C204" s="5"/>
      <c r="D204" s="5"/>
      <c r="E204" s="9"/>
      <c r="F204" s="9"/>
      <c r="G204" s="10"/>
      <c r="H204" s="11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7"/>
      <c r="B205" s="7"/>
      <c r="C205" s="5"/>
      <c r="D205" s="5"/>
      <c r="E205" s="9"/>
      <c r="F205" s="9"/>
      <c r="G205" s="10"/>
      <c r="H205" s="11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7"/>
      <c r="B206" s="7"/>
      <c r="C206" s="5"/>
      <c r="D206" s="5"/>
      <c r="E206" s="9"/>
      <c r="F206" s="9"/>
      <c r="G206" s="10"/>
      <c r="H206" s="11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7"/>
      <c r="B207" s="7"/>
      <c r="C207" s="5"/>
      <c r="D207" s="5"/>
      <c r="E207" s="9"/>
      <c r="F207" s="9"/>
      <c r="G207" s="10"/>
      <c r="H207" s="11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7"/>
      <c r="B208" s="7"/>
      <c r="C208" s="5"/>
      <c r="D208" s="5"/>
      <c r="E208" s="9"/>
      <c r="F208" s="9"/>
      <c r="G208" s="10"/>
      <c r="H208" s="11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7"/>
      <c r="B209" s="7"/>
      <c r="C209" s="5"/>
      <c r="D209" s="5"/>
      <c r="E209" s="9"/>
      <c r="F209" s="9"/>
      <c r="G209" s="10"/>
      <c r="H209" s="11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7"/>
      <c r="B210" s="7"/>
      <c r="C210" s="5"/>
      <c r="D210" s="5"/>
      <c r="E210" s="9"/>
      <c r="F210" s="9"/>
      <c r="G210" s="10"/>
      <c r="H210" s="11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7"/>
      <c r="B211" s="7"/>
      <c r="C211" s="5"/>
      <c r="D211" s="5"/>
      <c r="E211" s="9"/>
      <c r="F211" s="9"/>
      <c r="G211" s="10"/>
      <c r="H211" s="11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7"/>
      <c r="B212" s="7"/>
      <c r="C212" s="5"/>
      <c r="D212" s="5"/>
      <c r="E212" s="9"/>
      <c r="F212" s="9"/>
      <c r="G212" s="10"/>
      <c r="H212" s="11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7"/>
      <c r="B213" s="7"/>
      <c r="C213" s="5"/>
      <c r="D213" s="5"/>
      <c r="E213" s="9"/>
      <c r="F213" s="9"/>
      <c r="G213" s="10"/>
      <c r="H213" s="11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7"/>
      <c r="B214" s="7"/>
      <c r="C214" s="5"/>
      <c r="D214" s="5"/>
      <c r="E214" s="9"/>
      <c r="F214" s="9"/>
      <c r="G214" s="10"/>
      <c r="H214" s="11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7"/>
      <c r="B215" s="7"/>
      <c r="C215" s="5"/>
      <c r="D215" s="5"/>
      <c r="E215" s="9"/>
      <c r="F215" s="9"/>
      <c r="G215" s="10"/>
      <c r="H215" s="11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7"/>
      <c r="B216" s="7"/>
      <c r="C216" s="5"/>
      <c r="D216" s="5"/>
      <c r="E216" s="9"/>
      <c r="F216" s="9"/>
      <c r="G216" s="10"/>
      <c r="H216" s="11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7"/>
      <c r="B217" s="7"/>
      <c r="C217" s="5"/>
      <c r="D217" s="5"/>
      <c r="E217" s="9"/>
      <c r="F217" s="9"/>
      <c r="G217" s="10"/>
      <c r="H217" s="11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7"/>
      <c r="B218" s="7"/>
      <c r="C218" s="5"/>
      <c r="D218" s="5"/>
      <c r="E218" s="9"/>
      <c r="F218" s="9"/>
      <c r="G218" s="10"/>
      <c r="H218" s="11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7"/>
      <c r="B219" s="7"/>
      <c r="C219" s="5"/>
      <c r="D219" s="5"/>
      <c r="E219" s="9"/>
      <c r="F219" s="9"/>
      <c r="G219" s="10"/>
      <c r="H219" s="11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7"/>
      <c r="B220" s="7"/>
      <c r="C220" s="5"/>
      <c r="D220" s="5"/>
      <c r="E220" s="9"/>
      <c r="F220" s="9"/>
      <c r="G220" s="10"/>
      <c r="H220" s="11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7"/>
      <c r="B221" s="7"/>
      <c r="C221" s="5"/>
      <c r="D221" s="5"/>
      <c r="E221" s="9"/>
      <c r="F221" s="9"/>
      <c r="G221" s="10"/>
      <c r="H221" s="11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7"/>
      <c r="B222" s="7"/>
      <c r="C222" s="5"/>
      <c r="D222" s="5"/>
      <c r="E222" s="9"/>
      <c r="F222" s="9"/>
      <c r="G222" s="10"/>
      <c r="H222" s="11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7"/>
      <c r="B223" s="7"/>
      <c r="C223" s="5"/>
      <c r="D223" s="5"/>
      <c r="E223" s="9"/>
      <c r="F223" s="9"/>
      <c r="G223" s="10"/>
      <c r="H223" s="11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7"/>
      <c r="B224" s="7"/>
      <c r="C224" s="5"/>
      <c r="D224" s="5"/>
      <c r="E224" s="9"/>
      <c r="F224" s="9"/>
      <c r="G224" s="10"/>
      <c r="H224" s="11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7"/>
      <c r="B225" s="7"/>
      <c r="C225" s="5"/>
      <c r="D225" s="5"/>
      <c r="E225" s="9"/>
      <c r="F225" s="9"/>
      <c r="G225" s="10"/>
      <c r="H225" s="11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7"/>
      <c r="B226" s="7"/>
      <c r="C226" s="5"/>
      <c r="D226" s="5"/>
      <c r="E226" s="9"/>
      <c r="F226" s="9"/>
      <c r="G226" s="10"/>
      <c r="H226" s="11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7"/>
      <c r="B227" s="7"/>
      <c r="C227" s="5"/>
      <c r="D227" s="5"/>
      <c r="E227" s="9"/>
      <c r="F227" s="9"/>
      <c r="G227" s="10"/>
      <c r="H227" s="11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7"/>
      <c r="B228" s="7"/>
      <c r="C228" s="5"/>
      <c r="D228" s="5"/>
      <c r="E228" s="9"/>
      <c r="F228" s="9"/>
      <c r="G228" s="10"/>
      <c r="H228" s="11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7"/>
      <c r="B229" s="7"/>
      <c r="C229" s="5"/>
      <c r="D229" s="5"/>
      <c r="E229" s="9"/>
      <c r="F229" s="9"/>
      <c r="G229" s="10"/>
      <c r="H229" s="11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7"/>
      <c r="B230" s="7"/>
      <c r="C230" s="5"/>
      <c r="D230" s="5"/>
      <c r="E230" s="9"/>
      <c r="F230" s="9"/>
      <c r="G230" s="10"/>
      <c r="H230" s="11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7"/>
      <c r="B231" s="7"/>
      <c r="C231" s="5"/>
      <c r="D231" s="5"/>
      <c r="E231" s="9"/>
      <c r="F231" s="9"/>
      <c r="G231" s="10"/>
      <c r="H231" s="11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7"/>
      <c r="B232" s="7"/>
      <c r="C232" s="5"/>
      <c r="D232" s="5"/>
      <c r="E232" s="9"/>
      <c r="F232" s="9"/>
      <c r="G232" s="10"/>
      <c r="H232" s="11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7"/>
      <c r="B233" s="7"/>
      <c r="C233" s="5"/>
      <c r="D233" s="5"/>
      <c r="E233" s="9"/>
      <c r="F233" s="9"/>
      <c r="G233" s="10"/>
      <c r="H233" s="11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7"/>
      <c r="B234" s="7"/>
      <c r="C234" s="5"/>
      <c r="D234" s="5"/>
      <c r="E234" s="9"/>
      <c r="F234" s="9"/>
      <c r="G234" s="10"/>
      <c r="H234" s="11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7"/>
      <c r="B235" s="7"/>
      <c r="C235" s="5"/>
      <c r="D235" s="5"/>
      <c r="E235" s="9"/>
      <c r="F235" s="9"/>
      <c r="G235" s="10"/>
      <c r="H235" s="11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7"/>
      <c r="B236" s="7"/>
      <c r="C236" s="5"/>
      <c r="D236" s="5"/>
      <c r="E236" s="9"/>
      <c r="F236" s="9"/>
      <c r="G236" s="10"/>
      <c r="H236" s="11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7"/>
      <c r="B237" s="7"/>
      <c r="C237" s="5"/>
      <c r="D237" s="5"/>
      <c r="E237" s="9"/>
      <c r="F237" s="9"/>
      <c r="G237" s="10"/>
      <c r="H237" s="11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7"/>
      <c r="B238" s="7"/>
      <c r="C238" s="5"/>
      <c r="D238" s="5"/>
      <c r="E238" s="9"/>
      <c r="F238" s="9"/>
      <c r="G238" s="10"/>
      <c r="H238" s="11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7"/>
      <c r="B239" s="7"/>
      <c r="C239" s="5"/>
      <c r="D239" s="5"/>
      <c r="E239" s="9"/>
      <c r="F239" s="9"/>
      <c r="G239" s="10"/>
      <c r="H239" s="11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7"/>
      <c r="B240" s="7"/>
      <c r="C240" s="5"/>
      <c r="D240" s="5"/>
      <c r="E240" s="9"/>
      <c r="F240" s="9"/>
      <c r="G240" s="10"/>
      <c r="H240" s="11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7"/>
      <c r="B241" s="7"/>
      <c r="C241" s="5"/>
      <c r="D241" s="5"/>
      <c r="E241" s="9"/>
      <c r="F241" s="9"/>
      <c r="G241" s="10"/>
      <c r="H241" s="11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7"/>
      <c r="B242" s="7"/>
      <c r="C242" s="5"/>
      <c r="D242" s="5"/>
      <c r="E242" s="9"/>
      <c r="F242" s="9"/>
      <c r="G242" s="10"/>
      <c r="H242" s="11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7"/>
      <c r="B243" s="7"/>
      <c r="C243" s="5"/>
      <c r="D243" s="5"/>
      <c r="E243" s="9"/>
      <c r="F243" s="9"/>
      <c r="G243" s="10"/>
      <c r="H243" s="11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7"/>
      <c r="B244" s="7"/>
      <c r="C244" s="5"/>
      <c r="D244" s="5"/>
      <c r="E244" s="9"/>
      <c r="F244" s="9"/>
      <c r="G244" s="10"/>
      <c r="H244" s="11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7"/>
      <c r="B245" s="7"/>
      <c r="C245" s="5"/>
      <c r="D245" s="5"/>
      <c r="E245" s="9"/>
      <c r="F245" s="9"/>
      <c r="G245" s="10"/>
      <c r="H245" s="11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7"/>
      <c r="B246" s="7"/>
      <c r="C246" s="5"/>
      <c r="D246" s="5"/>
      <c r="E246" s="9"/>
      <c r="F246" s="9"/>
      <c r="G246" s="10"/>
      <c r="H246" s="11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7"/>
      <c r="B247" s="7"/>
      <c r="C247" s="5"/>
      <c r="D247" s="5"/>
      <c r="E247" s="9"/>
      <c r="F247" s="9"/>
      <c r="G247" s="10"/>
      <c r="H247" s="11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7"/>
      <c r="B248" s="7"/>
      <c r="C248" s="5"/>
      <c r="D248" s="5"/>
      <c r="E248" s="9"/>
      <c r="F248" s="9"/>
      <c r="G248" s="10"/>
      <c r="H248" s="11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7"/>
      <c r="B249" s="7"/>
      <c r="C249" s="5"/>
      <c r="D249" s="5"/>
      <c r="E249" s="9"/>
      <c r="F249" s="9"/>
      <c r="G249" s="10"/>
      <c r="H249" s="11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7"/>
      <c r="B250" s="7"/>
      <c r="C250" s="5"/>
      <c r="D250" s="5"/>
      <c r="E250" s="9"/>
      <c r="F250" s="9"/>
      <c r="G250" s="10"/>
      <c r="H250" s="11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7"/>
      <c r="B251" s="7"/>
      <c r="C251" s="5"/>
      <c r="D251" s="5"/>
      <c r="E251" s="9"/>
      <c r="F251" s="9"/>
      <c r="G251" s="10"/>
      <c r="H251" s="11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7"/>
      <c r="B252" s="7"/>
      <c r="C252" s="5"/>
      <c r="D252" s="5"/>
      <c r="E252" s="9"/>
      <c r="F252" s="9"/>
      <c r="G252" s="10"/>
      <c r="H252" s="11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7"/>
      <c r="B253" s="7"/>
      <c r="C253" s="5"/>
      <c r="D253" s="5"/>
      <c r="E253" s="9"/>
      <c r="F253" s="9"/>
      <c r="G253" s="10"/>
      <c r="H253" s="11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7"/>
      <c r="B254" s="7"/>
      <c r="C254" s="5"/>
      <c r="D254" s="5"/>
      <c r="E254" s="9"/>
      <c r="F254" s="9"/>
      <c r="G254" s="10"/>
      <c r="H254" s="11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7"/>
      <c r="B255" s="7"/>
      <c r="C255" s="5"/>
      <c r="D255" s="5"/>
      <c r="E255" s="9"/>
      <c r="F255" s="9"/>
      <c r="G255" s="10"/>
      <c r="H255" s="11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7"/>
      <c r="B256" s="7"/>
      <c r="C256" s="5"/>
      <c r="D256" s="5"/>
      <c r="E256" s="9"/>
      <c r="F256" s="9"/>
      <c r="G256" s="10"/>
      <c r="H256" s="11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7"/>
      <c r="B257" s="7"/>
      <c r="C257" s="5"/>
      <c r="D257" s="5"/>
      <c r="E257" s="9"/>
      <c r="F257" s="9"/>
      <c r="G257" s="10"/>
      <c r="H257" s="11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7"/>
      <c r="B258" s="7"/>
      <c r="C258" s="5"/>
      <c r="D258" s="5"/>
      <c r="E258" s="9"/>
      <c r="F258" s="9"/>
      <c r="G258" s="10"/>
      <c r="H258" s="11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7"/>
      <c r="B259" s="7"/>
      <c r="C259" s="5"/>
      <c r="D259" s="5"/>
      <c r="E259" s="9"/>
      <c r="F259" s="9"/>
      <c r="G259" s="10"/>
      <c r="H259" s="11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7"/>
      <c r="B260" s="7"/>
      <c r="C260" s="5"/>
      <c r="D260" s="5"/>
      <c r="E260" s="9"/>
      <c r="F260" s="9"/>
      <c r="G260" s="10"/>
      <c r="H260" s="11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7"/>
      <c r="B261" s="7"/>
      <c r="C261" s="5"/>
      <c r="D261" s="5"/>
      <c r="E261" s="9"/>
      <c r="F261" s="9"/>
      <c r="G261" s="10"/>
      <c r="H261" s="11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7"/>
      <c r="B262" s="7"/>
      <c r="C262" s="5"/>
      <c r="D262" s="5"/>
      <c r="E262" s="9"/>
      <c r="F262" s="9"/>
      <c r="G262" s="10"/>
      <c r="H262" s="11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7"/>
      <c r="B263" s="7"/>
      <c r="C263" s="5"/>
      <c r="D263" s="5"/>
      <c r="E263" s="9"/>
      <c r="F263" s="9"/>
      <c r="G263" s="10"/>
      <c r="H263" s="11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7"/>
      <c r="B264" s="7"/>
      <c r="C264" s="5"/>
      <c r="D264" s="5"/>
      <c r="E264" s="9"/>
      <c r="F264" s="9"/>
      <c r="G264" s="10"/>
      <c r="H264" s="11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7"/>
      <c r="B265" s="7"/>
      <c r="C265" s="5"/>
      <c r="D265" s="5"/>
      <c r="E265" s="9"/>
      <c r="F265" s="9"/>
      <c r="G265" s="10"/>
      <c r="H265" s="11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7"/>
      <c r="B266" s="7"/>
      <c r="C266" s="5"/>
      <c r="D266" s="5"/>
      <c r="E266" s="9"/>
      <c r="F266" s="9"/>
      <c r="G266" s="10"/>
      <c r="H266" s="11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7"/>
      <c r="B267" s="7"/>
      <c r="C267" s="5"/>
      <c r="D267" s="5"/>
      <c r="E267" s="9"/>
      <c r="F267" s="9"/>
      <c r="G267" s="10"/>
      <c r="H267" s="11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7"/>
      <c r="B268" s="7"/>
      <c r="C268" s="5"/>
      <c r="D268" s="5"/>
      <c r="E268" s="9"/>
      <c r="F268" s="9"/>
      <c r="G268" s="10"/>
      <c r="H268" s="11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7"/>
      <c r="B269" s="7"/>
      <c r="C269" s="5"/>
      <c r="D269" s="5"/>
      <c r="E269" s="9"/>
      <c r="F269" s="9"/>
      <c r="G269" s="10"/>
      <c r="H269" s="11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7"/>
      <c r="B270" s="7"/>
      <c r="C270" s="5"/>
      <c r="D270" s="5"/>
      <c r="E270" s="9"/>
      <c r="F270" s="9"/>
      <c r="G270" s="10"/>
      <c r="H270" s="11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7"/>
      <c r="B271" s="7"/>
      <c r="C271" s="5"/>
      <c r="D271" s="5"/>
      <c r="E271" s="9"/>
      <c r="F271" s="9"/>
      <c r="G271" s="10"/>
      <c r="H271" s="11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7"/>
      <c r="B272" s="7"/>
      <c r="C272" s="5"/>
      <c r="D272" s="5"/>
      <c r="E272" s="9"/>
      <c r="F272" s="9"/>
      <c r="G272" s="10"/>
      <c r="H272" s="11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7"/>
      <c r="B273" s="7"/>
      <c r="C273" s="5"/>
      <c r="D273" s="5"/>
      <c r="E273" s="9"/>
      <c r="F273" s="9"/>
      <c r="G273" s="10"/>
      <c r="H273" s="11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7"/>
      <c r="B274" s="7"/>
      <c r="C274" s="5"/>
      <c r="D274" s="5"/>
      <c r="E274" s="9"/>
      <c r="F274" s="9"/>
      <c r="G274" s="10"/>
      <c r="H274" s="11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7"/>
      <c r="B275" s="7"/>
      <c r="C275" s="5"/>
      <c r="D275" s="5"/>
      <c r="E275" s="9"/>
      <c r="F275" s="9"/>
      <c r="G275" s="10"/>
      <c r="H275" s="11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7"/>
      <c r="B276" s="7"/>
      <c r="C276" s="5"/>
      <c r="D276" s="5"/>
      <c r="E276" s="9"/>
      <c r="F276" s="9"/>
      <c r="G276" s="10"/>
      <c r="H276" s="11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7"/>
      <c r="B277" s="7"/>
      <c r="C277" s="5"/>
      <c r="D277" s="5"/>
      <c r="E277" s="9"/>
      <c r="F277" s="9"/>
      <c r="G277" s="10"/>
      <c r="H277" s="11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7"/>
      <c r="B278" s="7"/>
      <c r="C278" s="5"/>
      <c r="D278" s="5"/>
      <c r="E278" s="9"/>
      <c r="F278" s="9"/>
      <c r="G278" s="10"/>
      <c r="H278" s="11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7"/>
      <c r="B279" s="7"/>
      <c r="C279" s="5"/>
      <c r="D279" s="5"/>
      <c r="E279" s="9"/>
      <c r="F279" s="9"/>
      <c r="G279" s="10"/>
      <c r="H279" s="11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7"/>
      <c r="B280" s="7"/>
      <c r="C280" s="5"/>
      <c r="D280" s="5"/>
      <c r="E280" s="9"/>
      <c r="F280" s="9"/>
      <c r="G280" s="10"/>
      <c r="H280" s="11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7"/>
      <c r="B281" s="7"/>
      <c r="C281" s="5"/>
      <c r="D281" s="5"/>
      <c r="E281" s="9"/>
      <c r="F281" s="9"/>
      <c r="G281" s="10"/>
      <c r="H281" s="11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7"/>
      <c r="B282" s="7"/>
      <c r="C282" s="5"/>
      <c r="D282" s="5"/>
      <c r="E282" s="9"/>
      <c r="F282" s="9"/>
      <c r="G282" s="10"/>
      <c r="H282" s="11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7"/>
      <c r="B283" s="7"/>
      <c r="C283" s="5"/>
      <c r="D283" s="5"/>
      <c r="E283" s="9"/>
      <c r="F283" s="9"/>
      <c r="G283" s="10"/>
      <c r="H283" s="11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7"/>
      <c r="B284" s="7"/>
      <c r="C284" s="5"/>
      <c r="D284" s="5"/>
      <c r="E284" s="9"/>
      <c r="F284" s="9"/>
      <c r="G284" s="10"/>
      <c r="H284" s="11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7"/>
      <c r="B285" s="7"/>
      <c r="C285" s="5"/>
      <c r="D285" s="5"/>
      <c r="E285" s="9"/>
      <c r="F285" s="9"/>
      <c r="G285" s="10"/>
      <c r="H285" s="11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7"/>
      <c r="B286" s="7"/>
      <c r="C286" s="5"/>
      <c r="D286" s="5"/>
      <c r="E286" s="9"/>
      <c r="F286" s="9"/>
      <c r="G286" s="10"/>
      <c r="H286" s="11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7"/>
      <c r="B287" s="7"/>
      <c r="C287" s="5"/>
      <c r="D287" s="5"/>
      <c r="E287" s="9"/>
      <c r="F287" s="9"/>
      <c r="G287" s="10"/>
      <c r="H287" s="11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7"/>
      <c r="B288" s="7"/>
      <c r="C288" s="5"/>
      <c r="D288" s="5"/>
      <c r="E288" s="9"/>
      <c r="F288" s="9"/>
      <c r="G288" s="10"/>
      <c r="H288" s="11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7"/>
      <c r="B289" s="7"/>
      <c r="C289" s="5"/>
      <c r="D289" s="5"/>
      <c r="E289" s="9"/>
      <c r="F289" s="9"/>
      <c r="G289" s="10"/>
      <c r="H289" s="11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7"/>
      <c r="B290" s="7"/>
      <c r="C290" s="5"/>
      <c r="D290" s="5"/>
      <c r="E290" s="9"/>
      <c r="F290" s="9"/>
      <c r="G290" s="10"/>
      <c r="H290" s="11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7"/>
      <c r="B291" s="7"/>
      <c r="C291" s="5"/>
      <c r="D291" s="5"/>
      <c r="E291" s="9"/>
      <c r="F291" s="9"/>
      <c r="G291" s="10"/>
      <c r="H291" s="11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7"/>
      <c r="B292" s="7"/>
      <c r="C292" s="5"/>
      <c r="D292" s="5"/>
      <c r="E292" s="9"/>
      <c r="F292" s="9"/>
      <c r="G292" s="10"/>
      <c r="H292" s="11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7"/>
      <c r="B293" s="7"/>
      <c r="C293" s="5"/>
      <c r="D293" s="5"/>
      <c r="E293" s="9"/>
      <c r="F293" s="9"/>
      <c r="G293" s="10"/>
      <c r="H293" s="11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7"/>
      <c r="B294" s="7"/>
      <c r="C294" s="5"/>
      <c r="D294" s="5"/>
      <c r="E294" s="9"/>
      <c r="F294" s="9"/>
      <c r="G294" s="10"/>
      <c r="H294" s="11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7"/>
      <c r="B295" s="7"/>
      <c r="C295" s="5"/>
      <c r="D295" s="5"/>
      <c r="E295" s="9"/>
      <c r="F295" s="9"/>
      <c r="G295" s="10"/>
      <c r="H295" s="11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7"/>
      <c r="B296" s="7"/>
      <c r="C296" s="5"/>
      <c r="D296" s="5"/>
      <c r="E296" s="9"/>
      <c r="F296" s="9"/>
      <c r="G296" s="10"/>
      <c r="H296" s="11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7"/>
      <c r="B297" s="7"/>
      <c r="C297" s="5"/>
      <c r="D297" s="5"/>
      <c r="E297" s="9"/>
      <c r="F297" s="9"/>
      <c r="G297" s="10"/>
      <c r="H297" s="11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7"/>
      <c r="B298" s="7"/>
      <c r="C298" s="5"/>
      <c r="D298" s="5"/>
      <c r="E298" s="9"/>
      <c r="F298" s="9"/>
      <c r="G298" s="10"/>
      <c r="H298" s="11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7"/>
      <c r="B299" s="7"/>
      <c r="C299" s="5"/>
      <c r="D299" s="5"/>
      <c r="E299" s="9"/>
      <c r="F299" s="9"/>
      <c r="G299" s="10"/>
      <c r="H299" s="11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7"/>
      <c r="B300" s="7"/>
      <c r="C300" s="5"/>
      <c r="D300" s="5"/>
      <c r="E300" s="9"/>
      <c r="F300" s="9"/>
      <c r="G300" s="10"/>
      <c r="H300" s="11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7"/>
      <c r="B301" s="7"/>
      <c r="C301" s="5"/>
      <c r="D301" s="5"/>
      <c r="E301" s="9"/>
      <c r="F301" s="9"/>
      <c r="G301" s="10"/>
      <c r="H301" s="11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7"/>
      <c r="B302" s="7"/>
      <c r="C302" s="5"/>
      <c r="D302" s="5"/>
      <c r="E302" s="9"/>
      <c r="F302" s="9"/>
      <c r="G302" s="10"/>
      <c r="H302" s="11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7"/>
      <c r="B303" s="7"/>
      <c r="C303" s="5"/>
      <c r="D303" s="5"/>
      <c r="E303" s="9"/>
      <c r="F303" s="9"/>
      <c r="G303" s="10"/>
      <c r="H303" s="11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7"/>
      <c r="B304" s="7"/>
      <c r="C304" s="5"/>
      <c r="D304" s="5"/>
      <c r="E304" s="9"/>
      <c r="F304" s="9"/>
      <c r="G304" s="10"/>
      <c r="H304" s="11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7"/>
      <c r="B305" s="7"/>
      <c r="C305" s="5"/>
      <c r="D305" s="5"/>
      <c r="E305" s="9"/>
      <c r="F305" s="9"/>
      <c r="G305" s="10"/>
      <c r="H305" s="11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7"/>
      <c r="B306" s="7"/>
      <c r="C306" s="5"/>
      <c r="D306" s="5"/>
      <c r="E306" s="9"/>
      <c r="F306" s="9"/>
      <c r="G306" s="10"/>
      <c r="H306" s="11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7"/>
      <c r="B307" s="7"/>
      <c r="C307" s="5"/>
      <c r="D307" s="5"/>
      <c r="E307" s="9"/>
      <c r="F307" s="9"/>
      <c r="G307" s="10"/>
      <c r="H307" s="11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7"/>
      <c r="B308" s="7"/>
      <c r="C308" s="5"/>
      <c r="D308" s="5"/>
      <c r="E308" s="9"/>
      <c r="F308" s="9"/>
      <c r="G308" s="10"/>
      <c r="H308" s="11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7"/>
      <c r="B309" s="7"/>
      <c r="C309" s="5"/>
      <c r="D309" s="5"/>
      <c r="E309" s="9"/>
      <c r="F309" s="9"/>
      <c r="G309" s="10"/>
      <c r="H309" s="11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7"/>
      <c r="B310" s="7"/>
      <c r="C310" s="5"/>
      <c r="D310" s="5"/>
      <c r="E310" s="9"/>
      <c r="F310" s="9"/>
      <c r="G310" s="10"/>
      <c r="H310" s="11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7"/>
      <c r="B311" s="7"/>
      <c r="C311" s="5"/>
      <c r="D311" s="5"/>
      <c r="E311" s="9"/>
      <c r="F311" s="9"/>
      <c r="G311" s="10"/>
      <c r="H311" s="11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7"/>
      <c r="B312" s="7"/>
      <c r="C312" s="5"/>
      <c r="D312" s="5"/>
      <c r="E312" s="9"/>
      <c r="F312" s="9"/>
      <c r="G312" s="10"/>
      <c r="H312" s="11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7"/>
      <c r="B313" s="7"/>
      <c r="C313" s="5"/>
      <c r="D313" s="5"/>
      <c r="E313" s="9"/>
      <c r="F313" s="9"/>
      <c r="G313" s="10"/>
      <c r="H313" s="11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7"/>
      <c r="B314" s="7"/>
      <c r="C314" s="5"/>
      <c r="D314" s="5"/>
      <c r="E314" s="9"/>
      <c r="F314" s="9"/>
      <c r="G314" s="10"/>
      <c r="H314" s="11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7"/>
      <c r="B315" s="7"/>
      <c r="C315" s="5"/>
      <c r="D315" s="5"/>
      <c r="E315" s="9"/>
      <c r="F315" s="9"/>
      <c r="G315" s="10"/>
      <c r="H315" s="11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7"/>
      <c r="B316" s="7"/>
      <c r="C316" s="5"/>
      <c r="D316" s="5"/>
      <c r="E316" s="9"/>
      <c r="F316" s="9"/>
      <c r="G316" s="10"/>
      <c r="H316" s="11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7"/>
      <c r="B317" s="7"/>
      <c r="C317" s="5"/>
      <c r="D317" s="5"/>
      <c r="E317" s="9"/>
      <c r="F317" s="9"/>
      <c r="G317" s="10"/>
      <c r="H317" s="11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7"/>
      <c r="B318" s="7"/>
      <c r="C318" s="5"/>
      <c r="D318" s="5"/>
      <c r="E318" s="9"/>
      <c r="F318" s="9"/>
      <c r="G318" s="10"/>
      <c r="H318" s="11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7"/>
      <c r="B319" s="7"/>
      <c r="C319" s="5"/>
      <c r="D319" s="5"/>
      <c r="E319" s="9"/>
      <c r="F319" s="9"/>
      <c r="G319" s="10"/>
      <c r="H319" s="11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7"/>
      <c r="B320" s="7"/>
      <c r="C320" s="5"/>
      <c r="D320" s="5"/>
      <c r="E320" s="9"/>
      <c r="F320" s="9"/>
      <c r="G320" s="10"/>
      <c r="H320" s="11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7"/>
      <c r="B321" s="7"/>
      <c r="C321" s="5"/>
      <c r="D321" s="5"/>
      <c r="E321" s="9"/>
      <c r="F321" s="9"/>
      <c r="G321" s="10"/>
      <c r="H321" s="11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7"/>
      <c r="B322" s="7"/>
      <c r="C322" s="5"/>
      <c r="D322" s="5"/>
      <c r="E322" s="9"/>
      <c r="F322" s="9"/>
      <c r="G322" s="10"/>
      <c r="H322" s="11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7"/>
      <c r="B323" s="7"/>
      <c r="C323" s="5"/>
      <c r="D323" s="5"/>
      <c r="E323" s="9"/>
      <c r="F323" s="9"/>
      <c r="G323" s="10"/>
      <c r="H323" s="11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7"/>
      <c r="B324" s="7"/>
      <c r="C324" s="5"/>
      <c r="D324" s="5"/>
      <c r="E324" s="9"/>
      <c r="F324" s="9"/>
      <c r="G324" s="10"/>
      <c r="H324" s="11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7"/>
      <c r="B325" s="7"/>
      <c r="C325" s="5"/>
      <c r="D325" s="5"/>
      <c r="E325" s="9"/>
      <c r="F325" s="9"/>
      <c r="G325" s="10"/>
      <c r="H325" s="11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7"/>
      <c r="B326" s="7"/>
      <c r="C326" s="5"/>
      <c r="D326" s="5"/>
      <c r="E326" s="9"/>
      <c r="F326" s="9"/>
      <c r="G326" s="10"/>
      <c r="H326" s="11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7"/>
      <c r="B327" s="7"/>
      <c r="C327" s="5"/>
      <c r="D327" s="5"/>
      <c r="E327" s="9"/>
      <c r="F327" s="9"/>
      <c r="G327" s="10"/>
      <c r="H327" s="11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7"/>
      <c r="B328" s="7"/>
      <c r="C328" s="5"/>
      <c r="D328" s="5"/>
      <c r="E328" s="9"/>
      <c r="F328" s="9"/>
      <c r="G328" s="10"/>
      <c r="H328" s="11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7"/>
      <c r="B329" s="7"/>
      <c r="C329" s="5"/>
      <c r="D329" s="5"/>
      <c r="E329" s="9"/>
      <c r="F329" s="9"/>
      <c r="G329" s="10"/>
      <c r="H329" s="11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7"/>
      <c r="B330" s="7"/>
      <c r="C330" s="5"/>
      <c r="D330" s="5"/>
      <c r="E330" s="9"/>
      <c r="F330" s="9"/>
      <c r="G330" s="10"/>
      <c r="H330" s="11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7"/>
      <c r="B331" s="7"/>
      <c r="C331" s="5"/>
      <c r="D331" s="5"/>
      <c r="E331" s="9"/>
      <c r="F331" s="9"/>
      <c r="G331" s="10"/>
      <c r="H331" s="11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7"/>
      <c r="B332" s="7"/>
      <c r="C332" s="5"/>
      <c r="D332" s="5"/>
      <c r="E332" s="9"/>
      <c r="F332" s="9"/>
      <c r="G332" s="10"/>
      <c r="H332" s="11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7"/>
      <c r="B333" s="7"/>
      <c r="C333" s="5"/>
      <c r="D333" s="5"/>
      <c r="E333" s="9"/>
      <c r="F333" s="9"/>
      <c r="G333" s="10"/>
      <c r="H333" s="11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7"/>
      <c r="B334" s="7"/>
      <c r="C334" s="5"/>
      <c r="D334" s="5"/>
      <c r="E334" s="9"/>
      <c r="F334" s="9"/>
      <c r="G334" s="10"/>
      <c r="H334" s="11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7"/>
      <c r="B335" s="7"/>
      <c r="C335" s="5"/>
      <c r="D335" s="5"/>
      <c r="E335" s="9"/>
      <c r="F335" s="9"/>
      <c r="G335" s="10"/>
      <c r="H335" s="11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7"/>
      <c r="B336" s="7"/>
      <c r="C336" s="5"/>
      <c r="D336" s="5"/>
      <c r="E336" s="9"/>
      <c r="F336" s="9"/>
      <c r="G336" s="10"/>
      <c r="H336" s="11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7"/>
      <c r="B337" s="7"/>
      <c r="C337" s="5"/>
      <c r="D337" s="5"/>
      <c r="E337" s="9"/>
      <c r="F337" s="9"/>
      <c r="G337" s="10"/>
      <c r="H337" s="11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7"/>
      <c r="B338" s="7"/>
      <c r="C338" s="5"/>
      <c r="D338" s="5"/>
      <c r="E338" s="9"/>
      <c r="F338" s="9"/>
      <c r="G338" s="10"/>
      <c r="H338" s="11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7"/>
      <c r="B339" s="7"/>
      <c r="C339" s="5"/>
      <c r="D339" s="5"/>
      <c r="E339" s="9"/>
      <c r="F339" s="9"/>
      <c r="G339" s="10"/>
      <c r="H339" s="11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7"/>
      <c r="B340" s="7"/>
      <c r="C340" s="5"/>
      <c r="D340" s="5"/>
      <c r="E340" s="9"/>
      <c r="F340" s="9"/>
      <c r="G340" s="10"/>
      <c r="H340" s="11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7"/>
      <c r="B341" s="7"/>
      <c r="C341" s="5"/>
      <c r="D341" s="5"/>
      <c r="E341" s="9"/>
      <c r="F341" s="9"/>
      <c r="G341" s="10"/>
      <c r="H341" s="11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7"/>
      <c r="B342" s="7"/>
      <c r="C342" s="5"/>
      <c r="D342" s="5"/>
      <c r="E342" s="9"/>
      <c r="F342" s="9"/>
      <c r="G342" s="10"/>
      <c r="H342" s="11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7"/>
      <c r="B343" s="7"/>
      <c r="C343" s="5"/>
      <c r="D343" s="5"/>
      <c r="E343" s="9"/>
      <c r="F343" s="9"/>
      <c r="G343" s="10"/>
      <c r="H343" s="11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7"/>
      <c r="B344" s="7"/>
      <c r="C344" s="5"/>
      <c r="D344" s="5"/>
      <c r="E344" s="9"/>
      <c r="F344" s="9"/>
      <c r="G344" s="10"/>
      <c r="H344" s="11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7"/>
      <c r="B345" s="7"/>
      <c r="C345" s="5"/>
      <c r="D345" s="5"/>
      <c r="E345" s="9"/>
      <c r="F345" s="9"/>
      <c r="G345" s="10"/>
      <c r="H345" s="11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7"/>
      <c r="B346" s="7"/>
      <c r="C346" s="5"/>
      <c r="D346" s="5"/>
      <c r="E346" s="9"/>
      <c r="F346" s="9"/>
      <c r="G346" s="10"/>
      <c r="H346" s="11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7"/>
      <c r="B347" s="7"/>
      <c r="C347" s="5"/>
      <c r="D347" s="5"/>
      <c r="E347" s="9"/>
      <c r="F347" s="9"/>
      <c r="G347" s="10"/>
      <c r="H347" s="11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7"/>
      <c r="B348" s="7"/>
      <c r="C348" s="5"/>
      <c r="D348" s="5"/>
      <c r="E348" s="9"/>
      <c r="F348" s="9"/>
      <c r="G348" s="10"/>
      <c r="H348" s="11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7"/>
      <c r="B349" s="7"/>
      <c r="C349" s="5"/>
      <c r="D349" s="5"/>
      <c r="E349" s="9"/>
      <c r="F349" s="9"/>
      <c r="G349" s="10"/>
      <c r="H349" s="11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7"/>
      <c r="B350" s="7"/>
      <c r="C350" s="5"/>
      <c r="D350" s="5"/>
      <c r="E350" s="9"/>
      <c r="F350" s="9"/>
      <c r="G350" s="10"/>
      <c r="H350" s="11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7"/>
      <c r="B351" s="7"/>
      <c r="C351" s="5"/>
      <c r="D351" s="5"/>
      <c r="E351" s="9"/>
      <c r="F351" s="9"/>
      <c r="G351" s="10"/>
      <c r="H351" s="11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7"/>
      <c r="B352" s="7"/>
      <c r="C352" s="5"/>
      <c r="D352" s="5"/>
      <c r="E352" s="9"/>
      <c r="F352" s="9"/>
      <c r="G352" s="10"/>
      <c r="H352" s="11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7"/>
      <c r="B353" s="7"/>
      <c r="C353" s="5"/>
      <c r="D353" s="5"/>
      <c r="E353" s="9"/>
      <c r="F353" s="9"/>
      <c r="G353" s="10"/>
      <c r="H353" s="11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7"/>
      <c r="B354" s="7"/>
      <c r="C354" s="5"/>
      <c r="D354" s="5"/>
      <c r="E354" s="9"/>
      <c r="F354" s="9"/>
      <c r="G354" s="10"/>
      <c r="H354" s="11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7"/>
      <c r="B355" s="7"/>
      <c r="C355" s="5"/>
      <c r="D355" s="5"/>
      <c r="E355" s="9"/>
      <c r="F355" s="9"/>
      <c r="G355" s="10"/>
      <c r="H355" s="11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7"/>
      <c r="B356" s="7"/>
      <c r="C356" s="5"/>
      <c r="D356" s="5"/>
      <c r="E356" s="9"/>
      <c r="F356" s="9"/>
      <c r="G356" s="10"/>
      <c r="H356" s="11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7"/>
      <c r="B357" s="7"/>
      <c r="C357" s="5"/>
      <c r="D357" s="5"/>
      <c r="E357" s="9"/>
      <c r="F357" s="9"/>
      <c r="G357" s="10"/>
      <c r="H357" s="11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7"/>
      <c r="B358" s="7"/>
      <c r="C358" s="5"/>
      <c r="D358" s="5"/>
      <c r="E358" s="9"/>
      <c r="F358" s="9"/>
      <c r="G358" s="10"/>
      <c r="H358" s="11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7"/>
      <c r="B359" s="7"/>
      <c r="C359" s="5"/>
      <c r="D359" s="5"/>
      <c r="E359" s="9"/>
      <c r="F359" s="9"/>
      <c r="G359" s="10"/>
      <c r="H359" s="11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7"/>
      <c r="B360" s="7"/>
      <c r="C360" s="5"/>
      <c r="D360" s="5"/>
      <c r="E360" s="9"/>
      <c r="F360" s="9"/>
      <c r="G360" s="10"/>
      <c r="H360" s="11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7"/>
      <c r="B361" s="7"/>
      <c r="C361" s="5"/>
      <c r="D361" s="5"/>
      <c r="E361" s="9"/>
      <c r="F361" s="9"/>
      <c r="G361" s="10"/>
      <c r="H361" s="11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7"/>
      <c r="B362" s="7"/>
      <c r="C362" s="5"/>
      <c r="D362" s="5"/>
      <c r="E362" s="9"/>
      <c r="F362" s="9"/>
      <c r="G362" s="10"/>
      <c r="H362" s="11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7"/>
      <c r="B363" s="7"/>
      <c r="C363" s="5"/>
      <c r="D363" s="5"/>
      <c r="E363" s="9"/>
      <c r="F363" s="9"/>
      <c r="G363" s="10"/>
      <c r="H363" s="11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7"/>
      <c r="B364" s="7"/>
      <c r="C364" s="5"/>
      <c r="D364" s="5"/>
      <c r="E364" s="9"/>
      <c r="F364" s="9"/>
      <c r="G364" s="10"/>
      <c r="H364" s="11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7"/>
      <c r="B365" s="7"/>
      <c r="C365" s="5"/>
      <c r="D365" s="5"/>
      <c r="E365" s="9"/>
      <c r="F365" s="9"/>
      <c r="G365" s="10"/>
      <c r="H365" s="11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7"/>
      <c r="B366" s="7"/>
      <c r="C366" s="5"/>
      <c r="D366" s="5"/>
      <c r="E366" s="9"/>
      <c r="F366" s="9"/>
      <c r="G366" s="10"/>
      <c r="H366" s="11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7"/>
      <c r="B367" s="7"/>
      <c r="C367" s="5"/>
      <c r="D367" s="5"/>
      <c r="E367" s="9"/>
      <c r="F367" s="9"/>
      <c r="G367" s="10"/>
      <c r="H367" s="11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7"/>
      <c r="B368" s="7"/>
      <c r="C368" s="5"/>
      <c r="D368" s="5"/>
      <c r="E368" s="9"/>
      <c r="F368" s="9"/>
      <c r="G368" s="10"/>
      <c r="H368" s="11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7"/>
      <c r="B369" s="7"/>
      <c r="C369" s="5"/>
      <c r="D369" s="5"/>
      <c r="E369" s="9"/>
      <c r="F369" s="9"/>
      <c r="G369" s="10"/>
      <c r="H369" s="11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7"/>
      <c r="B370" s="7"/>
      <c r="C370" s="5"/>
      <c r="D370" s="5"/>
      <c r="E370" s="9"/>
      <c r="F370" s="9"/>
      <c r="G370" s="10"/>
      <c r="H370" s="11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7"/>
      <c r="B371" s="7"/>
      <c r="C371" s="5"/>
      <c r="D371" s="5"/>
      <c r="E371" s="9"/>
      <c r="F371" s="9"/>
      <c r="G371" s="10"/>
      <c r="H371" s="11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7"/>
      <c r="B372" s="7"/>
      <c r="C372" s="5"/>
      <c r="D372" s="5"/>
      <c r="E372" s="9"/>
      <c r="F372" s="9"/>
      <c r="G372" s="10"/>
      <c r="H372" s="11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7"/>
      <c r="B373" s="7"/>
      <c r="C373" s="5"/>
      <c r="D373" s="5"/>
      <c r="E373" s="9"/>
      <c r="F373" s="9"/>
      <c r="G373" s="10"/>
      <c r="H373" s="11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7"/>
      <c r="B374" s="7"/>
      <c r="C374" s="5"/>
      <c r="D374" s="5"/>
      <c r="E374" s="9"/>
      <c r="F374" s="9"/>
      <c r="G374" s="10"/>
      <c r="H374" s="11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7"/>
      <c r="B375" s="7"/>
      <c r="C375" s="5"/>
      <c r="D375" s="5"/>
      <c r="E375" s="9"/>
      <c r="F375" s="9"/>
      <c r="G375" s="10"/>
      <c r="H375" s="11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7"/>
      <c r="B376" s="7"/>
      <c r="C376" s="5"/>
      <c r="D376" s="5"/>
      <c r="E376" s="9"/>
      <c r="F376" s="9"/>
      <c r="G376" s="10"/>
      <c r="H376" s="11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7"/>
      <c r="B377" s="7"/>
      <c r="C377" s="5"/>
      <c r="D377" s="5"/>
      <c r="E377" s="9"/>
      <c r="F377" s="9"/>
      <c r="G377" s="10"/>
      <c r="H377" s="11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7"/>
      <c r="B378" s="7"/>
      <c r="C378" s="5"/>
      <c r="D378" s="5"/>
      <c r="E378" s="9"/>
      <c r="F378" s="9"/>
      <c r="G378" s="10"/>
      <c r="H378" s="11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7"/>
      <c r="B379" s="7"/>
      <c r="C379" s="5"/>
      <c r="D379" s="5"/>
      <c r="E379" s="9"/>
      <c r="F379" s="9"/>
      <c r="G379" s="10"/>
      <c r="H379" s="11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7"/>
      <c r="B380" s="7"/>
      <c r="C380" s="5"/>
      <c r="D380" s="5"/>
      <c r="E380" s="9"/>
      <c r="F380" s="9"/>
      <c r="G380" s="10"/>
      <c r="H380" s="11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7"/>
      <c r="B381" s="7"/>
      <c r="C381" s="5"/>
      <c r="D381" s="5"/>
      <c r="E381" s="9"/>
      <c r="F381" s="9"/>
      <c r="G381" s="10"/>
      <c r="H381" s="11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7"/>
      <c r="B382" s="7"/>
      <c r="C382" s="5"/>
      <c r="D382" s="5"/>
      <c r="E382" s="9"/>
      <c r="F382" s="9"/>
      <c r="G382" s="10"/>
      <c r="H382" s="11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7"/>
      <c r="B383" s="7"/>
      <c r="C383" s="5"/>
      <c r="D383" s="5"/>
      <c r="E383" s="9"/>
      <c r="F383" s="9"/>
      <c r="G383" s="10"/>
      <c r="H383" s="11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7"/>
      <c r="B384" s="7"/>
      <c r="C384" s="5"/>
      <c r="D384" s="5"/>
      <c r="E384" s="9"/>
      <c r="F384" s="9"/>
      <c r="G384" s="10"/>
      <c r="H384" s="11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7"/>
      <c r="B385" s="7"/>
      <c r="C385" s="5"/>
      <c r="D385" s="5"/>
      <c r="E385" s="9"/>
      <c r="F385" s="9"/>
      <c r="G385" s="10"/>
      <c r="H385" s="11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7"/>
      <c r="B386" s="7"/>
      <c r="C386" s="5"/>
      <c r="D386" s="5"/>
      <c r="E386" s="9"/>
      <c r="F386" s="9"/>
      <c r="G386" s="10"/>
      <c r="H386" s="11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7"/>
      <c r="B387" s="7"/>
      <c r="C387" s="5"/>
      <c r="D387" s="5"/>
      <c r="E387" s="9"/>
      <c r="F387" s="9"/>
      <c r="G387" s="10"/>
      <c r="H387" s="11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7"/>
      <c r="B388" s="7"/>
      <c r="C388" s="5"/>
      <c r="D388" s="5"/>
      <c r="E388" s="9"/>
      <c r="F388" s="9"/>
      <c r="G388" s="10"/>
      <c r="H388" s="11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7"/>
      <c r="B389" s="7"/>
      <c r="C389" s="5"/>
      <c r="D389" s="5"/>
      <c r="E389" s="9"/>
      <c r="F389" s="9"/>
      <c r="G389" s="10"/>
      <c r="H389" s="11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7"/>
      <c r="B390" s="7"/>
      <c r="C390" s="5"/>
      <c r="D390" s="5"/>
      <c r="E390" s="9"/>
      <c r="F390" s="9"/>
      <c r="G390" s="10"/>
      <c r="H390" s="11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7"/>
      <c r="B391" s="7"/>
      <c r="C391" s="5"/>
      <c r="D391" s="5"/>
      <c r="E391" s="9"/>
      <c r="F391" s="9"/>
      <c r="G391" s="10"/>
      <c r="H391" s="11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7"/>
      <c r="B392" s="7"/>
      <c r="C392" s="5"/>
      <c r="D392" s="5"/>
      <c r="E392" s="9"/>
      <c r="F392" s="9"/>
      <c r="G392" s="10"/>
      <c r="H392" s="11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7"/>
      <c r="B393" s="7"/>
      <c r="C393" s="5"/>
      <c r="D393" s="5"/>
      <c r="E393" s="9"/>
      <c r="F393" s="9"/>
      <c r="G393" s="10"/>
      <c r="H393" s="11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7"/>
      <c r="B394" s="7"/>
      <c r="C394" s="5"/>
      <c r="D394" s="5"/>
      <c r="E394" s="9"/>
      <c r="F394" s="9"/>
      <c r="G394" s="10"/>
      <c r="H394" s="11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7"/>
      <c r="B395" s="7"/>
      <c r="C395" s="5"/>
      <c r="D395" s="5"/>
      <c r="E395" s="9"/>
      <c r="F395" s="9"/>
      <c r="G395" s="10"/>
      <c r="H395" s="11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7"/>
      <c r="B396" s="7"/>
      <c r="C396" s="5"/>
      <c r="D396" s="5"/>
      <c r="E396" s="9"/>
      <c r="F396" s="9"/>
      <c r="G396" s="10"/>
      <c r="H396" s="11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7"/>
      <c r="B397" s="7"/>
      <c r="C397" s="5"/>
      <c r="D397" s="5"/>
      <c r="E397" s="9"/>
      <c r="F397" s="9"/>
      <c r="G397" s="10"/>
      <c r="H397" s="11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7"/>
      <c r="B398" s="7"/>
      <c r="C398" s="5"/>
      <c r="D398" s="5"/>
      <c r="E398" s="9"/>
      <c r="F398" s="9"/>
      <c r="G398" s="10"/>
      <c r="H398" s="11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7"/>
      <c r="B399" s="7"/>
      <c r="C399" s="5"/>
      <c r="D399" s="5"/>
      <c r="E399" s="9"/>
      <c r="F399" s="9"/>
      <c r="G399" s="10"/>
      <c r="H399" s="11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7"/>
      <c r="B400" s="7"/>
      <c r="C400" s="5"/>
      <c r="D400" s="5"/>
      <c r="E400" s="9"/>
      <c r="F400" s="9"/>
      <c r="G400" s="10"/>
      <c r="H400" s="11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7"/>
      <c r="B401" s="7"/>
      <c r="C401" s="5"/>
      <c r="D401" s="5"/>
      <c r="E401" s="9"/>
      <c r="F401" s="9"/>
      <c r="G401" s="10"/>
      <c r="H401" s="11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7"/>
      <c r="B402" s="7"/>
      <c r="C402" s="5"/>
      <c r="D402" s="5"/>
      <c r="E402" s="9"/>
      <c r="F402" s="9"/>
      <c r="G402" s="10"/>
      <c r="H402" s="11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7"/>
      <c r="B403" s="7"/>
      <c r="C403" s="5"/>
      <c r="D403" s="5"/>
      <c r="E403" s="9"/>
      <c r="F403" s="9"/>
      <c r="G403" s="10"/>
      <c r="H403" s="11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7"/>
      <c r="B404" s="7"/>
      <c r="C404" s="5"/>
      <c r="D404" s="5"/>
      <c r="E404" s="9"/>
      <c r="F404" s="9"/>
      <c r="G404" s="10"/>
      <c r="H404" s="11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7"/>
      <c r="B405" s="7"/>
      <c r="C405" s="5"/>
      <c r="D405" s="5"/>
      <c r="E405" s="9"/>
      <c r="F405" s="9"/>
      <c r="G405" s="10"/>
      <c r="H405" s="11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7"/>
      <c r="B406" s="7"/>
      <c r="C406" s="5"/>
      <c r="D406" s="5"/>
      <c r="E406" s="9"/>
      <c r="F406" s="9"/>
      <c r="G406" s="10"/>
      <c r="H406" s="11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7"/>
      <c r="B407" s="7"/>
      <c r="C407" s="5"/>
      <c r="D407" s="5"/>
      <c r="E407" s="9"/>
      <c r="F407" s="9"/>
      <c r="G407" s="10"/>
      <c r="H407" s="11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7"/>
      <c r="B408" s="7"/>
      <c r="C408" s="5"/>
      <c r="D408" s="5"/>
      <c r="E408" s="9"/>
      <c r="F408" s="9"/>
      <c r="G408" s="10"/>
      <c r="H408" s="11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7"/>
      <c r="B409" s="7"/>
      <c r="C409" s="5"/>
      <c r="D409" s="5"/>
      <c r="E409" s="9"/>
      <c r="F409" s="9"/>
      <c r="G409" s="10"/>
      <c r="H409" s="11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7"/>
      <c r="B410" s="7"/>
      <c r="C410" s="5"/>
      <c r="D410" s="5"/>
      <c r="E410" s="9"/>
      <c r="F410" s="9"/>
      <c r="G410" s="10"/>
      <c r="H410" s="11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7"/>
      <c r="B411" s="7"/>
      <c r="C411" s="5"/>
      <c r="D411" s="5"/>
      <c r="E411" s="9"/>
      <c r="F411" s="9"/>
      <c r="G411" s="10"/>
      <c r="H411" s="11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7"/>
      <c r="B412" s="7"/>
      <c r="C412" s="5"/>
      <c r="D412" s="5"/>
      <c r="E412" s="9"/>
      <c r="F412" s="9"/>
      <c r="G412" s="10"/>
      <c r="H412" s="11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7"/>
      <c r="B413" s="7"/>
      <c r="C413" s="5"/>
      <c r="D413" s="5"/>
      <c r="E413" s="9"/>
      <c r="F413" s="9"/>
      <c r="G413" s="10"/>
      <c r="H413" s="11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7"/>
      <c r="B414" s="7"/>
      <c r="C414" s="5"/>
      <c r="D414" s="5"/>
      <c r="E414" s="9"/>
      <c r="F414" s="9"/>
      <c r="G414" s="10"/>
      <c r="H414" s="11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7"/>
      <c r="B415" s="7"/>
      <c r="C415" s="5"/>
      <c r="D415" s="5"/>
      <c r="E415" s="9"/>
      <c r="F415" s="9"/>
      <c r="G415" s="10"/>
      <c r="H415" s="11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7"/>
      <c r="B416" s="7"/>
      <c r="C416" s="5"/>
      <c r="D416" s="5"/>
      <c r="E416" s="9"/>
      <c r="F416" s="9"/>
      <c r="G416" s="10"/>
      <c r="H416" s="11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7"/>
      <c r="B417" s="7"/>
      <c r="C417" s="5"/>
      <c r="D417" s="5"/>
      <c r="E417" s="9"/>
      <c r="F417" s="9"/>
      <c r="G417" s="10"/>
      <c r="H417" s="11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7"/>
      <c r="B418" s="7"/>
      <c r="C418" s="5"/>
      <c r="D418" s="5"/>
      <c r="E418" s="9"/>
      <c r="F418" s="9"/>
      <c r="G418" s="10"/>
      <c r="H418" s="11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7"/>
      <c r="B419" s="7"/>
      <c r="C419" s="5"/>
      <c r="D419" s="5"/>
      <c r="E419" s="9"/>
      <c r="F419" s="9"/>
      <c r="G419" s="10"/>
      <c r="H419" s="11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7"/>
      <c r="B420" s="7"/>
      <c r="C420" s="5"/>
      <c r="D420" s="5"/>
      <c r="E420" s="9"/>
      <c r="F420" s="9"/>
      <c r="G420" s="10"/>
      <c r="H420" s="11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7"/>
      <c r="B421" s="7"/>
      <c r="C421" s="5"/>
      <c r="D421" s="5"/>
      <c r="E421" s="9"/>
      <c r="F421" s="9"/>
      <c r="G421" s="10"/>
      <c r="H421" s="11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7"/>
      <c r="B422" s="7"/>
      <c r="C422" s="5"/>
      <c r="D422" s="5"/>
      <c r="E422" s="9"/>
      <c r="F422" s="9"/>
      <c r="G422" s="10"/>
      <c r="H422" s="11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7"/>
      <c r="B423" s="7"/>
      <c r="C423" s="5"/>
      <c r="D423" s="5"/>
      <c r="E423" s="9"/>
      <c r="F423" s="9"/>
      <c r="G423" s="10"/>
      <c r="H423" s="11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7"/>
      <c r="B424" s="7"/>
      <c r="C424" s="5"/>
      <c r="D424" s="5"/>
      <c r="E424" s="9"/>
      <c r="F424" s="9"/>
      <c r="G424" s="10"/>
      <c r="H424" s="11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7"/>
      <c r="B425" s="7"/>
      <c r="C425" s="5"/>
      <c r="D425" s="5"/>
      <c r="E425" s="9"/>
      <c r="F425" s="9"/>
      <c r="G425" s="10"/>
      <c r="H425" s="11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7"/>
      <c r="B426" s="7"/>
      <c r="C426" s="5"/>
      <c r="D426" s="5"/>
      <c r="E426" s="9"/>
      <c r="F426" s="9"/>
      <c r="G426" s="10"/>
      <c r="H426" s="11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7"/>
      <c r="B427" s="7"/>
      <c r="C427" s="5"/>
      <c r="D427" s="5"/>
      <c r="E427" s="9"/>
      <c r="F427" s="9"/>
      <c r="G427" s="10"/>
      <c r="H427" s="11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7"/>
      <c r="B428" s="7"/>
      <c r="C428" s="5"/>
      <c r="D428" s="5"/>
      <c r="E428" s="9"/>
      <c r="F428" s="9"/>
      <c r="G428" s="10"/>
      <c r="H428" s="11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7"/>
      <c r="B429" s="7"/>
      <c r="C429" s="5"/>
      <c r="D429" s="5"/>
      <c r="E429" s="9"/>
      <c r="F429" s="9"/>
      <c r="G429" s="10"/>
      <c r="H429" s="11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7"/>
      <c r="B430" s="7"/>
      <c r="C430" s="5"/>
      <c r="D430" s="5"/>
      <c r="E430" s="9"/>
      <c r="F430" s="9"/>
      <c r="G430" s="10"/>
      <c r="H430" s="11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7"/>
      <c r="B431" s="7"/>
      <c r="C431" s="5"/>
      <c r="D431" s="5"/>
      <c r="E431" s="9"/>
      <c r="F431" s="9"/>
      <c r="G431" s="10"/>
      <c r="H431" s="11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7"/>
      <c r="B432" s="7"/>
      <c r="C432" s="5"/>
      <c r="D432" s="5"/>
      <c r="E432" s="9"/>
      <c r="F432" s="9"/>
      <c r="G432" s="10"/>
      <c r="H432" s="11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7"/>
      <c r="B433" s="7"/>
      <c r="C433" s="5"/>
      <c r="D433" s="5"/>
      <c r="E433" s="9"/>
      <c r="F433" s="9"/>
      <c r="G433" s="10"/>
      <c r="H433" s="11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7"/>
      <c r="B434" s="7"/>
      <c r="C434" s="5"/>
      <c r="D434" s="5"/>
      <c r="E434" s="9"/>
      <c r="F434" s="9"/>
      <c r="G434" s="10"/>
      <c r="H434" s="11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7"/>
      <c r="B435" s="7"/>
      <c r="C435" s="5"/>
      <c r="D435" s="5"/>
      <c r="E435" s="9"/>
      <c r="F435" s="9"/>
      <c r="G435" s="10"/>
      <c r="H435" s="11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7"/>
      <c r="B436" s="7"/>
      <c r="C436" s="5"/>
      <c r="D436" s="5"/>
      <c r="E436" s="9"/>
      <c r="F436" s="9"/>
      <c r="G436" s="10"/>
      <c r="H436" s="11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7"/>
      <c r="B437" s="7"/>
      <c r="C437" s="5"/>
      <c r="D437" s="5"/>
      <c r="E437" s="9"/>
      <c r="F437" s="9"/>
      <c r="G437" s="10"/>
      <c r="H437" s="11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7"/>
      <c r="B438" s="7"/>
      <c r="C438" s="5"/>
      <c r="D438" s="5"/>
      <c r="E438" s="9"/>
      <c r="F438" s="9"/>
      <c r="G438" s="10"/>
      <c r="H438" s="11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7"/>
      <c r="B439" s="7"/>
      <c r="C439" s="5"/>
      <c r="D439" s="5"/>
      <c r="E439" s="9"/>
      <c r="F439" s="9"/>
      <c r="G439" s="10"/>
      <c r="H439" s="11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7"/>
      <c r="B440" s="7"/>
      <c r="C440" s="5"/>
      <c r="D440" s="5"/>
      <c r="E440" s="9"/>
      <c r="F440" s="9"/>
      <c r="G440" s="10"/>
      <c r="H440" s="11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7"/>
      <c r="B441" s="7"/>
      <c r="C441" s="5"/>
      <c r="D441" s="5"/>
      <c r="E441" s="9"/>
      <c r="F441" s="9"/>
      <c r="G441" s="10"/>
      <c r="H441" s="11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7"/>
      <c r="B442" s="7"/>
      <c r="C442" s="5"/>
      <c r="D442" s="5"/>
      <c r="E442" s="9"/>
      <c r="F442" s="9"/>
      <c r="G442" s="10"/>
      <c r="H442" s="11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7"/>
      <c r="B443" s="7"/>
      <c r="C443" s="5"/>
      <c r="D443" s="5"/>
      <c r="E443" s="9"/>
      <c r="F443" s="9"/>
      <c r="G443" s="10"/>
      <c r="H443" s="11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7"/>
      <c r="B444" s="7"/>
      <c r="C444" s="5"/>
      <c r="D444" s="5"/>
      <c r="E444" s="9"/>
      <c r="F444" s="9"/>
      <c r="G444" s="10"/>
      <c r="H444" s="11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7"/>
      <c r="B445" s="7"/>
      <c r="C445" s="5"/>
      <c r="D445" s="5"/>
      <c r="E445" s="9"/>
      <c r="F445" s="9"/>
      <c r="G445" s="10"/>
      <c r="H445" s="11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7"/>
      <c r="B446" s="7"/>
      <c r="C446" s="5"/>
      <c r="D446" s="5"/>
      <c r="E446" s="9"/>
      <c r="F446" s="9"/>
      <c r="G446" s="10"/>
      <c r="H446" s="11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7"/>
      <c r="B447" s="7"/>
      <c r="C447" s="5"/>
      <c r="D447" s="5"/>
      <c r="E447" s="9"/>
      <c r="F447" s="9"/>
      <c r="G447" s="10"/>
      <c r="H447" s="11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7"/>
      <c r="B448" s="7"/>
      <c r="C448" s="5"/>
      <c r="D448" s="5"/>
      <c r="E448" s="9"/>
      <c r="F448" s="9"/>
      <c r="G448" s="10"/>
      <c r="H448" s="11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7"/>
      <c r="B449" s="7"/>
      <c r="C449" s="5"/>
      <c r="D449" s="5"/>
      <c r="E449" s="9"/>
      <c r="F449" s="9"/>
      <c r="G449" s="10"/>
      <c r="H449" s="11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7"/>
      <c r="B450" s="7"/>
      <c r="C450" s="5"/>
      <c r="D450" s="5"/>
      <c r="E450" s="9"/>
      <c r="F450" s="9"/>
      <c r="G450" s="10"/>
      <c r="H450" s="11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7"/>
      <c r="B451" s="7"/>
      <c r="C451" s="5"/>
      <c r="D451" s="5"/>
      <c r="E451" s="9"/>
      <c r="F451" s="9"/>
      <c r="G451" s="10"/>
      <c r="H451" s="11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7"/>
      <c r="B452" s="7"/>
      <c r="C452" s="5"/>
      <c r="D452" s="5"/>
      <c r="E452" s="9"/>
      <c r="F452" s="9"/>
      <c r="G452" s="10"/>
      <c r="H452" s="11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7"/>
      <c r="B453" s="7"/>
      <c r="C453" s="5"/>
      <c r="D453" s="5"/>
      <c r="E453" s="9"/>
      <c r="F453" s="9"/>
      <c r="G453" s="10"/>
      <c r="H453" s="11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7"/>
      <c r="B454" s="7"/>
      <c r="C454" s="5"/>
      <c r="D454" s="5"/>
      <c r="E454" s="9"/>
      <c r="F454" s="9"/>
      <c r="G454" s="10"/>
      <c r="H454" s="11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7"/>
      <c r="B455" s="7"/>
      <c r="C455" s="5"/>
      <c r="D455" s="5"/>
      <c r="E455" s="9"/>
      <c r="F455" s="9"/>
      <c r="G455" s="10"/>
      <c r="H455" s="11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7"/>
      <c r="B456" s="7"/>
      <c r="C456" s="5"/>
      <c r="D456" s="5"/>
      <c r="E456" s="9"/>
      <c r="F456" s="9"/>
      <c r="G456" s="10"/>
      <c r="H456" s="11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7"/>
      <c r="B457" s="7"/>
      <c r="C457" s="5"/>
      <c r="D457" s="5"/>
      <c r="E457" s="9"/>
      <c r="F457" s="9"/>
      <c r="G457" s="10"/>
      <c r="H457" s="11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7"/>
      <c r="B458" s="7"/>
      <c r="C458" s="5"/>
      <c r="D458" s="5"/>
      <c r="E458" s="9"/>
      <c r="F458" s="9"/>
      <c r="G458" s="10"/>
      <c r="H458" s="11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7"/>
      <c r="B459" s="7"/>
      <c r="C459" s="5"/>
      <c r="D459" s="5"/>
      <c r="E459" s="9"/>
      <c r="F459" s="9"/>
      <c r="G459" s="10"/>
      <c r="H459" s="11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7"/>
      <c r="B460" s="7"/>
      <c r="C460" s="5"/>
      <c r="D460" s="5"/>
      <c r="E460" s="9"/>
      <c r="F460" s="9"/>
      <c r="G460" s="10"/>
      <c r="H460" s="11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7"/>
      <c r="B461" s="7"/>
      <c r="C461" s="5"/>
      <c r="D461" s="5"/>
      <c r="E461" s="9"/>
      <c r="F461" s="9"/>
      <c r="G461" s="10"/>
      <c r="H461" s="11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7"/>
      <c r="B462" s="7"/>
      <c r="C462" s="5"/>
      <c r="D462" s="5"/>
      <c r="E462" s="9"/>
      <c r="F462" s="9"/>
      <c r="G462" s="10"/>
      <c r="H462" s="11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7"/>
      <c r="B463" s="7"/>
      <c r="C463" s="5"/>
      <c r="D463" s="5"/>
      <c r="E463" s="9"/>
      <c r="F463" s="9"/>
      <c r="G463" s="10"/>
      <c r="H463" s="11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7"/>
      <c r="B464" s="7"/>
      <c r="C464" s="5"/>
      <c r="D464" s="5"/>
      <c r="E464" s="9"/>
      <c r="F464" s="9"/>
      <c r="G464" s="10"/>
      <c r="H464" s="11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7"/>
      <c r="B465" s="7"/>
      <c r="C465" s="5"/>
      <c r="D465" s="5"/>
      <c r="E465" s="9"/>
      <c r="F465" s="9"/>
      <c r="G465" s="10"/>
      <c r="H465" s="11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7"/>
      <c r="B466" s="7"/>
      <c r="C466" s="5"/>
      <c r="D466" s="5"/>
      <c r="E466" s="9"/>
      <c r="F466" s="9"/>
      <c r="G466" s="10"/>
      <c r="H466" s="11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7"/>
      <c r="B467" s="7"/>
      <c r="C467" s="5"/>
      <c r="D467" s="5"/>
      <c r="E467" s="9"/>
      <c r="F467" s="9"/>
      <c r="G467" s="10"/>
      <c r="H467" s="11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7"/>
      <c r="B468" s="7"/>
      <c r="C468" s="5"/>
      <c r="D468" s="5"/>
      <c r="E468" s="9"/>
      <c r="F468" s="9"/>
      <c r="G468" s="10"/>
      <c r="H468" s="11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7"/>
      <c r="B469" s="7"/>
      <c r="C469" s="5"/>
      <c r="D469" s="5"/>
      <c r="E469" s="9"/>
      <c r="F469" s="9"/>
      <c r="G469" s="10"/>
      <c r="H469" s="11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7"/>
      <c r="B470" s="7"/>
      <c r="C470" s="5"/>
      <c r="D470" s="5"/>
      <c r="E470" s="9"/>
      <c r="F470" s="9"/>
      <c r="G470" s="10"/>
      <c r="H470" s="11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7"/>
      <c r="B471" s="7"/>
      <c r="C471" s="5"/>
      <c r="D471" s="5"/>
      <c r="E471" s="9"/>
      <c r="F471" s="9"/>
      <c r="G471" s="10"/>
      <c r="H471" s="11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7"/>
      <c r="B472" s="7"/>
      <c r="C472" s="5"/>
      <c r="D472" s="5"/>
      <c r="E472" s="9"/>
      <c r="F472" s="9"/>
      <c r="G472" s="10"/>
      <c r="H472" s="11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7"/>
      <c r="B473" s="7"/>
      <c r="C473" s="5"/>
      <c r="D473" s="5"/>
      <c r="E473" s="9"/>
      <c r="F473" s="9"/>
      <c r="G473" s="10"/>
      <c r="H473" s="11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7"/>
      <c r="B474" s="7"/>
      <c r="C474" s="5"/>
      <c r="D474" s="5"/>
      <c r="E474" s="9"/>
      <c r="F474" s="9"/>
      <c r="G474" s="10"/>
      <c r="H474" s="11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7"/>
      <c r="B475" s="7"/>
      <c r="C475" s="5"/>
      <c r="D475" s="5"/>
      <c r="E475" s="9"/>
      <c r="F475" s="9"/>
      <c r="G475" s="10"/>
      <c r="H475" s="11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7"/>
      <c r="B476" s="7"/>
      <c r="C476" s="5"/>
      <c r="D476" s="5"/>
      <c r="E476" s="9"/>
      <c r="F476" s="9"/>
      <c r="G476" s="10"/>
      <c r="H476" s="11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7"/>
      <c r="B477" s="7"/>
      <c r="C477" s="5"/>
      <c r="D477" s="5"/>
      <c r="E477" s="9"/>
      <c r="F477" s="9"/>
      <c r="G477" s="10"/>
      <c r="H477" s="11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7"/>
      <c r="B478" s="7"/>
      <c r="C478" s="5"/>
      <c r="D478" s="5"/>
      <c r="E478" s="9"/>
      <c r="F478" s="9"/>
      <c r="G478" s="10"/>
      <c r="H478" s="11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7"/>
      <c r="B479" s="7"/>
      <c r="C479" s="5"/>
      <c r="D479" s="5"/>
      <c r="E479" s="9"/>
      <c r="F479" s="9"/>
      <c r="G479" s="10"/>
      <c r="H479" s="11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7"/>
      <c r="B480" s="7"/>
      <c r="C480" s="5"/>
      <c r="D480" s="5"/>
      <c r="E480" s="9"/>
      <c r="F480" s="9"/>
      <c r="G480" s="10"/>
      <c r="H480" s="11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7"/>
      <c r="B481" s="7"/>
      <c r="C481" s="5"/>
      <c r="D481" s="5"/>
      <c r="E481" s="9"/>
      <c r="F481" s="9"/>
      <c r="G481" s="10"/>
      <c r="H481" s="11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7"/>
      <c r="B482" s="7"/>
      <c r="C482" s="5"/>
      <c r="D482" s="5"/>
      <c r="E482" s="9"/>
      <c r="F482" s="9"/>
      <c r="G482" s="10"/>
      <c r="H482" s="11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7"/>
      <c r="B483" s="7"/>
      <c r="C483" s="5"/>
      <c r="D483" s="5"/>
      <c r="E483" s="9"/>
      <c r="F483" s="9"/>
      <c r="G483" s="10"/>
      <c r="H483" s="11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7"/>
      <c r="B484" s="7"/>
      <c r="C484" s="5"/>
      <c r="D484" s="5"/>
      <c r="E484" s="9"/>
      <c r="F484" s="9"/>
      <c r="G484" s="10"/>
      <c r="H484" s="11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7"/>
      <c r="B485" s="7"/>
      <c r="C485" s="5"/>
      <c r="D485" s="5"/>
      <c r="E485" s="9"/>
      <c r="F485" s="9"/>
      <c r="G485" s="10"/>
      <c r="H485" s="11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7"/>
      <c r="B486" s="7"/>
      <c r="C486" s="5"/>
      <c r="D486" s="5"/>
      <c r="E486" s="9"/>
      <c r="F486" s="9"/>
      <c r="G486" s="10"/>
      <c r="H486" s="11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7"/>
      <c r="B487" s="7"/>
      <c r="C487" s="5"/>
      <c r="D487" s="5"/>
      <c r="E487" s="9"/>
      <c r="F487" s="9"/>
      <c r="G487" s="10"/>
      <c r="H487" s="11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7"/>
      <c r="B488" s="7"/>
      <c r="C488" s="5"/>
      <c r="D488" s="5"/>
      <c r="E488" s="9"/>
      <c r="F488" s="9"/>
      <c r="G488" s="10"/>
      <c r="H488" s="11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7"/>
      <c r="B489" s="7"/>
      <c r="C489" s="5"/>
      <c r="D489" s="5"/>
      <c r="E489" s="9"/>
      <c r="F489" s="9"/>
      <c r="G489" s="10"/>
      <c r="H489" s="11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7"/>
      <c r="B490" s="7"/>
      <c r="C490" s="5"/>
      <c r="D490" s="5"/>
      <c r="E490" s="9"/>
      <c r="F490" s="9"/>
      <c r="G490" s="10"/>
      <c r="H490" s="11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7"/>
      <c r="B491" s="7"/>
      <c r="C491" s="5"/>
      <c r="D491" s="5"/>
      <c r="E491" s="9"/>
      <c r="F491" s="9"/>
      <c r="G491" s="10"/>
      <c r="H491" s="11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7"/>
      <c r="B492" s="7"/>
      <c r="C492" s="5"/>
      <c r="D492" s="5"/>
      <c r="E492" s="9"/>
      <c r="F492" s="9"/>
      <c r="G492" s="10"/>
      <c r="H492" s="11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7"/>
      <c r="B493" s="7"/>
      <c r="C493" s="5"/>
      <c r="D493" s="5"/>
      <c r="E493" s="9"/>
      <c r="F493" s="9"/>
      <c r="G493" s="10"/>
      <c r="H493" s="11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7"/>
      <c r="B494" s="7"/>
      <c r="C494" s="5"/>
      <c r="D494" s="5"/>
      <c r="E494" s="9"/>
      <c r="F494" s="9"/>
      <c r="G494" s="10"/>
      <c r="H494" s="11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7"/>
      <c r="B495" s="7"/>
      <c r="C495" s="5"/>
      <c r="D495" s="5"/>
      <c r="E495" s="9"/>
      <c r="F495" s="9"/>
      <c r="G495" s="10"/>
      <c r="H495" s="11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7"/>
      <c r="B496" s="7"/>
      <c r="C496" s="5"/>
      <c r="D496" s="5"/>
      <c r="E496" s="9"/>
      <c r="F496" s="9"/>
      <c r="G496" s="10"/>
      <c r="H496" s="11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7"/>
      <c r="B497" s="7"/>
      <c r="C497" s="5"/>
      <c r="D497" s="5"/>
      <c r="E497" s="9"/>
      <c r="F497" s="9"/>
      <c r="G497" s="10"/>
      <c r="H497" s="11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7"/>
      <c r="B498" s="7"/>
      <c r="C498" s="5"/>
      <c r="D498" s="5"/>
      <c r="E498" s="9"/>
      <c r="F498" s="9"/>
      <c r="G498" s="10"/>
      <c r="H498" s="11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7"/>
      <c r="B499" s="7"/>
      <c r="C499" s="5"/>
      <c r="D499" s="5"/>
      <c r="E499" s="9"/>
      <c r="F499" s="9"/>
      <c r="G499" s="10"/>
      <c r="H499" s="11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7"/>
      <c r="B500" s="7"/>
      <c r="C500" s="5"/>
      <c r="D500" s="5"/>
      <c r="E500" s="9"/>
      <c r="F500" s="9"/>
      <c r="G500" s="10"/>
      <c r="H500" s="11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7"/>
      <c r="B501" s="7"/>
      <c r="C501" s="5"/>
      <c r="D501" s="5"/>
      <c r="E501" s="9"/>
      <c r="F501" s="9"/>
      <c r="G501" s="10"/>
      <c r="H501" s="11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7"/>
      <c r="B502" s="7"/>
      <c r="C502" s="5"/>
      <c r="D502" s="5"/>
      <c r="E502" s="9"/>
      <c r="F502" s="9"/>
      <c r="G502" s="10"/>
      <c r="H502" s="11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7"/>
      <c r="B503" s="7"/>
      <c r="C503" s="5"/>
      <c r="D503" s="5"/>
      <c r="E503" s="9"/>
      <c r="F503" s="9"/>
      <c r="G503" s="10"/>
      <c r="H503" s="11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7"/>
      <c r="B504" s="7"/>
      <c r="C504" s="5"/>
      <c r="D504" s="5"/>
      <c r="E504" s="9"/>
      <c r="F504" s="9"/>
      <c r="G504" s="10"/>
      <c r="H504" s="11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7"/>
      <c r="B505" s="7"/>
      <c r="C505" s="5"/>
      <c r="D505" s="5"/>
      <c r="E505" s="9"/>
      <c r="F505" s="9"/>
      <c r="G505" s="10"/>
      <c r="H505" s="11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7"/>
      <c r="B506" s="7"/>
      <c r="C506" s="5"/>
      <c r="D506" s="5"/>
      <c r="E506" s="9"/>
      <c r="F506" s="9"/>
      <c r="G506" s="10"/>
      <c r="H506" s="11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7"/>
      <c r="B507" s="7"/>
      <c r="C507" s="5"/>
      <c r="D507" s="5"/>
      <c r="E507" s="9"/>
      <c r="F507" s="9"/>
      <c r="G507" s="10"/>
      <c r="H507" s="11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7"/>
      <c r="B508" s="7"/>
      <c r="C508" s="5"/>
      <c r="D508" s="5"/>
      <c r="E508" s="9"/>
      <c r="F508" s="9"/>
      <c r="G508" s="10"/>
      <c r="H508" s="11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7"/>
      <c r="B509" s="7"/>
      <c r="C509" s="5"/>
      <c r="D509" s="5"/>
      <c r="E509" s="9"/>
      <c r="F509" s="9"/>
      <c r="G509" s="10"/>
      <c r="H509" s="11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7"/>
      <c r="B510" s="7"/>
      <c r="C510" s="5"/>
      <c r="D510" s="5"/>
      <c r="E510" s="9"/>
      <c r="F510" s="9"/>
      <c r="G510" s="10"/>
      <c r="H510" s="11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7"/>
      <c r="B511" s="7"/>
      <c r="C511" s="5"/>
      <c r="D511" s="5"/>
      <c r="E511" s="9"/>
      <c r="F511" s="9"/>
      <c r="G511" s="10"/>
      <c r="H511" s="11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7"/>
      <c r="B512" s="7"/>
      <c r="C512" s="5"/>
      <c r="D512" s="5"/>
      <c r="E512" s="9"/>
      <c r="F512" s="9"/>
      <c r="G512" s="10"/>
      <c r="H512" s="11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7"/>
      <c r="B513" s="7"/>
      <c r="C513" s="5"/>
      <c r="D513" s="5"/>
      <c r="E513" s="9"/>
      <c r="F513" s="9"/>
      <c r="G513" s="10"/>
      <c r="H513" s="11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7"/>
      <c r="B514" s="7"/>
      <c r="C514" s="5"/>
      <c r="D514" s="5"/>
      <c r="E514" s="9"/>
      <c r="F514" s="9"/>
      <c r="G514" s="10"/>
      <c r="H514" s="11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7"/>
      <c r="B515" s="7"/>
      <c r="C515" s="5"/>
      <c r="D515" s="5"/>
      <c r="E515" s="9"/>
      <c r="F515" s="9"/>
      <c r="G515" s="10"/>
      <c r="H515" s="11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7"/>
      <c r="B516" s="7"/>
      <c r="C516" s="5"/>
      <c r="D516" s="5"/>
      <c r="E516" s="9"/>
      <c r="F516" s="9"/>
      <c r="G516" s="10"/>
      <c r="H516" s="11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7"/>
      <c r="B517" s="7"/>
      <c r="C517" s="5"/>
      <c r="D517" s="5"/>
      <c r="E517" s="9"/>
      <c r="F517" s="9"/>
      <c r="G517" s="10"/>
      <c r="H517" s="11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7"/>
      <c r="B518" s="7"/>
      <c r="C518" s="5"/>
      <c r="D518" s="5"/>
      <c r="E518" s="9"/>
      <c r="F518" s="9"/>
      <c r="G518" s="10"/>
      <c r="H518" s="11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7"/>
      <c r="B519" s="7"/>
      <c r="C519" s="5"/>
      <c r="D519" s="5"/>
      <c r="E519" s="9"/>
      <c r="F519" s="9"/>
      <c r="G519" s="10"/>
      <c r="H519" s="11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7"/>
      <c r="B520" s="7"/>
      <c r="C520" s="5"/>
      <c r="D520" s="5"/>
      <c r="E520" s="9"/>
      <c r="F520" s="9"/>
      <c r="G520" s="10"/>
      <c r="H520" s="11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7"/>
      <c r="B521" s="7"/>
      <c r="C521" s="5"/>
      <c r="D521" s="5"/>
      <c r="E521" s="9"/>
      <c r="F521" s="9"/>
      <c r="G521" s="10"/>
      <c r="H521" s="11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7"/>
      <c r="B522" s="7"/>
      <c r="C522" s="5"/>
      <c r="D522" s="5"/>
      <c r="E522" s="9"/>
      <c r="F522" s="9"/>
      <c r="G522" s="10"/>
      <c r="H522" s="11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7"/>
      <c r="B523" s="7"/>
      <c r="C523" s="5"/>
      <c r="D523" s="5"/>
      <c r="E523" s="9"/>
      <c r="F523" s="9"/>
      <c r="G523" s="10"/>
      <c r="H523" s="11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7"/>
      <c r="B524" s="7"/>
      <c r="C524" s="5"/>
      <c r="D524" s="5"/>
      <c r="E524" s="9"/>
      <c r="F524" s="9"/>
      <c r="G524" s="10"/>
      <c r="H524" s="11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7"/>
      <c r="B525" s="7"/>
      <c r="C525" s="5"/>
      <c r="D525" s="5"/>
      <c r="E525" s="9"/>
      <c r="F525" s="9"/>
      <c r="G525" s="10"/>
      <c r="H525" s="11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7"/>
      <c r="B526" s="7"/>
      <c r="C526" s="5"/>
      <c r="D526" s="5"/>
      <c r="E526" s="9"/>
      <c r="F526" s="9"/>
      <c r="G526" s="10"/>
      <c r="H526" s="11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7"/>
      <c r="B527" s="7"/>
      <c r="C527" s="5"/>
      <c r="D527" s="5"/>
      <c r="E527" s="9"/>
      <c r="F527" s="9"/>
      <c r="G527" s="10"/>
      <c r="H527" s="11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7"/>
      <c r="B528" s="7"/>
      <c r="C528" s="5"/>
      <c r="D528" s="5"/>
      <c r="E528" s="9"/>
      <c r="F528" s="9"/>
      <c r="G528" s="10"/>
      <c r="H528" s="11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7"/>
      <c r="B529" s="7"/>
      <c r="C529" s="5"/>
      <c r="D529" s="5"/>
      <c r="E529" s="9"/>
      <c r="F529" s="9"/>
      <c r="G529" s="10"/>
      <c r="H529" s="11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7"/>
      <c r="B530" s="7"/>
      <c r="C530" s="5"/>
      <c r="D530" s="5"/>
      <c r="E530" s="9"/>
      <c r="F530" s="9"/>
      <c r="G530" s="10"/>
      <c r="H530" s="11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7"/>
      <c r="B531" s="7"/>
      <c r="C531" s="5"/>
      <c r="D531" s="5"/>
      <c r="E531" s="9"/>
      <c r="F531" s="9"/>
      <c r="G531" s="10"/>
      <c r="H531" s="11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7"/>
      <c r="B532" s="7"/>
      <c r="C532" s="5"/>
      <c r="D532" s="5"/>
      <c r="E532" s="9"/>
      <c r="F532" s="9"/>
      <c r="G532" s="10"/>
      <c r="H532" s="11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7"/>
      <c r="B533" s="7"/>
      <c r="C533" s="5"/>
      <c r="D533" s="5"/>
      <c r="E533" s="9"/>
      <c r="F533" s="9"/>
      <c r="G533" s="10"/>
      <c r="H533" s="11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7"/>
      <c r="B534" s="7"/>
      <c r="C534" s="5"/>
      <c r="D534" s="5"/>
      <c r="E534" s="9"/>
      <c r="F534" s="9"/>
      <c r="G534" s="10"/>
      <c r="H534" s="11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7"/>
      <c r="B535" s="7"/>
      <c r="C535" s="5"/>
      <c r="D535" s="5"/>
      <c r="E535" s="9"/>
      <c r="F535" s="9"/>
      <c r="G535" s="10"/>
      <c r="H535" s="11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7"/>
      <c r="B536" s="7"/>
      <c r="C536" s="5"/>
      <c r="D536" s="5"/>
      <c r="E536" s="9"/>
      <c r="F536" s="9"/>
      <c r="G536" s="10"/>
      <c r="H536" s="11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7"/>
      <c r="B537" s="7"/>
      <c r="C537" s="5"/>
      <c r="D537" s="5"/>
      <c r="E537" s="9"/>
      <c r="F537" s="9"/>
      <c r="G537" s="10"/>
      <c r="H537" s="11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7"/>
      <c r="B538" s="7"/>
      <c r="C538" s="5"/>
      <c r="D538" s="5"/>
      <c r="E538" s="9"/>
      <c r="F538" s="9"/>
      <c r="G538" s="10"/>
      <c r="H538" s="11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7"/>
      <c r="B539" s="7"/>
      <c r="C539" s="5"/>
      <c r="D539" s="5"/>
      <c r="E539" s="9"/>
      <c r="F539" s="9"/>
      <c r="G539" s="10"/>
      <c r="H539" s="11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7"/>
      <c r="B540" s="7"/>
      <c r="C540" s="5"/>
      <c r="D540" s="5"/>
      <c r="E540" s="9"/>
      <c r="F540" s="9"/>
      <c r="G540" s="10"/>
      <c r="H540" s="11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7"/>
      <c r="B541" s="7"/>
      <c r="C541" s="5"/>
      <c r="D541" s="5"/>
      <c r="E541" s="9"/>
      <c r="F541" s="9"/>
      <c r="G541" s="10"/>
      <c r="H541" s="11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7"/>
      <c r="B542" s="7"/>
      <c r="C542" s="5"/>
      <c r="D542" s="5"/>
      <c r="E542" s="9"/>
      <c r="F542" s="9"/>
      <c r="G542" s="10"/>
      <c r="H542" s="11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7"/>
      <c r="B543" s="7"/>
      <c r="C543" s="5"/>
      <c r="D543" s="5"/>
      <c r="E543" s="9"/>
      <c r="F543" s="9"/>
      <c r="G543" s="10"/>
      <c r="H543" s="11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7"/>
      <c r="B544" s="7"/>
      <c r="C544" s="5"/>
      <c r="D544" s="5"/>
      <c r="E544" s="9"/>
      <c r="F544" s="9"/>
      <c r="G544" s="10"/>
      <c r="H544" s="11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7"/>
      <c r="B545" s="7"/>
      <c r="C545" s="5"/>
      <c r="D545" s="5"/>
      <c r="E545" s="9"/>
      <c r="F545" s="9"/>
      <c r="G545" s="10"/>
      <c r="H545" s="11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7"/>
      <c r="B546" s="7"/>
      <c r="C546" s="5"/>
      <c r="D546" s="5"/>
      <c r="E546" s="9"/>
      <c r="F546" s="9"/>
      <c r="G546" s="10"/>
      <c r="H546" s="11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7"/>
      <c r="B547" s="7"/>
      <c r="C547" s="5"/>
      <c r="D547" s="5"/>
      <c r="E547" s="9"/>
      <c r="F547" s="9"/>
      <c r="G547" s="10"/>
      <c r="H547" s="11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7"/>
      <c r="B548" s="7"/>
      <c r="C548" s="5"/>
      <c r="D548" s="5"/>
      <c r="E548" s="9"/>
      <c r="F548" s="9"/>
      <c r="G548" s="10"/>
      <c r="H548" s="11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7"/>
      <c r="B549" s="7"/>
      <c r="C549" s="5"/>
      <c r="D549" s="5"/>
      <c r="E549" s="9"/>
      <c r="F549" s="9"/>
      <c r="G549" s="10"/>
      <c r="H549" s="11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7"/>
      <c r="B550" s="7"/>
      <c r="C550" s="5"/>
      <c r="D550" s="5"/>
      <c r="E550" s="9"/>
      <c r="F550" s="9"/>
      <c r="G550" s="10"/>
      <c r="H550" s="11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7"/>
      <c r="B551" s="7"/>
      <c r="C551" s="5"/>
      <c r="D551" s="5"/>
      <c r="E551" s="9"/>
      <c r="F551" s="9"/>
      <c r="G551" s="10"/>
      <c r="H551" s="11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7"/>
      <c r="B552" s="7"/>
      <c r="C552" s="5"/>
      <c r="D552" s="5"/>
      <c r="E552" s="9"/>
      <c r="F552" s="9"/>
      <c r="G552" s="10"/>
      <c r="H552" s="11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7"/>
      <c r="B553" s="7"/>
      <c r="C553" s="5"/>
      <c r="D553" s="5"/>
      <c r="E553" s="9"/>
      <c r="F553" s="9"/>
      <c r="G553" s="10"/>
      <c r="H553" s="11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7"/>
      <c r="B554" s="7"/>
      <c r="C554" s="5"/>
      <c r="D554" s="5"/>
      <c r="E554" s="9"/>
      <c r="F554" s="9"/>
      <c r="G554" s="10"/>
      <c r="H554" s="11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7"/>
      <c r="B555" s="7"/>
      <c r="C555" s="5"/>
      <c r="D555" s="5"/>
      <c r="E555" s="9"/>
      <c r="F555" s="9"/>
      <c r="G555" s="10"/>
      <c r="H555" s="11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7"/>
      <c r="B556" s="7"/>
      <c r="C556" s="5"/>
      <c r="D556" s="5"/>
      <c r="E556" s="9"/>
      <c r="F556" s="9"/>
      <c r="G556" s="10"/>
      <c r="H556" s="11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7"/>
      <c r="B557" s="7"/>
      <c r="C557" s="5"/>
      <c r="D557" s="5"/>
      <c r="E557" s="9"/>
      <c r="F557" s="9"/>
      <c r="G557" s="10"/>
      <c r="H557" s="11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7"/>
      <c r="B558" s="7"/>
      <c r="C558" s="5"/>
      <c r="D558" s="5"/>
      <c r="E558" s="9"/>
      <c r="F558" s="9"/>
      <c r="G558" s="10"/>
      <c r="H558" s="11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7"/>
      <c r="B559" s="7"/>
      <c r="C559" s="5"/>
      <c r="D559" s="5"/>
      <c r="E559" s="9"/>
      <c r="F559" s="9"/>
      <c r="G559" s="10"/>
      <c r="H559" s="11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7"/>
      <c r="B560" s="7"/>
      <c r="C560" s="5"/>
      <c r="D560" s="5"/>
      <c r="E560" s="9"/>
      <c r="F560" s="9"/>
      <c r="G560" s="10"/>
      <c r="H560" s="11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7"/>
      <c r="B561" s="7"/>
      <c r="C561" s="5"/>
      <c r="D561" s="5"/>
      <c r="E561" s="9"/>
      <c r="F561" s="9"/>
      <c r="G561" s="10"/>
      <c r="H561" s="11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7"/>
      <c r="B562" s="7"/>
      <c r="C562" s="5"/>
      <c r="D562" s="5"/>
      <c r="E562" s="9"/>
      <c r="F562" s="9"/>
      <c r="G562" s="10"/>
      <c r="H562" s="11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7"/>
      <c r="B563" s="7"/>
      <c r="C563" s="5"/>
      <c r="D563" s="5"/>
      <c r="E563" s="9"/>
      <c r="F563" s="9"/>
      <c r="G563" s="10"/>
      <c r="H563" s="11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7"/>
      <c r="B564" s="7"/>
      <c r="C564" s="5"/>
      <c r="D564" s="5"/>
      <c r="E564" s="9"/>
      <c r="F564" s="9"/>
      <c r="G564" s="10"/>
      <c r="H564" s="11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7"/>
      <c r="B565" s="7"/>
      <c r="C565" s="5"/>
      <c r="D565" s="5"/>
      <c r="E565" s="9"/>
      <c r="F565" s="9"/>
      <c r="G565" s="10"/>
      <c r="H565" s="11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7"/>
      <c r="B566" s="7"/>
      <c r="C566" s="5"/>
      <c r="D566" s="5"/>
      <c r="E566" s="9"/>
      <c r="F566" s="9"/>
      <c r="G566" s="10"/>
      <c r="H566" s="11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7"/>
      <c r="B567" s="7"/>
      <c r="C567" s="5"/>
      <c r="D567" s="5"/>
      <c r="E567" s="9"/>
      <c r="F567" s="9"/>
      <c r="G567" s="10"/>
      <c r="H567" s="11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7"/>
      <c r="B568" s="7"/>
      <c r="C568" s="5"/>
      <c r="D568" s="5"/>
      <c r="E568" s="9"/>
      <c r="F568" s="9"/>
      <c r="G568" s="10"/>
      <c r="H568" s="11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7"/>
      <c r="B569" s="7"/>
      <c r="C569" s="5"/>
      <c r="D569" s="5"/>
      <c r="E569" s="9"/>
      <c r="F569" s="9"/>
      <c r="G569" s="10"/>
      <c r="H569" s="11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7"/>
      <c r="B570" s="7"/>
      <c r="C570" s="5"/>
      <c r="D570" s="5"/>
      <c r="E570" s="9"/>
      <c r="F570" s="9"/>
      <c r="G570" s="10"/>
      <c r="H570" s="11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7"/>
      <c r="B571" s="7"/>
      <c r="C571" s="5"/>
      <c r="D571" s="5"/>
      <c r="E571" s="9"/>
      <c r="F571" s="9"/>
      <c r="G571" s="10"/>
      <c r="H571" s="11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7"/>
      <c r="B572" s="7"/>
      <c r="C572" s="5"/>
      <c r="D572" s="5"/>
      <c r="E572" s="9"/>
      <c r="F572" s="9"/>
      <c r="G572" s="10"/>
      <c r="H572" s="11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7"/>
      <c r="B573" s="7"/>
      <c r="C573" s="5"/>
      <c r="D573" s="5"/>
      <c r="E573" s="9"/>
      <c r="F573" s="9"/>
      <c r="G573" s="10"/>
      <c r="H573" s="11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7"/>
      <c r="B574" s="7"/>
      <c r="C574" s="5"/>
      <c r="D574" s="5"/>
      <c r="E574" s="9"/>
      <c r="F574" s="9"/>
      <c r="G574" s="10"/>
      <c r="H574" s="11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7"/>
      <c r="B575" s="7"/>
      <c r="C575" s="5"/>
      <c r="D575" s="5"/>
      <c r="E575" s="9"/>
      <c r="F575" s="9"/>
      <c r="G575" s="10"/>
      <c r="H575" s="11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7"/>
      <c r="B576" s="7"/>
      <c r="C576" s="5"/>
      <c r="D576" s="5"/>
      <c r="E576" s="9"/>
      <c r="F576" s="9"/>
      <c r="G576" s="10"/>
      <c r="H576" s="11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7"/>
      <c r="B577" s="7"/>
      <c r="C577" s="5"/>
      <c r="D577" s="5"/>
      <c r="E577" s="9"/>
      <c r="F577" s="9"/>
      <c r="G577" s="10"/>
      <c r="H577" s="11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7"/>
      <c r="B578" s="7"/>
      <c r="C578" s="5"/>
      <c r="D578" s="5"/>
      <c r="E578" s="9"/>
      <c r="F578" s="9"/>
      <c r="G578" s="10"/>
      <c r="H578" s="11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7"/>
      <c r="B579" s="7"/>
      <c r="C579" s="5"/>
      <c r="D579" s="5"/>
      <c r="E579" s="9"/>
      <c r="F579" s="9"/>
      <c r="G579" s="10"/>
      <c r="H579" s="11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7"/>
      <c r="B580" s="7"/>
      <c r="C580" s="5"/>
      <c r="D580" s="5"/>
      <c r="E580" s="9"/>
      <c r="F580" s="9"/>
      <c r="G580" s="10"/>
      <c r="H580" s="11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7"/>
      <c r="B581" s="7"/>
      <c r="C581" s="5"/>
      <c r="D581" s="5"/>
      <c r="E581" s="9"/>
      <c r="F581" s="9"/>
      <c r="G581" s="10"/>
      <c r="H581" s="11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7"/>
      <c r="B582" s="7"/>
      <c r="C582" s="5"/>
      <c r="D582" s="5"/>
      <c r="E582" s="9"/>
      <c r="F582" s="9"/>
      <c r="G582" s="10"/>
      <c r="H582" s="11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7"/>
      <c r="B583" s="7"/>
      <c r="C583" s="5"/>
      <c r="D583" s="5"/>
      <c r="E583" s="9"/>
      <c r="F583" s="9"/>
      <c r="G583" s="10"/>
      <c r="H583" s="11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7"/>
      <c r="B584" s="7"/>
      <c r="C584" s="5"/>
      <c r="D584" s="5"/>
      <c r="E584" s="9"/>
      <c r="F584" s="9"/>
      <c r="G584" s="10"/>
      <c r="H584" s="11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7"/>
      <c r="B585" s="7"/>
      <c r="C585" s="5"/>
      <c r="D585" s="5"/>
      <c r="E585" s="9"/>
      <c r="F585" s="9"/>
      <c r="G585" s="10"/>
      <c r="H585" s="11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7"/>
      <c r="B586" s="7"/>
      <c r="C586" s="5"/>
      <c r="D586" s="5"/>
      <c r="E586" s="9"/>
      <c r="F586" s="9"/>
      <c r="G586" s="10"/>
      <c r="H586" s="11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7"/>
      <c r="B587" s="7"/>
      <c r="C587" s="5"/>
      <c r="D587" s="5"/>
      <c r="E587" s="9"/>
      <c r="F587" s="9"/>
      <c r="G587" s="10"/>
      <c r="H587" s="11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7"/>
      <c r="B588" s="7"/>
      <c r="C588" s="5"/>
      <c r="D588" s="5"/>
      <c r="E588" s="9"/>
      <c r="F588" s="9"/>
      <c r="G588" s="10"/>
      <c r="H588" s="11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7"/>
      <c r="B589" s="7"/>
      <c r="C589" s="5"/>
      <c r="D589" s="5"/>
      <c r="E589" s="9"/>
      <c r="F589" s="9"/>
      <c r="G589" s="10"/>
      <c r="H589" s="11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7"/>
      <c r="B590" s="7"/>
      <c r="C590" s="5"/>
      <c r="D590" s="5"/>
      <c r="E590" s="9"/>
      <c r="F590" s="9"/>
      <c r="G590" s="10"/>
      <c r="H590" s="11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7"/>
      <c r="B591" s="7"/>
      <c r="C591" s="5"/>
      <c r="D591" s="5"/>
      <c r="E591" s="9"/>
      <c r="F591" s="9"/>
      <c r="G591" s="10"/>
      <c r="H591" s="11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7"/>
      <c r="B592" s="7"/>
      <c r="C592" s="5"/>
      <c r="D592" s="5"/>
      <c r="E592" s="9"/>
      <c r="F592" s="9"/>
      <c r="G592" s="10"/>
      <c r="H592" s="11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7"/>
      <c r="B593" s="7"/>
      <c r="C593" s="5"/>
      <c r="D593" s="5"/>
      <c r="E593" s="9"/>
      <c r="F593" s="9"/>
      <c r="G593" s="10"/>
      <c r="H593" s="11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7"/>
      <c r="B594" s="7"/>
      <c r="C594" s="5"/>
      <c r="D594" s="5"/>
      <c r="E594" s="9"/>
      <c r="F594" s="9"/>
      <c r="G594" s="10"/>
      <c r="H594" s="11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7"/>
      <c r="B595" s="7"/>
      <c r="C595" s="5"/>
      <c r="D595" s="5"/>
      <c r="E595" s="9"/>
      <c r="F595" s="9"/>
      <c r="G595" s="10"/>
      <c r="H595" s="11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7"/>
      <c r="B596" s="7"/>
      <c r="C596" s="5"/>
      <c r="D596" s="5"/>
      <c r="E596" s="9"/>
      <c r="F596" s="9"/>
      <c r="G596" s="10"/>
      <c r="H596" s="11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7"/>
      <c r="B597" s="7"/>
      <c r="C597" s="5"/>
      <c r="D597" s="5"/>
      <c r="E597" s="9"/>
      <c r="F597" s="9"/>
      <c r="G597" s="10"/>
      <c r="H597" s="11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7"/>
      <c r="B598" s="7"/>
      <c r="C598" s="5"/>
      <c r="D598" s="5"/>
      <c r="E598" s="9"/>
      <c r="F598" s="9"/>
      <c r="G598" s="10"/>
      <c r="H598" s="11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7"/>
      <c r="B599" s="7"/>
      <c r="C599" s="5"/>
      <c r="D599" s="5"/>
      <c r="E599" s="9"/>
      <c r="F599" s="9"/>
      <c r="G599" s="10"/>
      <c r="H599" s="11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7"/>
      <c r="B600" s="7"/>
      <c r="C600" s="5"/>
      <c r="D600" s="5"/>
      <c r="E600" s="9"/>
      <c r="F600" s="9"/>
      <c r="G600" s="10"/>
      <c r="H600" s="11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7"/>
      <c r="B601" s="7"/>
      <c r="C601" s="5"/>
      <c r="D601" s="5"/>
      <c r="E601" s="9"/>
      <c r="F601" s="9"/>
      <c r="G601" s="10"/>
      <c r="H601" s="11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7"/>
      <c r="B602" s="7"/>
      <c r="C602" s="5"/>
      <c r="D602" s="5"/>
      <c r="E602" s="9"/>
      <c r="F602" s="9"/>
      <c r="G602" s="10"/>
      <c r="H602" s="11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7"/>
      <c r="B603" s="7"/>
      <c r="C603" s="5"/>
      <c r="D603" s="5"/>
      <c r="E603" s="9"/>
      <c r="F603" s="9"/>
      <c r="G603" s="10"/>
      <c r="H603" s="11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7"/>
      <c r="B604" s="7"/>
      <c r="C604" s="5"/>
      <c r="D604" s="5"/>
      <c r="E604" s="9"/>
      <c r="F604" s="9"/>
      <c r="G604" s="10"/>
      <c r="H604" s="11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7"/>
      <c r="B605" s="7"/>
      <c r="C605" s="5"/>
      <c r="D605" s="5"/>
      <c r="E605" s="9"/>
      <c r="F605" s="9"/>
      <c r="G605" s="10"/>
      <c r="H605" s="11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7"/>
      <c r="B606" s="7"/>
      <c r="C606" s="5"/>
      <c r="D606" s="5"/>
      <c r="E606" s="9"/>
      <c r="F606" s="9"/>
      <c r="G606" s="10"/>
      <c r="H606" s="11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7"/>
      <c r="B607" s="7"/>
      <c r="C607" s="5"/>
      <c r="D607" s="5"/>
      <c r="E607" s="9"/>
      <c r="F607" s="9"/>
      <c r="G607" s="10"/>
      <c r="H607" s="11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7"/>
      <c r="B608" s="7"/>
      <c r="C608" s="5"/>
      <c r="D608" s="5"/>
      <c r="E608" s="9"/>
      <c r="F608" s="9"/>
      <c r="G608" s="10"/>
      <c r="H608" s="11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7"/>
      <c r="B609" s="7"/>
      <c r="C609" s="5"/>
      <c r="D609" s="5"/>
      <c r="E609" s="9"/>
      <c r="F609" s="9"/>
      <c r="G609" s="10"/>
      <c r="H609" s="11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7"/>
      <c r="B610" s="7"/>
      <c r="C610" s="5"/>
      <c r="D610" s="5"/>
      <c r="E610" s="9"/>
      <c r="F610" s="9"/>
      <c r="G610" s="10"/>
      <c r="H610" s="11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7"/>
      <c r="B611" s="7"/>
      <c r="C611" s="5"/>
      <c r="D611" s="5"/>
      <c r="E611" s="9"/>
      <c r="F611" s="9"/>
      <c r="G611" s="10"/>
      <c r="H611" s="11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7"/>
      <c r="B612" s="7"/>
      <c r="C612" s="5"/>
      <c r="D612" s="5"/>
      <c r="E612" s="9"/>
      <c r="F612" s="9"/>
      <c r="G612" s="10"/>
      <c r="H612" s="11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7"/>
      <c r="B613" s="7"/>
      <c r="C613" s="5"/>
      <c r="D613" s="5"/>
      <c r="E613" s="9"/>
      <c r="F613" s="9"/>
      <c r="G613" s="10"/>
      <c r="H613" s="11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7"/>
      <c r="B614" s="7"/>
      <c r="C614" s="5"/>
      <c r="D614" s="5"/>
      <c r="E614" s="9"/>
      <c r="F614" s="9"/>
      <c r="G614" s="10"/>
      <c r="H614" s="11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7"/>
      <c r="B615" s="7"/>
      <c r="C615" s="5"/>
      <c r="D615" s="5"/>
      <c r="E615" s="9"/>
      <c r="F615" s="9"/>
      <c r="G615" s="10"/>
      <c r="H615" s="11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7"/>
      <c r="B616" s="7"/>
      <c r="C616" s="5"/>
      <c r="D616" s="5"/>
      <c r="E616" s="9"/>
      <c r="F616" s="9"/>
      <c r="G616" s="10"/>
      <c r="H616" s="11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7"/>
      <c r="B617" s="7"/>
      <c r="C617" s="5"/>
      <c r="D617" s="5"/>
      <c r="E617" s="9"/>
      <c r="F617" s="9"/>
      <c r="G617" s="10"/>
      <c r="H617" s="11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7"/>
      <c r="B618" s="7"/>
      <c r="C618" s="5"/>
      <c r="D618" s="5"/>
      <c r="E618" s="9"/>
      <c r="F618" s="9"/>
      <c r="G618" s="10"/>
      <c r="H618" s="11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7"/>
      <c r="B619" s="7"/>
      <c r="C619" s="5"/>
      <c r="D619" s="5"/>
      <c r="E619" s="9"/>
      <c r="F619" s="9"/>
      <c r="G619" s="10"/>
      <c r="H619" s="11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7"/>
      <c r="B620" s="7"/>
      <c r="C620" s="5"/>
      <c r="D620" s="5"/>
      <c r="E620" s="9"/>
      <c r="F620" s="9"/>
      <c r="G620" s="10"/>
      <c r="H620" s="11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7"/>
      <c r="B621" s="7"/>
      <c r="C621" s="5"/>
      <c r="D621" s="5"/>
      <c r="E621" s="9"/>
      <c r="F621" s="9"/>
      <c r="G621" s="10"/>
      <c r="H621" s="11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7"/>
      <c r="B622" s="7"/>
      <c r="C622" s="5"/>
      <c r="D622" s="5"/>
      <c r="E622" s="9"/>
      <c r="F622" s="9"/>
      <c r="G622" s="10"/>
      <c r="H622" s="11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7"/>
      <c r="B623" s="7"/>
      <c r="C623" s="5"/>
      <c r="D623" s="5"/>
      <c r="E623" s="9"/>
      <c r="F623" s="9"/>
      <c r="G623" s="10"/>
      <c r="H623" s="11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7"/>
      <c r="B624" s="7"/>
      <c r="C624" s="5"/>
      <c r="D624" s="5"/>
      <c r="E624" s="9"/>
      <c r="F624" s="9"/>
      <c r="G624" s="10"/>
      <c r="H624" s="11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7"/>
      <c r="B625" s="7"/>
      <c r="C625" s="5"/>
      <c r="D625" s="5"/>
      <c r="E625" s="9"/>
      <c r="F625" s="9"/>
      <c r="G625" s="10"/>
      <c r="H625" s="11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7"/>
      <c r="B626" s="7"/>
      <c r="C626" s="5"/>
      <c r="D626" s="5"/>
      <c r="E626" s="9"/>
      <c r="F626" s="9"/>
      <c r="G626" s="10"/>
      <c r="H626" s="11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7"/>
      <c r="B627" s="7"/>
      <c r="C627" s="5"/>
      <c r="D627" s="5"/>
      <c r="E627" s="9"/>
      <c r="F627" s="9"/>
      <c r="G627" s="10"/>
      <c r="H627" s="11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7"/>
      <c r="B628" s="7"/>
      <c r="C628" s="5"/>
      <c r="D628" s="5"/>
      <c r="E628" s="9"/>
      <c r="F628" s="9"/>
      <c r="G628" s="10"/>
      <c r="H628" s="11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7"/>
      <c r="B629" s="7"/>
      <c r="C629" s="5"/>
      <c r="D629" s="5"/>
      <c r="E629" s="9"/>
      <c r="F629" s="9"/>
      <c r="G629" s="10"/>
      <c r="H629" s="11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7"/>
      <c r="B630" s="7"/>
      <c r="C630" s="5"/>
      <c r="D630" s="5"/>
      <c r="E630" s="9"/>
      <c r="F630" s="9"/>
      <c r="G630" s="10"/>
      <c r="H630" s="11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7"/>
      <c r="B631" s="7"/>
      <c r="C631" s="5"/>
      <c r="D631" s="5"/>
      <c r="E631" s="9"/>
      <c r="F631" s="9"/>
      <c r="G631" s="10"/>
      <c r="H631" s="11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7"/>
      <c r="B632" s="7"/>
      <c r="C632" s="5"/>
      <c r="D632" s="5"/>
      <c r="E632" s="9"/>
      <c r="F632" s="9"/>
      <c r="G632" s="10"/>
      <c r="H632" s="11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7"/>
      <c r="B633" s="7"/>
      <c r="C633" s="5"/>
      <c r="D633" s="5"/>
      <c r="E633" s="9"/>
      <c r="F633" s="9"/>
      <c r="G633" s="10"/>
      <c r="H633" s="11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7"/>
      <c r="B634" s="7"/>
      <c r="C634" s="5"/>
      <c r="D634" s="5"/>
      <c r="E634" s="9"/>
      <c r="F634" s="9"/>
      <c r="G634" s="10"/>
      <c r="H634" s="11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7"/>
      <c r="B635" s="7"/>
      <c r="C635" s="5"/>
      <c r="D635" s="5"/>
      <c r="E635" s="9"/>
      <c r="F635" s="9"/>
      <c r="G635" s="10"/>
      <c r="H635" s="11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7"/>
      <c r="B636" s="7"/>
      <c r="C636" s="5"/>
      <c r="D636" s="5"/>
      <c r="E636" s="9"/>
      <c r="F636" s="9"/>
      <c r="G636" s="10"/>
      <c r="H636" s="11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7"/>
      <c r="B637" s="7"/>
      <c r="C637" s="5"/>
      <c r="D637" s="5"/>
      <c r="E637" s="9"/>
      <c r="F637" s="9"/>
      <c r="G637" s="10"/>
      <c r="H637" s="11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7"/>
      <c r="B638" s="7"/>
      <c r="C638" s="5"/>
      <c r="D638" s="5"/>
      <c r="E638" s="9"/>
      <c r="F638" s="9"/>
      <c r="G638" s="10"/>
      <c r="H638" s="11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7"/>
      <c r="B639" s="7"/>
      <c r="C639" s="5"/>
      <c r="D639" s="5"/>
      <c r="E639" s="9"/>
      <c r="F639" s="9"/>
      <c r="G639" s="10"/>
      <c r="H639" s="11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7"/>
      <c r="B640" s="7"/>
      <c r="C640" s="5"/>
      <c r="D640" s="5"/>
      <c r="E640" s="9"/>
      <c r="F640" s="9"/>
      <c r="G640" s="10"/>
      <c r="H640" s="11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7"/>
      <c r="B641" s="7"/>
      <c r="C641" s="5"/>
      <c r="D641" s="5"/>
      <c r="E641" s="9"/>
      <c r="F641" s="9"/>
      <c r="G641" s="10"/>
      <c r="H641" s="11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7"/>
      <c r="B642" s="7"/>
      <c r="C642" s="5"/>
      <c r="D642" s="5"/>
      <c r="E642" s="9"/>
      <c r="F642" s="9"/>
      <c r="G642" s="10"/>
      <c r="H642" s="11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7"/>
      <c r="B643" s="7"/>
      <c r="C643" s="5"/>
      <c r="D643" s="5"/>
      <c r="E643" s="9"/>
      <c r="F643" s="9"/>
      <c r="G643" s="10"/>
      <c r="H643" s="11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7"/>
      <c r="B644" s="7"/>
      <c r="C644" s="5"/>
      <c r="D644" s="5"/>
      <c r="E644" s="9"/>
      <c r="F644" s="9"/>
      <c r="G644" s="10"/>
      <c r="H644" s="11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7"/>
      <c r="B645" s="7"/>
      <c r="C645" s="5"/>
      <c r="D645" s="5"/>
      <c r="E645" s="9"/>
      <c r="F645" s="9"/>
      <c r="G645" s="10"/>
      <c r="H645" s="11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7"/>
      <c r="B646" s="7"/>
      <c r="C646" s="5"/>
      <c r="D646" s="5"/>
      <c r="E646" s="9"/>
      <c r="F646" s="9"/>
      <c r="G646" s="10"/>
      <c r="H646" s="11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7"/>
      <c r="B647" s="7"/>
      <c r="C647" s="5"/>
      <c r="D647" s="5"/>
      <c r="E647" s="9"/>
      <c r="F647" s="9"/>
      <c r="G647" s="10"/>
      <c r="H647" s="11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7"/>
      <c r="B648" s="7"/>
      <c r="C648" s="5"/>
      <c r="D648" s="5"/>
      <c r="E648" s="9"/>
      <c r="F648" s="9"/>
      <c r="G648" s="10"/>
      <c r="H648" s="11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7"/>
      <c r="B649" s="7"/>
      <c r="C649" s="5"/>
      <c r="D649" s="5"/>
      <c r="E649" s="9"/>
      <c r="F649" s="9"/>
      <c r="G649" s="10"/>
      <c r="H649" s="11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7"/>
      <c r="B650" s="7"/>
      <c r="C650" s="5"/>
      <c r="D650" s="5"/>
      <c r="E650" s="9"/>
      <c r="F650" s="9"/>
      <c r="G650" s="10"/>
      <c r="H650" s="11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7"/>
      <c r="B651" s="7"/>
      <c r="C651" s="5"/>
      <c r="D651" s="5"/>
      <c r="E651" s="9"/>
      <c r="F651" s="9"/>
      <c r="G651" s="10"/>
      <c r="H651" s="11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7"/>
      <c r="B652" s="7"/>
      <c r="C652" s="5"/>
      <c r="D652" s="5"/>
      <c r="E652" s="9"/>
      <c r="F652" s="9"/>
      <c r="G652" s="10"/>
      <c r="H652" s="11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7"/>
      <c r="B653" s="7"/>
      <c r="C653" s="5"/>
      <c r="D653" s="5"/>
      <c r="E653" s="9"/>
      <c r="F653" s="9"/>
      <c r="G653" s="10"/>
      <c r="H653" s="11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7"/>
      <c r="B654" s="7"/>
      <c r="C654" s="5"/>
      <c r="D654" s="5"/>
      <c r="E654" s="9"/>
      <c r="F654" s="9"/>
      <c r="G654" s="10"/>
      <c r="H654" s="11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7"/>
      <c r="B655" s="7"/>
      <c r="C655" s="5"/>
      <c r="D655" s="5"/>
      <c r="E655" s="9"/>
      <c r="F655" s="9"/>
      <c r="G655" s="10"/>
      <c r="H655" s="11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7"/>
      <c r="B656" s="7"/>
      <c r="C656" s="5"/>
      <c r="D656" s="5"/>
      <c r="E656" s="9"/>
      <c r="F656" s="9"/>
      <c r="G656" s="10"/>
      <c r="H656" s="11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7"/>
      <c r="B657" s="7"/>
      <c r="C657" s="5"/>
      <c r="D657" s="5"/>
      <c r="E657" s="9"/>
      <c r="F657" s="9"/>
      <c r="G657" s="10"/>
      <c r="H657" s="11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7"/>
      <c r="B658" s="7"/>
      <c r="C658" s="5"/>
      <c r="D658" s="5"/>
      <c r="E658" s="9"/>
      <c r="F658" s="9"/>
      <c r="G658" s="10"/>
      <c r="H658" s="11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7"/>
      <c r="B659" s="7"/>
      <c r="C659" s="5"/>
      <c r="D659" s="5"/>
      <c r="E659" s="9"/>
      <c r="F659" s="9"/>
      <c r="G659" s="10"/>
      <c r="H659" s="11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7"/>
      <c r="B660" s="7"/>
      <c r="C660" s="5"/>
      <c r="D660" s="5"/>
      <c r="E660" s="9"/>
      <c r="F660" s="9"/>
      <c r="G660" s="10"/>
      <c r="H660" s="11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7"/>
      <c r="B661" s="7"/>
      <c r="C661" s="5"/>
      <c r="D661" s="5"/>
      <c r="E661" s="9"/>
      <c r="F661" s="9"/>
      <c r="G661" s="10"/>
      <c r="H661" s="11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7"/>
      <c r="B662" s="7"/>
      <c r="C662" s="5"/>
      <c r="D662" s="5"/>
      <c r="E662" s="9"/>
      <c r="F662" s="9"/>
      <c r="G662" s="10"/>
      <c r="H662" s="11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7"/>
      <c r="B663" s="7"/>
      <c r="C663" s="5"/>
      <c r="D663" s="5"/>
      <c r="E663" s="9"/>
      <c r="F663" s="9"/>
      <c r="G663" s="10"/>
      <c r="H663" s="11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7"/>
      <c r="B664" s="7"/>
      <c r="C664" s="5"/>
      <c r="D664" s="5"/>
      <c r="E664" s="9"/>
      <c r="F664" s="9"/>
      <c r="G664" s="10"/>
      <c r="H664" s="11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7"/>
      <c r="B665" s="7"/>
      <c r="C665" s="5"/>
      <c r="D665" s="5"/>
      <c r="E665" s="9"/>
      <c r="F665" s="9"/>
      <c r="G665" s="10"/>
      <c r="H665" s="11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7"/>
      <c r="B666" s="7"/>
      <c r="C666" s="5"/>
      <c r="D666" s="5"/>
      <c r="E666" s="9"/>
      <c r="F666" s="9"/>
      <c r="G666" s="10"/>
      <c r="H666" s="11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7"/>
      <c r="B667" s="7"/>
      <c r="C667" s="5"/>
      <c r="D667" s="5"/>
      <c r="E667" s="9"/>
      <c r="F667" s="9"/>
      <c r="G667" s="10"/>
      <c r="H667" s="11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7"/>
      <c r="B668" s="7"/>
      <c r="C668" s="5"/>
      <c r="D668" s="5"/>
      <c r="E668" s="9"/>
      <c r="F668" s="9"/>
      <c r="G668" s="10"/>
      <c r="H668" s="11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7"/>
      <c r="B669" s="7"/>
      <c r="C669" s="5"/>
      <c r="D669" s="5"/>
      <c r="E669" s="9"/>
      <c r="F669" s="9"/>
      <c r="G669" s="10"/>
      <c r="H669" s="11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7"/>
      <c r="B670" s="7"/>
      <c r="C670" s="5"/>
      <c r="D670" s="5"/>
      <c r="E670" s="9"/>
      <c r="F670" s="9"/>
      <c r="G670" s="10"/>
      <c r="H670" s="11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7"/>
      <c r="B671" s="7"/>
      <c r="C671" s="5"/>
      <c r="D671" s="5"/>
      <c r="E671" s="9"/>
      <c r="F671" s="9"/>
      <c r="G671" s="10"/>
      <c r="H671" s="11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7"/>
      <c r="B672" s="7"/>
      <c r="C672" s="5"/>
      <c r="D672" s="5"/>
      <c r="E672" s="9"/>
      <c r="F672" s="9"/>
      <c r="G672" s="10"/>
      <c r="H672" s="11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7"/>
      <c r="B673" s="7"/>
      <c r="C673" s="5"/>
      <c r="D673" s="5"/>
      <c r="E673" s="9"/>
      <c r="F673" s="9"/>
      <c r="G673" s="10"/>
      <c r="H673" s="11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7"/>
      <c r="B674" s="7"/>
      <c r="C674" s="5"/>
      <c r="D674" s="5"/>
      <c r="E674" s="9"/>
      <c r="F674" s="9"/>
      <c r="G674" s="10"/>
      <c r="H674" s="11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7"/>
      <c r="B675" s="7"/>
      <c r="C675" s="5"/>
      <c r="D675" s="5"/>
      <c r="E675" s="9"/>
      <c r="F675" s="9"/>
      <c r="G675" s="10"/>
      <c r="H675" s="11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7"/>
      <c r="B676" s="7"/>
      <c r="C676" s="5"/>
      <c r="D676" s="5"/>
      <c r="E676" s="9"/>
      <c r="F676" s="9"/>
      <c r="G676" s="10"/>
      <c r="H676" s="11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7"/>
      <c r="B677" s="7"/>
      <c r="C677" s="5"/>
      <c r="D677" s="5"/>
      <c r="E677" s="9"/>
      <c r="F677" s="9"/>
      <c r="G677" s="10"/>
      <c r="H677" s="11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7"/>
      <c r="B678" s="7"/>
      <c r="C678" s="5"/>
      <c r="D678" s="5"/>
      <c r="E678" s="9"/>
      <c r="F678" s="9"/>
      <c r="G678" s="10"/>
      <c r="H678" s="11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7"/>
      <c r="B679" s="7"/>
      <c r="C679" s="5"/>
      <c r="D679" s="5"/>
      <c r="E679" s="9"/>
      <c r="F679" s="9"/>
      <c r="G679" s="10"/>
      <c r="H679" s="11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7"/>
      <c r="B680" s="7"/>
      <c r="C680" s="5"/>
      <c r="D680" s="5"/>
      <c r="E680" s="9"/>
      <c r="F680" s="9"/>
      <c r="G680" s="10"/>
      <c r="H680" s="11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7"/>
      <c r="B681" s="7"/>
      <c r="C681" s="5"/>
      <c r="D681" s="5"/>
      <c r="E681" s="9"/>
      <c r="F681" s="9"/>
      <c r="G681" s="10"/>
      <c r="H681" s="11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7"/>
      <c r="B682" s="7"/>
      <c r="C682" s="5"/>
      <c r="D682" s="5"/>
      <c r="E682" s="9"/>
      <c r="F682" s="9"/>
      <c r="G682" s="10"/>
      <c r="H682" s="11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7"/>
      <c r="B683" s="7"/>
      <c r="C683" s="5"/>
      <c r="D683" s="5"/>
      <c r="E683" s="9"/>
      <c r="F683" s="9"/>
      <c r="G683" s="10"/>
      <c r="H683" s="11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7"/>
      <c r="B684" s="7"/>
      <c r="C684" s="5"/>
      <c r="D684" s="5"/>
      <c r="E684" s="9"/>
      <c r="F684" s="9"/>
      <c r="G684" s="10"/>
      <c r="H684" s="11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7"/>
      <c r="B685" s="7"/>
      <c r="C685" s="5"/>
      <c r="D685" s="5"/>
      <c r="E685" s="9"/>
      <c r="F685" s="9"/>
      <c r="G685" s="10"/>
      <c r="H685" s="11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7"/>
      <c r="B686" s="7"/>
      <c r="C686" s="5"/>
      <c r="D686" s="5"/>
      <c r="E686" s="9"/>
      <c r="F686" s="9"/>
      <c r="G686" s="10"/>
      <c r="H686" s="11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7"/>
      <c r="B687" s="7"/>
      <c r="C687" s="5"/>
      <c r="D687" s="5"/>
      <c r="E687" s="9"/>
      <c r="F687" s="9"/>
      <c r="G687" s="10"/>
      <c r="H687" s="11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7"/>
      <c r="B688" s="7"/>
      <c r="C688" s="5"/>
      <c r="D688" s="5"/>
      <c r="E688" s="9"/>
      <c r="F688" s="9"/>
      <c r="G688" s="10"/>
      <c r="H688" s="11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7"/>
      <c r="B689" s="7"/>
      <c r="C689" s="5"/>
      <c r="D689" s="5"/>
      <c r="E689" s="9"/>
      <c r="F689" s="9"/>
      <c r="G689" s="10"/>
      <c r="H689" s="11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7"/>
      <c r="B690" s="7"/>
      <c r="C690" s="5"/>
      <c r="D690" s="5"/>
      <c r="E690" s="9"/>
      <c r="F690" s="9"/>
      <c r="G690" s="10"/>
      <c r="H690" s="11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7"/>
      <c r="B691" s="7"/>
      <c r="C691" s="5"/>
      <c r="D691" s="5"/>
      <c r="E691" s="9"/>
      <c r="F691" s="9"/>
      <c r="G691" s="10"/>
      <c r="H691" s="11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7"/>
      <c r="B692" s="7"/>
      <c r="C692" s="5"/>
      <c r="D692" s="5"/>
      <c r="E692" s="9"/>
      <c r="F692" s="9"/>
      <c r="G692" s="10"/>
      <c r="H692" s="11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7"/>
      <c r="B693" s="7"/>
      <c r="C693" s="5"/>
      <c r="D693" s="5"/>
      <c r="E693" s="9"/>
      <c r="F693" s="9"/>
      <c r="G693" s="10"/>
      <c r="H693" s="11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7"/>
      <c r="B694" s="7"/>
      <c r="C694" s="5"/>
      <c r="D694" s="5"/>
      <c r="E694" s="9"/>
      <c r="F694" s="9"/>
      <c r="G694" s="10"/>
      <c r="H694" s="11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7"/>
      <c r="B695" s="7"/>
      <c r="C695" s="5"/>
      <c r="D695" s="5"/>
      <c r="E695" s="9"/>
      <c r="F695" s="9"/>
      <c r="G695" s="10"/>
      <c r="H695" s="11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7"/>
      <c r="B696" s="7"/>
      <c r="C696" s="5"/>
      <c r="D696" s="5"/>
      <c r="E696" s="9"/>
      <c r="F696" s="9"/>
      <c r="G696" s="10"/>
      <c r="H696" s="11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7"/>
      <c r="B697" s="7"/>
      <c r="C697" s="5"/>
      <c r="D697" s="5"/>
      <c r="E697" s="9"/>
      <c r="F697" s="9"/>
      <c r="G697" s="10"/>
      <c r="H697" s="11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7"/>
      <c r="B698" s="7"/>
      <c r="C698" s="5"/>
      <c r="D698" s="5"/>
      <c r="E698" s="9"/>
      <c r="F698" s="9"/>
      <c r="G698" s="10"/>
      <c r="H698" s="11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7"/>
      <c r="B699" s="7"/>
      <c r="C699" s="5"/>
      <c r="D699" s="5"/>
      <c r="E699" s="9"/>
      <c r="F699" s="9"/>
      <c r="G699" s="10"/>
      <c r="H699" s="11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7"/>
      <c r="B700" s="7"/>
      <c r="C700" s="5"/>
      <c r="D700" s="5"/>
      <c r="E700" s="9"/>
      <c r="F700" s="9"/>
      <c r="G700" s="10"/>
      <c r="H700" s="11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7"/>
      <c r="B701" s="7"/>
      <c r="C701" s="5"/>
      <c r="D701" s="5"/>
      <c r="E701" s="9"/>
      <c r="F701" s="9"/>
      <c r="G701" s="10"/>
      <c r="H701" s="11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7"/>
      <c r="B702" s="7"/>
      <c r="C702" s="5"/>
      <c r="D702" s="5"/>
      <c r="E702" s="9"/>
      <c r="F702" s="9"/>
      <c r="G702" s="10"/>
      <c r="H702" s="11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7"/>
      <c r="B703" s="7"/>
      <c r="C703" s="5"/>
      <c r="D703" s="5"/>
      <c r="E703" s="9"/>
      <c r="F703" s="9"/>
      <c r="G703" s="10"/>
      <c r="H703" s="11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7"/>
      <c r="B704" s="7"/>
      <c r="C704" s="5"/>
      <c r="D704" s="5"/>
      <c r="E704" s="9"/>
      <c r="F704" s="9"/>
      <c r="G704" s="10"/>
      <c r="H704" s="11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7"/>
      <c r="B705" s="7"/>
      <c r="C705" s="5"/>
      <c r="D705" s="5"/>
      <c r="E705" s="9"/>
      <c r="F705" s="9"/>
      <c r="G705" s="10"/>
      <c r="H705" s="11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7"/>
      <c r="B706" s="7"/>
      <c r="C706" s="5"/>
      <c r="D706" s="5"/>
      <c r="E706" s="9"/>
      <c r="F706" s="9"/>
      <c r="G706" s="10"/>
      <c r="H706" s="11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7"/>
      <c r="B707" s="7"/>
      <c r="C707" s="5"/>
      <c r="D707" s="5"/>
      <c r="E707" s="9"/>
      <c r="F707" s="9"/>
      <c r="G707" s="10"/>
      <c r="H707" s="11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7"/>
      <c r="B708" s="7"/>
      <c r="C708" s="5"/>
      <c r="D708" s="5"/>
      <c r="E708" s="9"/>
      <c r="F708" s="9"/>
      <c r="G708" s="10"/>
      <c r="H708" s="11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7"/>
      <c r="B709" s="7"/>
      <c r="C709" s="5"/>
      <c r="D709" s="5"/>
      <c r="E709" s="9"/>
      <c r="F709" s="9"/>
      <c r="G709" s="10"/>
      <c r="H709" s="11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7"/>
      <c r="B710" s="7"/>
      <c r="C710" s="5"/>
      <c r="D710" s="5"/>
      <c r="E710" s="9"/>
      <c r="F710" s="9"/>
      <c r="G710" s="10"/>
      <c r="H710" s="11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7"/>
      <c r="B711" s="7"/>
      <c r="C711" s="5"/>
      <c r="D711" s="5"/>
      <c r="E711" s="9"/>
      <c r="F711" s="9"/>
      <c r="G711" s="10"/>
      <c r="H711" s="11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7"/>
      <c r="B712" s="7"/>
      <c r="C712" s="5"/>
      <c r="D712" s="5"/>
      <c r="E712" s="9"/>
      <c r="F712" s="9"/>
      <c r="G712" s="10"/>
      <c r="H712" s="11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7"/>
      <c r="B713" s="7"/>
      <c r="C713" s="5"/>
      <c r="D713" s="5"/>
      <c r="E713" s="9"/>
      <c r="F713" s="9"/>
      <c r="G713" s="10"/>
      <c r="H713" s="11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7"/>
      <c r="B714" s="7"/>
      <c r="C714" s="5"/>
      <c r="D714" s="5"/>
      <c r="E714" s="9"/>
      <c r="F714" s="9"/>
      <c r="G714" s="10"/>
      <c r="H714" s="11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7"/>
      <c r="B715" s="7"/>
      <c r="C715" s="5"/>
      <c r="D715" s="5"/>
      <c r="E715" s="9"/>
      <c r="F715" s="9"/>
      <c r="G715" s="10"/>
      <c r="H715" s="11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7"/>
      <c r="B716" s="7"/>
      <c r="C716" s="5"/>
      <c r="D716" s="5"/>
      <c r="E716" s="9"/>
      <c r="F716" s="9"/>
      <c r="G716" s="10"/>
      <c r="H716" s="11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7"/>
      <c r="B717" s="7"/>
      <c r="C717" s="5"/>
      <c r="D717" s="5"/>
      <c r="E717" s="9"/>
      <c r="F717" s="9"/>
      <c r="G717" s="10"/>
      <c r="H717" s="11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7"/>
      <c r="B718" s="7"/>
      <c r="C718" s="5"/>
      <c r="D718" s="5"/>
      <c r="E718" s="9"/>
      <c r="F718" s="9"/>
      <c r="G718" s="10"/>
      <c r="H718" s="11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7"/>
      <c r="B719" s="7"/>
      <c r="C719" s="5"/>
      <c r="D719" s="5"/>
      <c r="E719" s="9"/>
      <c r="F719" s="9"/>
      <c r="G719" s="10"/>
      <c r="H719" s="11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7"/>
      <c r="B720" s="7"/>
      <c r="C720" s="5"/>
      <c r="D720" s="5"/>
      <c r="E720" s="9"/>
      <c r="F720" s="9"/>
      <c r="G720" s="10"/>
      <c r="H720" s="11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7"/>
      <c r="B721" s="7"/>
      <c r="C721" s="5"/>
      <c r="D721" s="5"/>
      <c r="E721" s="9"/>
      <c r="F721" s="9"/>
      <c r="G721" s="10"/>
      <c r="H721" s="11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7"/>
      <c r="B722" s="7"/>
      <c r="C722" s="5"/>
      <c r="D722" s="5"/>
      <c r="E722" s="9"/>
      <c r="F722" s="9"/>
      <c r="G722" s="10"/>
      <c r="H722" s="11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7"/>
      <c r="B723" s="7"/>
      <c r="C723" s="5"/>
      <c r="D723" s="5"/>
      <c r="E723" s="9"/>
      <c r="F723" s="9"/>
      <c r="G723" s="10"/>
      <c r="H723" s="11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7"/>
      <c r="B724" s="7"/>
      <c r="C724" s="5"/>
      <c r="D724" s="5"/>
      <c r="E724" s="9"/>
      <c r="F724" s="9"/>
      <c r="G724" s="10"/>
      <c r="H724" s="11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7"/>
      <c r="B725" s="7"/>
      <c r="C725" s="5"/>
      <c r="D725" s="5"/>
      <c r="E725" s="9"/>
      <c r="F725" s="9"/>
      <c r="G725" s="10"/>
      <c r="H725" s="11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7"/>
      <c r="B726" s="7"/>
      <c r="C726" s="5"/>
      <c r="D726" s="5"/>
      <c r="E726" s="9"/>
      <c r="F726" s="9"/>
      <c r="G726" s="10"/>
      <c r="H726" s="11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7"/>
      <c r="B727" s="7"/>
      <c r="C727" s="5"/>
      <c r="D727" s="5"/>
      <c r="E727" s="9"/>
      <c r="F727" s="9"/>
      <c r="G727" s="10"/>
      <c r="H727" s="11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7"/>
      <c r="B728" s="7"/>
      <c r="C728" s="5"/>
      <c r="D728" s="5"/>
      <c r="E728" s="9"/>
      <c r="F728" s="9"/>
      <c r="G728" s="10"/>
      <c r="H728" s="11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7"/>
      <c r="B729" s="7"/>
      <c r="C729" s="5"/>
      <c r="D729" s="5"/>
      <c r="E729" s="9"/>
      <c r="F729" s="9"/>
      <c r="G729" s="10"/>
      <c r="H729" s="11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7"/>
      <c r="B730" s="7"/>
      <c r="C730" s="5"/>
      <c r="D730" s="5"/>
      <c r="E730" s="9"/>
      <c r="F730" s="9"/>
      <c r="G730" s="10"/>
      <c r="H730" s="11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7"/>
      <c r="B731" s="7"/>
      <c r="C731" s="5"/>
      <c r="D731" s="5"/>
      <c r="E731" s="9"/>
      <c r="F731" s="9"/>
      <c r="G731" s="10"/>
      <c r="H731" s="11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7"/>
      <c r="B732" s="7"/>
      <c r="C732" s="5"/>
      <c r="D732" s="5"/>
      <c r="E732" s="9"/>
      <c r="F732" s="9"/>
      <c r="G732" s="10"/>
      <c r="H732" s="11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7"/>
      <c r="B733" s="7"/>
      <c r="C733" s="5"/>
      <c r="D733" s="5"/>
      <c r="E733" s="9"/>
      <c r="F733" s="9"/>
      <c r="G733" s="10"/>
      <c r="H733" s="11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7"/>
      <c r="B734" s="7"/>
      <c r="C734" s="5"/>
      <c r="D734" s="5"/>
      <c r="E734" s="9"/>
      <c r="F734" s="9"/>
      <c r="G734" s="10"/>
      <c r="H734" s="11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7"/>
      <c r="B735" s="7"/>
      <c r="C735" s="5"/>
      <c r="D735" s="5"/>
      <c r="E735" s="9"/>
      <c r="F735" s="9"/>
      <c r="G735" s="10"/>
      <c r="H735" s="11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7"/>
      <c r="B736" s="7"/>
      <c r="C736" s="5"/>
      <c r="D736" s="5"/>
      <c r="E736" s="9"/>
      <c r="F736" s="9"/>
      <c r="G736" s="10"/>
      <c r="H736" s="11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7"/>
      <c r="B737" s="7"/>
      <c r="C737" s="5"/>
      <c r="D737" s="5"/>
      <c r="E737" s="9"/>
      <c r="F737" s="9"/>
      <c r="G737" s="10"/>
      <c r="H737" s="11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7"/>
      <c r="B738" s="7"/>
      <c r="C738" s="5"/>
      <c r="D738" s="5"/>
      <c r="E738" s="9"/>
      <c r="F738" s="9"/>
      <c r="G738" s="10"/>
      <c r="H738" s="11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7"/>
      <c r="B739" s="7"/>
      <c r="C739" s="5"/>
      <c r="D739" s="5"/>
      <c r="E739" s="9"/>
      <c r="F739" s="9"/>
      <c r="G739" s="10"/>
      <c r="H739" s="11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7"/>
      <c r="B740" s="7"/>
      <c r="C740" s="5"/>
      <c r="D740" s="5"/>
      <c r="E740" s="9"/>
      <c r="F740" s="9"/>
      <c r="G740" s="10"/>
      <c r="H740" s="11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7"/>
      <c r="B741" s="7"/>
      <c r="C741" s="5"/>
      <c r="D741" s="5"/>
      <c r="E741" s="9"/>
      <c r="F741" s="9"/>
      <c r="G741" s="10"/>
      <c r="H741" s="11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7"/>
      <c r="B742" s="7"/>
      <c r="C742" s="5"/>
      <c r="D742" s="5"/>
      <c r="E742" s="9"/>
      <c r="F742" s="9"/>
      <c r="G742" s="10"/>
      <c r="H742" s="11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7"/>
      <c r="B743" s="7"/>
      <c r="C743" s="5"/>
      <c r="D743" s="5"/>
      <c r="E743" s="9"/>
      <c r="F743" s="9"/>
      <c r="G743" s="10"/>
      <c r="H743" s="11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7"/>
      <c r="B744" s="7"/>
      <c r="C744" s="5"/>
      <c r="D744" s="5"/>
      <c r="E744" s="9"/>
      <c r="F744" s="9"/>
      <c r="G744" s="10"/>
      <c r="H744" s="11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7"/>
      <c r="B745" s="7"/>
      <c r="C745" s="5"/>
      <c r="D745" s="5"/>
      <c r="E745" s="9"/>
      <c r="F745" s="9"/>
      <c r="G745" s="10"/>
      <c r="H745" s="11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7"/>
      <c r="B746" s="7"/>
      <c r="C746" s="5"/>
      <c r="D746" s="5"/>
      <c r="E746" s="9"/>
      <c r="F746" s="9"/>
      <c r="G746" s="10"/>
      <c r="H746" s="11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7"/>
      <c r="B747" s="7"/>
      <c r="C747" s="5"/>
      <c r="D747" s="5"/>
      <c r="E747" s="9"/>
      <c r="F747" s="9"/>
      <c r="G747" s="10"/>
      <c r="H747" s="11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7"/>
      <c r="B748" s="7"/>
      <c r="C748" s="5"/>
      <c r="D748" s="5"/>
      <c r="E748" s="9"/>
      <c r="F748" s="9"/>
      <c r="G748" s="10"/>
      <c r="H748" s="11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7"/>
      <c r="B749" s="7"/>
      <c r="C749" s="5"/>
      <c r="D749" s="5"/>
      <c r="E749" s="9"/>
      <c r="F749" s="9"/>
      <c r="G749" s="10"/>
      <c r="H749" s="11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7"/>
      <c r="B750" s="7"/>
      <c r="C750" s="5"/>
      <c r="D750" s="5"/>
      <c r="E750" s="9"/>
      <c r="F750" s="9"/>
      <c r="G750" s="10"/>
      <c r="H750" s="11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7"/>
      <c r="B751" s="7"/>
      <c r="C751" s="5"/>
      <c r="D751" s="5"/>
      <c r="E751" s="9"/>
      <c r="F751" s="9"/>
      <c r="G751" s="10"/>
      <c r="H751" s="11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7"/>
      <c r="B752" s="7"/>
      <c r="C752" s="5"/>
      <c r="D752" s="5"/>
      <c r="E752" s="9"/>
      <c r="F752" s="9"/>
      <c r="G752" s="10"/>
      <c r="H752" s="11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7"/>
      <c r="B753" s="7"/>
      <c r="C753" s="5"/>
      <c r="D753" s="5"/>
      <c r="E753" s="9"/>
      <c r="F753" s="9"/>
      <c r="G753" s="10"/>
      <c r="H753" s="11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7"/>
      <c r="B754" s="7"/>
      <c r="C754" s="5"/>
      <c r="D754" s="5"/>
      <c r="E754" s="9"/>
      <c r="F754" s="9"/>
      <c r="G754" s="10"/>
      <c r="H754" s="11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7"/>
      <c r="B755" s="7"/>
      <c r="C755" s="5"/>
      <c r="D755" s="5"/>
      <c r="E755" s="9"/>
      <c r="F755" s="9"/>
      <c r="G755" s="10"/>
      <c r="H755" s="11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7"/>
      <c r="B756" s="7"/>
      <c r="C756" s="5"/>
      <c r="D756" s="5"/>
      <c r="E756" s="9"/>
      <c r="F756" s="9"/>
      <c r="G756" s="10"/>
      <c r="H756" s="11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7"/>
      <c r="B757" s="7"/>
      <c r="C757" s="5"/>
      <c r="D757" s="5"/>
      <c r="E757" s="9"/>
      <c r="F757" s="9"/>
      <c r="G757" s="10"/>
      <c r="H757" s="11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7"/>
      <c r="B758" s="7"/>
      <c r="C758" s="5"/>
      <c r="D758" s="5"/>
      <c r="E758" s="9"/>
      <c r="F758" s="9"/>
      <c r="G758" s="10"/>
      <c r="H758" s="11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7"/>
      <c r="B759" s="7"/>
      <c r="C759" s="5"/>
      <c r="D759" s="5"/>
      <c r="E759" s="9"/>
      <c r="F759" s="9"/>
      <c r="G759" s="10"/>
      <c r="H759" s="11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7"/>
      <c r="B760" s="7"/>
      <c r="C760" s="5"/>
      <c r="D760" s="5"/>
      <c r="E760" s="9"/>
      <c r="F760" s="9"/>
      <c r="G760" s="10"/>
      <c r="H760" s="11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7"/>
      <c r="B761" s="7"/>
      <c r="C761" s="5"/>
      <c r="D761" s="5"/>
      <c r="E761" s="9"/>
      <c r="F761" s="9"/>
      <c r="G761" s="10"/>
      <c r="H761" s="11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7"/>
      <c r="B762" s="7"/>
      <c r="C762" s="5"/>
      <c r="D762" s="5"/>
      <c r="E762" s="9"/>
      <c r="F762" s="9"/>
      <c r="G762" s="10"/>
      <c r="H762" s="11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7"/>
      <c r="B763" s="7"/>
      <c r="C763" s="5"/>
      <c r="D763" s="5"/>
      <c r="E763" s="9"/>
      <c r="F763" s="9"/>
      <c r="G763" s="10"/>
      <c r="H763" s="11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7"/>
      <c r="B764" s="7"/>
      <c r="C764" s="5"/>
      <c r="D764" s="5"/>
      <c r="E764" s="9"/>
      <c r="F764" s="9"/>
      <c r="G764" s="10"/>
      <c r="H764" s="11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7"/>
      <c r="B765" s="7"/>
      <c r="C765" s="5"/>
      <c r="D765" s="5"/>
      <c r="E765" s="9"/>
      <c r="F765" s="9"/>
      <c r="G765" s="10"/>
      <c r="H765" s="11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7"/>
      <c r="B766" s="7"/>
      <c r="C766" s="5"/>
      <c r="D766" s="5"/>
      <c r="E766" s="9"/>
      <c r="F766" s="9"/>
      <c r="G766" s="10"/>
      <c r="H766" s="11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7"/>
      <c r="B767" s="7"/>
      <c r="C767" s="5"/>
      <c r="D767" s="5"/>
      <c r="E767" s="9"/>
      <c r="F767" s="9"/>
      <c r="G767" s="10"/>
      <c r="H767" s="11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7"/>
      <c r="B768" s="7"/>
      <c r="C768" s="5"/>
      <c r="D768" s="5"/>
      <c r="E768" s="9"/>
      <c r="F768" s="9"/>
      <c r="G768" s="10"/>
      <c r="H768" s="11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7"/>
      <c r="B769" s="7"/>
      <c r="C769" s="5"/>
      <c r="D769" s="5"/>
      <c r="E769" s="9"/>
      <c r="F769" s="9"/>
      <c r="G769" s="10"/>
      <c r="H769" s="11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7"/>
      <c r="B770" s="7"/>
      <c r="C770" s="5"/>
      <c r="D770" s="5"/>
      <c r="E770" s="9"/>
      <c r="F770" s="9"/>
      <c r="G770" s="10"/>
      <c r="H770" s="11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7"/>
      <c r="B771" s="7"/>
      <c r="C771" s="5"/>
      <c r="D771" s="5"/>
      <c r="E771" s="9"/>
      <c r="F771" s="9"/>
      <c r="G771" s="10"/>
      <c r="H771" s="11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7"/>
      <c r="B772" s="7"/>
      <c r="C772" s="5"/>
      <c r="D772" s="5"/>
      <c r="E772" s="9"/>
      <c r="F772" s="9"/>
      <c r="G772" s="10"/>
      <c r="H772" s="11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7"/>
      <c r="B773" s="7"/>
      <c r="C773" s="5"/>
      <c r="D773" s="5"/>
      <c r="E773" s="9"/>
      <c r="F773" s="9"/>
      <c r="G773" s="10"/>
      <c r="H773" s="11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7"/>
      <c r="B774" s="7"/>
      <c r="C774" s="5"/>
      <c r="D774" s="5"/>
      <c r="E774" s="9"/>
      <c r="F774" s="9"/>
      <c r="G774" s="10"/>
      <c r="H774" s="11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7"/>
      <c r="B775" s="7"/>
      <c r="C775" s="5"/>
      <c r="D775" s="5"/>
      <c r="E775" s="9"/>
      <c r="F775" s="9"/>
      <c r="G775" s="10"/>
      <c r="H775" s="11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7"/>
      <c r="B776" s="7"/>
      <c r="C776" s="5"/>
      <c r="D776" s="5"/>
      <c r="E776" s="9"/>
      <c r="F776" s="9"/>
      <c r="G776" s="10"/>
      <c r="H776" s="11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7"/>
      <c r="B777" s="7"/>
      <c r="C777" s="5"/>
      <c r="D777" s="5"/>
      <c r="E777" s="9"/>
      <c r="F777" s="9"/>
      <c r="G777" s="10"/>
      <c r="H777" s="11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7"/>
      <c r="B778" s="7"/>
      <c r="C778" s="5"/>
      <c r="D778" s="5"/>
      <c r="E778" s="9"/>
      <c r="F778" s="9"/>
      <c r="G778" s="10"/>
      <c r="H778" s="11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7"/>
      <c r="B779" s="7"/>
      <c r="C779" s="5"/>
      <c r="D779" s="5"/>
      <c r="E779" s="9"/>
      <c r="F779" s="9"/>
      <c r="G779" s="10"/>
      <c r="H779" s="11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7"/>
      <c r="B780" s="7"/>
      <c r="C780" s="5"/>
      <c r="D780" s="5"/>
      <c r="E780" s="9"/>
      <c r="F780" s="9"/>
      <c r="G780" s="10"/>
      <c r="H780" s="11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7"/>
      <c r="B781" s="7"/>
      <c r="C781" s="5"/>
      <c r="D781" s="5"/>
      <c r="E781" s="9"/>
      <c r="F781" s="9"/>
      <c r="G781" s="10"/>
      <c r="H781" s="11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7"/>
      <c r="B782" s="7"/>
      <c r="C782" s="5"/>
      <c r="D782" s="5"/>
      <c r="E782" s="9"/>
      <c r="F782" s="9"/>
      <c r="G782" s="10"/>
      <c r="H782" s="11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7"/>
      <c r="B783" s="7"/>
      <c r="C783" s="5"/>
      <c r="D783" s="5"/>
      <c r="E783" s="9"/>
      <c r="F783" s="9"/>
      <c r="G783" s="10"/>
      <c r="H783" s="11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7"/>
      <c r="B784" s="7"/>
      <c r="C784" s="5"/>
      <c r="D784" s="5"/>
      <c r="E784" s="9"/>
      <c r="F784" s="9"/>
      <c r="G784" s="10"/>
      <c r="H784" s="11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7"/>
      <c r="B785" s="7"/>
      <c r="C785" s="5"/>
      <c r="D785" s="5"/>
      <c r="E785" s="9"/>
      <c r="F785" s="9"/>
      <c r="G785" s="10"/>
      <c r="H785" s="11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7"/>
      <c r="B786" s="7"/>
      <c r="C786" s="5"/>
      <c r="D786" s="5"/>
      <c r="E786" s="9"/>
      <c r="F786" s="9"/>
      <c r="G786" s="10"/>
      <c r="H786" s="11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7"/>
      <c r="B787" s="7"/>
      <c r="C787" s="5"/>
      <c r="D787" s="5"/>
      <c r="E787" s="9"/>
      <c r="F787" s="9"/>
      <c r="G787" s="10"/>
      <c r="H787" s="11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7"/>
      <c r="B788" s="7"/>
      <c r="C788" s="5"/>
      <c r="D788" s="5"/>
      <c r="E788" s="9"/>
      <c r="F788" s="9"/>
      <c r="G788" s="10"/>
      <c r="H788" s="11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7"/>
      <c r="B789" s="7"/>
      <c r="C789" s="5"/>
      <c r="D789" s="5"/>
      <c r="E789" s="9"/>
      <c r="F789" s="9"/>
      <c r="G789" s="10"/>
      <c r="H789" s="11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7"/>
      <c r="B790" s="7"/>
      <c r="C790" s="5"/>
      <c r="D790" s="5"/>
      <c r="E790" s="9"/>
      <c r="F790" s="9"/>
      <c r="G790" s="10"/>
      <c r="H790" s="11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7"/>
      <c r="B791" s="7"/>
      <c r="C791" s="5"/>
      <c r="D791" s="5"/>
      <c r="E791" s="9"/>
      <c r="F791" s="9"/>
      <c r="G791" s="10"/>
      <c r="H791" s="11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7"/>
      <c r="B792" s="7"/>
      <c r="C792" s="5"/>
      <c r="D792" s="5"/>
      <c r="E792" s="9"/>
      <c r="F792" s="9"/>
      <c r="G792" s="10"/>
      <c r="H792" s="11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7"/>
      <c r="B793" s="7"/>
      <c r="C793" s="5"/>
      <c r="D793" s="5"/>
      <c r="E793" s="9"/>
      <c r="F793" s="9"/>
      <c r="G793" s="10"/>
      <c r="H793" s="11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7"/>
      <c r="B794" s="7"/>
      <c r="C794" s="5"/>
      <c r="D794" s="5"/>
      <c r="E794" s="9"/>
      <c r="F794" s="9"/>
      <c r="G794" s="10"/>
      <c r="H794" s="11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7"/>
      <c r="B795" s="7"/>
      <c r="C795" s="5"/>
      <c r="D795" s="5"/>
      <c r="E795" s="9"/>
      <c r="F795" s="9"/>
      <c r="G795" s="10"/>
      <c r="H795" s="11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7"/>
      <c r="B796" s="7"/>
      <c r="C796" s="5"/>
      <c r="D796" s="5"/>
      <c r="E796" s="9"/>
      <c r="F796" s="9"/>
      <c r="G796" s="10"/>
      <c r="H796" s="11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7"/>
      <c r="B797" s="7"/>
      <c r="C797" s="5"/>
      <c r="D797" s="5"/>
      <c r="E797" s="9"/>
      <c r="F797" s="9"/>
      <c r="G797" s="10"/>
      <c r="H797" s="11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7"/>
      <c r="B798" s="7"/>
      <c r="C798" s="5"/>
      <c r="D798" s="5"/>
      <c r="E798" s="9"/>
      <c r="F798" s="9"/>
      <c r="G798" s="10"/>
      <c r="H798" s="11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7"/>
      <c r="B799" s="7"/>
      <c r="C799" s="5"/>
      <c r="D799" s="5"/>
      <c r="E799" s="9"/>
      <c r="F799" s="9"/>
      <c r="G799" s="10"/>
      <c r="H799" s="11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7"/>
      <c r="B800" s="7"/>
      <c r="C800" s="5"/>
      <c r="D800" s="5"/>
      <c r="E800" s="9"/>
      <c r="F800" s="9"/>
      <c r="G800" s="10"/>
      <c r="H800" s="11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7"/>
      <c r="B801" s="7"/>
      <c r="C801" s="5"/>
      <c r="D801" s="5"/>
      <c r="E801" s="9"/>
      <c r="F801" s="9"/>
      <c r="G801" s="10"/>
      <c r="H801" s="11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7"/>
      <c r="B802" s="7"/>
      <c r="C802" s="5"/>
      <c r="D802" s="5"/>
      <c r="E802" s="9"/>
      <c r="F802" s="9"/>
      <c r="G802" s="10"/>
      <c r="H802" s="11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7"/>
      <c r="B803" s="7"/>
      <c r="C803" s="5"/>
      <c r="D803" s="5"/>
      <c r="E803" s="9"/>
      <c r="F803" s="9"/>
      <c r="G803" s="10"/>
      <c r="H803" s="11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7"/>
      <c r="B804" s="7"/>
      <c r="C804" s="5"/>
      <c r="D804" s="5"/>
      <c r="E804" s="9"/>
      <c r="F804" s="9"/>
      <c r="G804" s="10"/>
      <c r="H804" s="11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7"/>
      <c r="B805" s="7"/>
      <c r="C805" s="5"/>
      <c r="D805" s="5"/>
      <c r="E805" s="9"/>
      <c r="F805" s="9"/>
      <c r="G805" s="10"/>
      <c r="H805" s="11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7"/>
      <c r="B806" s="7"/>
      <c r="C806" s="5"/>
      <c r="D806" s="5"/>
      <c r="E806" s="9"/>
      <c r="F806" s="9"/>
      <c r="G806" s="10"/>
      <c r="H806" s="11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7"/>
      <c r="B807" s="7"/>
      <c r="C807" s="5"/>
      <c r="D807" s="5"/>
      <c r="E807" s="9"/>
      <c r="F807" s="9"/>
      <c r="G807" s="10"/>
      <c r="H807" s="11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7"/>
      <c r="B808" s="7"/>
      <c r="C808" s="5"/>
      <c r="D808" s="5"/>
      <c r="E808" s="9"/>
      <c r="F808" s="9"/>
      <c r="G808" s="10"/>
      <c r="H808" s="11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7"/>
      <c r="B809" s="7"/>
      <c r="C809" s="5"/>
      <c r="D809" s="5"/>
      <c r="E809" s="9"/>
      <c r="F809" s="9"/>
      <c r="G809" s="10"/>
      <c r="H809" s="11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7"/>
      <c r="B810" s="7"/>
      <c r="C810" s="5"/>
      <c r="D810" s="5"/>
      <c r="E810" s="9"/>
      <c r="F810" s="9"/>
      <c r="G810" s="10"/>
      <c r="H810" s="11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7"/>
      <c r="B811" s="7"/>
      <c r="C811" s="5"/>
      <c r="D811" s="5"/>
      <c r="E811" s="9"/>
      <c r="F811" s="9"/>
      <c r="G811" s="10"/>
      <c r="H811" s="11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7"/>
      <c r="B812" s="7"/>
      <c r="C812" s="5"/>
      <c r="D812" s="5"/>
      <c r="E812" s="9"/>
      <c r="F812" s="9"/>
      <c r="G812" s="10"/>
      <c r="H812" s="11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7"/>
      <c r="B813" s="7"/>
      <c r="C813" s="5"/>
      <c r="D813" s="5"/>
      <c r="E813" s="9"/>
      <c r="F813" s="9"/>
      <c r="G813" s="10"/>
      <c r="H813" s="11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7"/>
      <c r="B814" s="7"/>
      <c r="C814" s="5"/>
      <c r="D814" s="5"/>
      <c r="E814" s="9"/>
      <c r="F814" s="9"/>
      <c r="G814" s="10"/>
      <c r="H814" s="11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7"/>
      <c r="B815" s="7"/>
      <c r="C815" s="5"/>
      <c r="D815" s="5"/>
      <c r="E815" s="9"/>
      <c r="F815" s="9"/>
      <c r="G815" s="10"/>
      <c r="H815" s="11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7"/>
      <c r="B816" s="7"/>
      <c r="C816" s="5"/>
      <c r="D816" s="5"/>
      <c r="E816" s="9"/>
      <c r="F816" s="9"/>
      <c r="G816" s="10"/>
      <c r="H816" s="11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7"/>
      <c r="B817" s="7"/>
      <c r="C817" s="5"/>
      <c r="D817" s="5"/>
      <c r="E817" s="9"/>
      <c r="F817" s="9"/>
      <c r="G817" s="10"/>
      <c r="H817" s="11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7"/>
      <c r="B818" s="7"/>
      <c r="C818" s="5"/>
      <c r="D818" s="5"/>
      <c r="E818" s="9"/>
      <c r="F818" s="9"/>
      <c r="G818" s="10"/>
      <c r="H818" s="11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7"/>
      <c r="B819" s="7"/>
      <c r="C819" s="5"/>
      <c r="D819" s="5"/>
      <c r="E819" s="9"/>
      <c r="F819" s="9"/>
      <c r="G819" s="10"/>
      <c r="H819" s="11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7"/>
      <c r="B820" s="7"/>
      <c r="C820" s="5"/>
      <c r="D820" s="5"/>
      <c r="E820" s="9"/>
      <c r="F820" s="9"/>
      <c r="G820" s="10"/>
      <c r="H820" s="11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7"/>
      <c r="B821" s="7"/>
      <c r="C821" s="5"/>
      <c r="D821" s="5"/>
      <c r="E821" s="9"/>
      <c r="F821" s="9"/>
      <c r="G821" s="10"/>
      <c r="H821" s="11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7"/>
      <c r="B822" s="7"/>
      <c r="C822" s="5"/>
      <c r="D822" s="5"/>
      <c r="E822" s="9"/>
      <c r="F822" s="9"/>
      <c r="G822" s="10"/>
      <c r="H822" s="11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7"/>
      <c r="B823" s="7"/>
      <c r="C823" s="5"/>
      <c r="D823" s="5"/>
      <c r="E823" s="9"/>
      <c r="F823" s="9"/>
      <c r="G823" s="10"/>
      <c r="H823" s="11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7"/>
      <c r="B824" s="7"/>
      <c r="C824" s="5"/>
      <c r="D824" s="5"/>
      <c r="E824" s="9"/>
      <c r="F824" s="9"/>
      <c r="G824" s="10"/>
      <c r="H824" s="11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7"/>
      <c r="B825" s="7"/>
      <c r="C825" s="5"/>
      <c r="D825" s="5"/>
      <c r="E825" s="9"/>
      <c r="F825" s="9"/>
      <c r="G825" s="10"/>
      <c r="H825" s="11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7"/>
      <c r="B826" s="7"/>
      <c r="C826" s="5"/>
      <c r="D826" s="5"/>
      <c r="E826" s="9"/>
      <c r="F826" s="9"/>
      <c r="G826" s="10"/>
      <c r="H826" s="11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7"/>
      <c r="B827" s="7"/>
      <c r="C827" s="5"/>
      <c r="D827" s="5"/>
      <c r="E827" s="9"/>
      <c r="F827" s="9"/>
      <c r="G827" s="10"/>
      <c r="H827" s="11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7"/>
      <c r="B828" s="7"/>
      <c r="C828" s="5"/>
      <c r="D828" s="5"/>
      <c r="E828" s="9"/>
      <c r="F828" s="9"/>
      <c r="G828" s="10"/>
      <c r="H828" s="11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7"/>
      <c r="B829" s="7"/>
      <c r="C829" s="5"/>
      <c r="D829" s="5"/>
      <c r="E829" s="9"/>
      <c r="F829" s="9"/>
      <c r="G829" s="10"/>
      <c r="H829" s="11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7"/>
      <c r="B830" s="7"/>
      <c r="C830" s="5"/>
      <c r="D830" s="5"/>
      <c r="E830" s="9"/>
      <c r="F830" s="9"/>
      <c r="G830" s="10"/>
      <c r="H830" s="11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7"/>
      <c r="B831" s="7"/>
      <c r="C831" s="5"/>
      <c r="D831" s="5"/>
      <c r="E831" s="9"/>
      <c r="F831" s="9"/>
      <c r="G831" s="10"/>
      <c r="H831" s="11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7"/>
      <c r="B832" s="7"/>
      <c r="C832" s="5"/>
      <c r="D832" s="5"/>
      <c r="E832" s="9"/>
      <c r="F832" s="9"/>
      <c r="G832" s="10"/>
      <c r="H832" s="11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7"/>
      <c r="B833" s="7"/>
      <c r="C833" s="5"/>
      <c r="D833" s="5"/>
      <c r="E833" s="9"/>
      <c r="F833" s="9"/>
      <c r="G833" s="10"/>
      <c r="H833" s="11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7"/>
      <c r="B834" s="7"/>
      <c r="C834" s="5"/>
      <c r="D834" s="5"/>
      <c r="E834" s="9"/>
      <c r="F834" s="9"/>
      <c r="G834" s="10"/>
      <c r="H834" s="11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7"/>
      <c r="B835" s="7"/>
      <c r="C835" s="5"/>
      <c r="D835" s="5"/>
      <c r="E835" s="9"/>
      <c r="F835" s="9"/>
      <c r="G835" s="10"/>
      <c r="H835" s="11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7"/>
      <c r="B836" s="7"/>
      <c r="C836" s="5"/>
      <c r="D836" s="5"/>
      <c r="E836" s="9"/>
      <c r="F836" s="9"/>
      <c r="G836" s="10"/>
      <c r="H836" s="11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7"/>
      <c r="B837" s="7"/>
      <c r="C837" s="5"/>
      <c r="D837" s="5"/>
      <c r="E837" s="9"/>
      <c r="F837" s="9"/>
      <c r="G837" s="10"/>
      <c r="H837" s="11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7"/>
      <c r="B838" s="7"/>
      <c r="C838" s="5"/>
      <c r="D838" s="5"/>
      <c r="E838" s="9"/>
      <c r="F838" s="9"/>
      <c r="G838" s="10"/>
      <c r="H838" s="11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7"/>
      <c r="B839" s="7"/>
      <c r="C839" s="5"/>
      <c r="D839" s="5"/>
      <c r="E839" s="9"/>
      <c r="F839" s="9"/>
      <c r="G839" s="10"/>
      <c r="H839" s="11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7"/>
      <c r="B840" s="7"/>
      <c r="C840" s="5"/>
      <c r="D840" s="5"/>
      <c r="E840" s="9"/>
      <c r="F840" s="9"/>
      <c r="G840" s="10"/>
      <c r="H840" s="11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7"/>
      <c r="B841" s="7"/>
      <c r="C841" s="5"/>
      <c r="D841" s="5"/>
      <c r="E841" s="9"/>
      <c r="F841" s="9"/>
      <c r="G841" s="10"/>
      <c r="H841" s="11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7"/>
      <c r="B842" s="7"/>
      <c r="C842" s="5"/>
      <c r="D842" s="5"/>
      <c r="E842" s="9"/>
      <c r="F842" s="9"/>
      <c r="G842" s="10"/>
      <c r="H842" s="11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7"/>
      <c r="B843" s="7"/>
      <c r="C843" s="5"/>
      <c r="D843" s="5"/>
      <c r="E843" s="9"/>
      <c r="F843" s="9"/>
      <c r="G843" s="10"/>
      <c r="H843" s="11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7"/>
      <c r="B844" s="7"/>
      <c r="C844" s="5"/>
      <c r="D844" s="5"/>
      <c r="E844" s="9"/>
      <c r="F844" s="9"/>
      <c r="G844" s="10"/>
      <c r="H844" s="11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7"/>
      <c r="B845" s="7"/>
      <c r="C845" s="5"/>
      <c r="D845" s="5"/>
      <c r="E845" s="9"/>
      <c r="F845" s="9"/>
      <c r="G845" s="10"/>
      <c r="H845" s="11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7"/>
      <c r="B846" s="7"/>
      <c r="C846" s="5"/>
      <c r="D846" s="5"/>
      <c r="E846" s="9"/>
      <c r="F846" s="9"/>
      <c r="G846" s="10"/>
      <c r="H846" s="11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7"/>
      <c r="B847" s="7"/>
      <c r="C847" s="5"/>
      <c r="D847" s="5"/>
      <c r="E847" s="9"/>
      <c r="F847" s="9"/>
      <c r="G847" s="10"/>
      <c r="H847" s="11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7"/>
      <c r="B848" s="7"/>
      <c r="C848" s="5"/>
      <c r="D848" s="5"/>
      <c r="E848" s="9"/>
      <c r="F848" s="9"/>
      <c r="G848" s="10"/>
      <c r="H848" s="11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7"/>
      <c r="B849" s="7"/>
      <c r="C849" s="5"/>
      <c r="D849" s="5"/>
      <c r="E849" s="9"/>
      <c r="F849" s="9"/>
      <c r="G849" s="10"/>
      <c r="H849" s="11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7"/>
      <c r="B850" s="7"/>
      <c r="C850" s="5"/>
      <c r="D850" s="5"/>
      <c r="E850" s="9"/>
      <c r="F850" s="9"/>
      <c r="G850" s="10"/>
      <c r="H850" s="11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7"/>
      <c r="B851" s="7"/>
      <c r="C851" s="5"/>
      <c r="D851" s="5"/>
      <c r="E851" s="9"/>
      <c r="F851" s="9"/>
      <c r="G851" s="10"/>
      <c r="H851" s="11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7"/>
      <c r="B852" s="7"/>
      <c r="C852" s="5"/>
      <c r="D852" s="5"/>
      <c r="E852" s="9"/>
      <c r="F852" s="9"/>
      <c r="G852" s="10"/>
      <c r="H852" s="11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7"/>
      <c r="B853" s="7"/>
      <c r="C853" s="5"/>
      <c r="D853" s="5"/>
      <c r="E853" s="9"/>
      <c r="F853" s="9"/>
      <c r="G853" s="10"/>
      <c r="H853" s="11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7"/>
      <c r="B854" s="7"/>
      <c r="C854" s="5"/>
      <c r="D854" s="5"/>
      <c r="E854" s="9"/>
      <c r="F854" s="9"/>
      <c r="G854" s="10"/>
      <c r="H854" s="11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7"/>
      <c r="B855" s="7"/>
      <c r="C855" s="5"/>
      <c r="D855" s="5"/>
      <c r="E855" s="9"/>
      <c r="F855" s="9"/>
      <c r="G855" s="10"/>
      <c r="H855" s="11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7"/>
      <c r="B856" s="7"/>
      <c r="C856" s="5"/>
      <c r="D856" s="5"/>
      <c r="E856" s="9"/>
      <c r="F856" s="9"/>
      <c r="G856" s="10"/>
      <c r="H856" s="11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7"/>
      <c r="B857" s="7"/>
      <c r="C857" s="5"/>
      <c r="D857" s="5"/>
      <c r="E857" s="9"/>
      <c r="F857" s="9"/>
      <c r="G857" s="10"/>
      <c r="H857" s="11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7"/>
      <c r="B858" s="7"/>
      <c r="C858" s="5"/>
      <c r="D858" s="5"/>
      <c r="E858" s="9"/>
      <c r="F858" s="9"/>
      <c r="G858" s="10"/>
      <c r="H858" s="11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7"/>
      <c r="B859" s="7"/>
      <c r="C859" s="5"/>
      <c r="D859" s="5"/>
      <c r="E859" s="9"/>
      <c r="F859" s="9"/>
      <c r="G859" s="10"/>
      <c r="H859" s="11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7"/>
      <c r="B860" s="7"/>
      <c r="C860" s="5"/>
      <c r="D860" s="5"/>
      <c r="E860" s="9"/>
      <c r="F860" s="9"/>
      <c r="G860" s="10"/>
      <c r="H860" s="11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7"/>
      <c r="B861" s="7"/>
      <c r="C861" s="5"/>
      <c r="D861" s="5"/>
      <c r="E861" s="9"/>
      <c r="F861" s="9"/>
      <c r="G861" s="10"/>
      <c r="H861" s="11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7"/>
      <c r="B862" s="7"/>
      <c r="C862" s="5"/>
      <c r="D862" s="5"/>
      <c r="E862" s="9"/>
      <c r="F862" s="9"/>
      <c r="G862" s="10"/>
      <c r="H862" s="11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7"/>
      <c r="B863" s="7"/>
      <c r="C863" s="5"/>
      <c r="D863" s="5"/>
      <c r="E863" s="9"/>
      <c r="F863" s="9"/>
      <c r="G863" s="10"/>
      <c r="H863" s="11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7"/>
      <c r="B864" s="7"/>
      <c r="C864" s="5"/>
      <c r="D864" s="5"/>
      <c r="E864" s="9"/>
      <c r="F864" s="9"/>
      <c r="G864" s="10"/>
      <c r="H864" s="11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7"/>
      <c r="B865" s="7"/>
      <c r="C865" s="5"/>
      <c r="D865" s="5"/>
      <c r="E865" s="9"/>
      <c r="F865" s="9"/>
      <c r="G865" s="10"/>
      <c r="H865" s="11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7"/>
      <c r="B866" s="7"/>
      <c r="C866" s="5"/>
      <c r="D866" s="5"/>
      <c r="E866" s="9"/>
      <c r="F866" s="9"/>
      <c r="G866" s="10"/>
      <c r="H866" s="11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7"/>
      <c r="B867" s="7"/>
      <c r="C867" s="5"/>
      <c r="D867" s="5"/>
      <c r="E867" s="9"/>
      <c r="F867" s="9"/>
      <c r="G867" s="10"/>
      <c r="H867" s="11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7"/>
      <c r="B868" s="7"/>
      <c r="C868" s="5"/>
      <c r="D868" s="5"/>
      <c r="E868" s="9"/>
      <c r="F868" s="9"/>
      <c r="G868" s="10"/>
      <c r="H868" s="11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7"/>
      <c r="B869" s="7"/>
      <c r="C869" s="5"/>
      <c r="D869" s="5"/>
      <c r="E869" s="9"/>
      <c r="F869" s="9"/>
      <c r="G869" s="10"/>
      <c r="H869" s="11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7"/>
      <c r="B870" s="7"/>
      <c r="C870" s="5"/>
      <c r="D870" s="5"/>
      <c r="E870" s="9"/>
      <c r="F870" s="9"/>
      <c r="G870" s="10"/>
      <c r="H870" s="11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7"/>
      <c r="B871" s="7"/>
      <c r="C871" s="5"/>
      <c r="D871" s="5"/>
      <c r="E871" s="9"/>
      <c r="F871" s="9"/>
      <c r="G871" s="10"/>
      <c r="H871" s="11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7"/>
      <c r="B872" s="7"/>
      <c r="C872" s="5"/>
      <c r="D872" s="5"/>
      <c r="E872" s="9"/>
      <c r="F872" s="9"/>
      <c r="G872" s="10"/>
      <c r="H872" s="11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7"/>
      <c r="B873" s="7"/>
      <c r="C873" s="5"/>
      <c r="D873" s="5"/>
      <c r="E873" s="9"/>
      <c r="F873" s="9"/>
      <c r="G873" s="10"/>
      <c r="H873" s="11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7"/>
      <c r="B874" s="7"/>
      <c r="C874" s="5"/>
      <c r="D874" s="5"/>
      <c r="E874" s="9"/>
      <c r="F874" s="9"/>
      <c r="G874" s="10"/>
      <c r="H874" s="11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7"/>
      <c r="B875" s="7"/>
      <c r="C875" s="5"/>
      <c r="D875" s="5"/>
      <c r="E875" s="9"/>
      <c r="F875" s="9"/>
      <c r="G875" s="10"/>
      <c r="H875" s="11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7"/>
      <c r="B876" s="7"/>
      <c r="C876" s="5"/>
      <c r="D876" s="5"/>
      <c r="E876" s="9"/>
      <c r="F876" s="9"/>
      <c r="G876" s="10"/>
      <c r="H876" s="11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7"/>
      <c r="B877" s="7"/>
      <c r="C877" s="5"/>
      <c r="D877" s="5"/>
      <c r="E877" s="9"/>
      <c r="F877" s="9"/>
      <c r="G877" s="10"/>
      <c r="H877" s="11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7"/>
      <c r="B878" s="7"/>
      <c r="C878" s="5"/>
      <c r="D878" s="5"/>
      <c r="E878" s="9"/>
      <c r="F878" s="9"/>
      <c r="G878" s="10"/>
      <c r="H878" s="11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7"/>
      <c r="B879" s="7"/>
      <c r="C879" s="5"/>
      <c r="D879" s="5"/>
      <c r="E879" s="9"/>
      <c r="F879" s="9"/>
      <c r="G879" s="10"/>
      <c r="H879" s="11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7"/>
      <c r="B880" s="7"/>
      <c r="C880" s="5"/>
      <c r="D880" s="5"/>
      <c r="E880" s="9"/>
      <c r="F880" s="9"/>
      <c r="G880" s="10"/>
      <c r="H880" s="11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7"/>
      <c r="B881" s="7"/>
      <c r="C881" s="5"/>
      <c r="D881" s="5"/>
      <c r="E881" s="9"/>
      <c r="F881" s="9"/>
      <c r="G881" s="10"/>
      <c r="H881" s="11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7"/>
      <c r="B882" s="7"/>
      <c r="C882" s="5"/>
      <c r="D882" s="5"/>
      <c r="E882" s="9"/>
      <c r="F882" s="9"/>
      <c r="G882" s="10"/>
      <c r="H882" s="11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7"/>
      <c r="B883" s="7"/>
      <c r="C883" s="5"/>
      <c r="D883" s="5"/>
      <c r="E883" s="9"/>
      <c r="F883" s="9"/>
      <c r="G883" s="10"/>
      <c r="H883" s="11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7"/>
      <c r="B884" s="7"/>
      <c r="C884" s="5"/>
      <c r="D884" s="5"/>
      <c r="E884" s="9"/>
      <c r="F884" s="9"/>
      <c r="G884" s="10"/>
      <c r="H884" s="11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7"/>
      <c r="B885" s="7"/>
      <c r="C885" s="5"/>
      <c r="D885" s="5"/>
      <c r="E885" s="9"/>
      <c r="F885" s="9"/>
      <c r="G885" s="10"/>
      <c r="H885" s="11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7"/>
      <c r="B886" s="7"/>
      <c r="C886" s="5"/>
      <c r="D886" s="5"/>
      <c r="E886" s="9"/>
      <c r="F886" s="9"/>
      <c r="G886" s="10"/>
      <c r="H886" s="11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7"/>
      <c r="B887" s="7"/>
      <c r="C887" s="5"/>
      <c r="D887" s="5"/>
      <c r="E887" s="9"/>
      <c r="F887" s="9"/>
      <c r="G887" s="10"/>
      <c r="H887" s="11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7"/>
      <c r="B888" s="7"/>
      <c r="C888" s="5"/>
      <c r="D888" s="5"/>
      <c r="E888" s="9"/>
      <c r="F888" s="9"/>
      <c r="G888" s="10"/>
      <c r="H888" s="11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7"/>
      <c r="B889" s="7"/>
      <c r="C889" s="5"/>
      <c r="D889" s="5"/>
      <c r="E889" s="9"/>
      <c r="F889" s="9"/>
      <c r="G889" s="10"/>
      <c r="H889" s="11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7"/>
      <c r="B890" s="7"/>
      <c r="C890" s="5"/>
      <c r="D890" s="5"/>
      <c r="E890" s="9"/>
      <c r="F890" s="9"/>
      <c r="G890" s="10"/>
      <c r="H890" s="11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7"/>
      <c r="B891" s="7"/>
      <c r="C891" s="5"/>
      <c r="D891" s="5"/>
      <c r="E891" s="9"/>
      <c r="F891" s="9"/>
      <c r="G891" s="10"/>
      <c r="H891" s="11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7"/>
      <c r="B892" s="7"/>
      <c r="C892" s="5"/>
      <c r="D892" s="5"/>
      <c r="E892" s="9"/>
      <c r="F892" s="9"/>
      <c r="G892" s="10"/>
      <c r="H892" s="11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7"/>
      <c r="B893" s="7"/>
      <c r="C893" s="5"/>
      <c r="D893" s="5"/>
      <c r="E893" s="9"/>
      <c r="F893" s="9"/>
      <c r="G893" s="10"/>
      <c r="H893" s="11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7"/>
      <c r="B894" s="7"/>
      <c r="C894" s="5"/>
      <c r="D894" s="5"/>
      <c r="E894" s="9"/>
      <c r="F894" s="9"/>
      <c r="G894" s="10"/>
      <c r="H894" s="11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7"/>
      <c r="B895" s="7"/>
      <c r="C895" s="5"/>
      <c r="D895" s="5"/>
      <c r="E895" s="9"/>
      <c r="F895" s="9"/>
      <c r="G895" s="10"/>
      <c r="H895" s="11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7"/>
      <c r="B896" s="7"/>
      <c r="C896" s="5"/>
      <c r="D896" s="5"/>
      <c r="E896" s="9"/>
      <c r="F896" s="9"/>
      <c r="G896" s="10"/>
      <c r="H896" s="11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7"/>
      <c r="B897" s="7"/>
      <c r="C897" s="5"/>
      <c r="D897" s="5"/>
      <c r="E897" s="9"/>
      <c r="F897" s="9"/>
      <c r="G897" s="10"/>
      <c r="H897" s="11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7"/>
      <c r="B898" s="7"/>
      <c r="C898" s="5"/>
      <c r="D898" s="5"/>
      <c r="E898" s="9"/>
      <c r="F898" s="9"/>
      <c r="G898" s="10"/>
      <c r="H898" s="11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7"/>
      <c r="B899" s="7"/>
      <c r="C899" s="5"/>
      <c r="D899" s="5"/>
      <c r="E899" s="9"/>
      <c r="F899" s="9"/>
      <c r="G899" s="10"/>
      <c r="H899" s="11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7"/>
      <c r="B900" s="7"/>
      <c r="C900" s="5"/>
      <c r="D900" s="5"/>
      <c r="E900" s="9"/>
      <c r="F900" s="9"/>
      <c r="G900" s="10"/>
      <c r="H900" s="11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7"/>
      <c r="B901" s="7"/>
      <c r="C901" s="5"/>
      <c r="D901" s="5"/>
      <c r="E901" s="9"/>
      <c r="F901" s="9"/>
      <c r="G901" s="10"/>
      <c r="H901" s="11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7"/>
      <c r="B902" s="7"/>
      <c r="C902" s="5"/>
      <c r="D902" s="5"/>
      <c r="E902" s="9"/>
      <c r="F902" s="9"/>
      <c r="G902" s="10"/>
      <c r="H902" s="11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7"/>
      <c r="B903" s="7"/>
      <c r="C903" s="5"/>
      <c r="D903" s="5"/>
      <c r="E903" s="9"/>
      <c r="F903" s="9"/>
      <c r="G903" s="10"/>
      <c r="H903" s="11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7"/>
      <c r="B904" s="7"/>
      <c r="C904" s="5"/>
      <c r="D904" s="5"/>
      <c r="E904" s="9"/>
      <c r="F904" s="9"/>
      <c r="G904" s="10"/>
      <c r="H904" s="11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7"/>
      <c r="B905" s="7"/>
      <c r="C905" s="5"/>
      <c r="D905" s="5"/>
      <c r="E905" s="9"/>
      <c r="F905" s="9"/>
      <c r="G905" s="10"/>
      <c r="H905" s="11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7"/>
      <c r="B906" s="7"/>
      <c r="C906" s="5"/>
      <c r="D906" s="5"/>
      <c r="E906" s="9"/>
      <c r="F906" s="9"/>
      <c r="G906" s="10"/>
      <c r="H906" s="11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7"/>
      <c r="B907" s="7"/>
      <c r="C907" s="5"/>
      <c r="D907" s="5"/>
      <c r="E907" s="9"/>
      <c r="F907" s="9"/>
      <c r="G907" s="10"/>
      <c r="H907" s="11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7"/>
      <c r="B908" s="7"/>
      <c r="C908" s="5"/>
      <c r="D908" s="5"/>
      <c r="E908" s="9"/>
      <c r="F908" s="9"/>
      <c r="G908" s="10"/>
      <c r="H908" s="11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7"/>
      <c r="B909" s="7"/>
      <c r="C909" s="5"/>
      <c r="D909" s="5"/>
      <c r="E909" s="9"/>
      <c r="F909" s="9"/>
      <c r="G909" s="10"/>
      <c r="H909" s="11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7"/>
      <c r="B910" s="7"/>
      <c r="C910" s="5"/>
      <c r="D910" s="5"/>
      <c r="E910" s="9"/>
      <c r="F910" s="9"/>
      <c r="G910" s="10"/>
      <c r="H910" s="11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7"/>
      <c r="B911" s="7"/>
      <c r="C911" s="5"/>
      <c r="D911" s="5"/>
      <c r="E911" s="9"/>
      <c r="F911" s="9"/>
      <c r="G911" s="10"/>
      <c r="H911" s="11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7"/>
      <c r="B912" s="7"/>
      <c r="C912" s="5"/>
      <c r="D912" s="5"/>
      <c r="E912" s="9"/>
      <c r="F912" s="9"/>
      <c r="G912" s="10"/>
      <c r="H912" s="11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7"/>
      <c r="B913" s="7"/>
      <c r="C913" s="5"/>
      <c r="D913" s="5"/>
      <c r="E913" s="9"/>
      <c r="F913" s="9"/>
      <c r="G913" s="10"/>
      <c r="H913" s="11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7"/>
      <c r="B914" s="7"/>
      <c r="C914" s="5"/>
      <c r="D914" s="5"/>
      <c r="E914" s="9"/>
      <c r="F914" s="9"/>
      <c r="G914" s="10"/>
      <c r="H914" s="11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7"/>
      <c r="B915" s="7"/>
      <c r="C915" s="5"/>
      <c r="D915" s="5"/>
      <c r="E915" s="9"/>
      <c r="F915" s="9"/>
      <c r="G915" s="10"/>
      <c r="H915" s="11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7"/>
      <c r="B916" s="7"/>
      <c r="C916" s="5"/>
      <c r="D916" s="5"/>
      <c r="E916" s="9"/>
      <c r="F916" s="9"/>
      <c r="G916" s="10"/>
      <c r="H916" s="11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7"/>
      <c r="B917" s="7"/>
      <c r="C917" s="5"/>
      <c r="D917" s="5"/>
      <c r="E917" s="9"/>
      <c r="F917" s="9"/>
      <c r="G917" s="10"/>
      <c r="H917" s="11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7"/>
      <c r="B918" s="7"/>
      <c r="C918" s="5"/>
      <c r="D918" s="5"/>
      <c r="E918" s="9"/>
      <c r="F918" s="9"/>
      <c r="G918" s="10"/>
      <c r="H918" s="11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7"/>
      <c r="B919" s="7"/>
      <c r="C919" s="5"/>
      <c r="D919" s="5"/>
      <c r="E919" s="9"/>
      <c r="F919" s="9"/>
      <c r="G919" s="10"/>
      <c r="H919" s="11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7"/>
      <c r="B920" s="7"/>
      <c r="C920" s="5"/>
      <c r="D920" s="5"/>
      <c r="E920" s="9"/>
      <c r="F920" s="9"/>
      <c r="G920" s="10"/>
      <c r="H920" s="11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7"/>
      <c r="B921" s="7"/>
      <c r="C921" s="5"/>
      <c r="D921" s="5"/>
      <c r="E921" s="9"/>
      <c r="F921" s="9"/>
      <c r="G921" s="10"/>
      <c r="H921" s="11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7"/>
      <c r="B922" s="7"/>
      <c r="C922" s="5"/>
      <c r="D922" s="5"/>
      <c r="E922" s="9"/>
      <c r="F922" s="9"/>
      <c r="G922" s="10"/>
      <c r="H922" s="11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7"/>
      <c r="B923" s="7"/>
      <c r="C923" s="5"/>
      <c r="D923" s="5"/>
      <c r="E923" s="9"/>
      <c r="F923" s="9"/>
      <c r="G923" s="10"/>
      <c r="H923" s="11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7"/>
      <c r="B924" s="7"/>
      <c r="C924" s="5"/>
      <c r="D924" s="5"/>
      <c r="E924" s="9"/>
      <c r="F924" s="9"/>
      <c r="G924" s="10"/>
      <c r="H924" s="11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7"/>
      <c r="B925" s="7"/>
      <c r="C925" s="5"/>
      <c r="D925" s="5"/>
      <c r="E925" s="9"/>
      <c r="F925" s="9"/>
      <c r="G925" s="10"/>
      <c r="H925" s="11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7"/>
      <c r="B926" s="7"/>
      <c r="C926" s="5"/>
      <c r="D926" s="5"/>
      <c r="E926" s="9"/>
      <c r="F926" s="9"/>
      <c r="G926" s="10"/>
      <c r="H926" s="11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7"/>
      <c r="B927" s="7"/>
      <c r="C927" s="5"/>
      <c r="D927" s="5"/>
      <c r="E927" s="9"/>
      <c r="F927" s="9"/>
      <c r="G927" s="10"/>
      <c r="H927" s="11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7"/>
      <c r="B928" s="7"/>
      <c r="C928" s="5"/>
      <c r="D928" s="5"/>
      <c r="E928" s="9"/>
      <c r="F928" s="9"/>
      <c r="G928" s="10"/>
      <c r="H928" s="11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7"/>
      <c r="B929" s="7"/>
      <c r="C929" s="5"/>
      <c r="D929" s="5"/>
      <c r="E929" s="9"/>
      <c r="F929" s="9"/>
      <c r="G929" s="10"/>
      <c r="H929" s="11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7"/>
      <c r="B930" s="7"/>
      <c r="C930" s="5"/>
      <c r="D930" s="5"/>
      <c r="E930" s="9"/>
      <c r="F930" s="9"/>
      <c r="G930" s="10"/>
      <c r="H930" s="11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7"/>
      <c r="B931" s="7"/>
      <c r="C931" s="5"/>
      <c r="D931" s="5"/>
      <c r="E931" s="9"/>
      <c r="F931" s="9"/>
      <c r="G931" s="10"/>
      <c r="H931" s="11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7"/>
      <c r="B932" s="7"/>
      <c r="C932" s="5"/>
      <c r="D932" s="5"/>
      <c r="E932" s="9"/>
      <c r="F932" s="9"/>
      <c r="G932" s="10"/>
      <c r="H932" s="11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7"/>
      <c r="B933" s="7"/>
      <c r="C933" s="5"/>
      <c r="D933" s="5"/>
      <c r="E933" s="9"/>
      <c r="F933" s="9"/>
      <c r="G933" s="10"/>
      <c r="H933" s="11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7"/>
      <c r="B934" s="7"/>
      <c r="C934" s="5"/>
      <c r="D934" s="5"/>
      <c r="E934" s="9"/>
      <c r="F934" s="9"/>
      <c r="G934" s="10"/>
      <c r="H934" s="11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7"/>
      <c r="B935" s="7"/>
      <c r="C935" s="5"/>
      <c r="D935" s="5"/>
      <c r="E935" s="9"/>
      <c r="F935" s="9"/>
      <c r="G935" s="10"/>
      <c r="H935" s="11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7"/>
      <c r="B936" s="7"/>
      <c r="C936" s="5"/>
      <c r="D936" s="5"/>
      <c r="E936" s="9"/>
      <c r="F936" s="9"/>
      <c r="G936" s="10"/>
      <c r="H936" s="11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7"/>
      <c r="B937" s="7"/>
      <c r="C937" s="5"/>
      <c r="D937" s="5"/>
      <c r="E937" s="9"/>
      <c r="F937" s="9"/>
      <c r="G937" s="10"/>
      <c r="H937" s="11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7"/>
      <c r="B938" s="7"/>
      <c r="C938" s="5"/>
      <c r="D938" s="5"/>
      <c r="E938" s="9"/>
      <c r="F938" s="9"/>
      <c r="G938" s="10"/>
      <c r="H938" s="11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7"/>
      <c r="B939" s="7"/>
      <c r="C939" s="5"/>
      <c r="D939" s="5"/>
      <c r="E939" s="9"/>
      <c r="F939" s="9"/>
      <c r="G939" s="10"/>
      <c r="H939" s="11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7"/>
      <c r="B940" s="7"/>
      <c r="C940" s="5"/>
      <c r="D940" s="5"/>
      <c r="E940" s="9"/>
      <c r="F940" s="9"/>
      <c r="G940" s="10"/>
      <c r="H940" s="11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7"/>
      <c r="B941" s="7"/>
      <c r="C941" s="5"/>
      <c r="D941" s="5"/>
      <c r="E941" s="9"/>
      <c r="F941" s="9"/>
      <c r="G941" s="10"/>
      <c r="H941" s="11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7"/>
      <c r="B942" s="7"/>
      <c r="C942" s="5"/>
      <c r="D942" s="5"/>
      <c r="E942" s="9"/>
      <c r="F942" s="9"/>
      <c r="G942" s="10"/>
      <c r="H942" s="11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7"/>
      <c r="B943" s="7"/>
      <c r="C943" s="5"/>
      <c r="D943" s="5"/>
      <c r="E943" s="9"/>
      <c r="F943" s="9"/>
      <c r="G943" s="10"/>
      <c r="H943" s="11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7"/>
      <c r="B944" s="7"/>
      <c r="C944" s="5"/>
      <c r="D944" s="5"/>
      <c r="E944" s="9"/>
      <c r="F944" s="9"/>
      <c r="G944" s="10"/>
      <c r="H944" s="11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7"/>
      <c r="B945" s="7"/>
      <c r="C945" s="5"/>
      <c r="D945" s="5"/>
      <c r="E945" s="9"/>
      <c r="F945" s="9"/>
      <c r="G945" s="10"/>
      <c r="H945" s="11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7"/>
      <c r="B946" s="7"/>
      <c r="C946" s="5"/>
      <c r="D946" s="5"/>
      <c r="E946" s="9"/>
      <c r="F946" s="9"/>
      <c r="G946" s="10"/>
      <c r="H946" s="11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7"/>
      <c r="B947" s="7"/>
      <c r="C947" s="5"/>
      <c r="D947" s="5"/>
      <c r="E947" s="9"/>
      <c r="F947" s="9"/>
      <c r="G947" s="10"/>
      <c r="H947" s="11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7"/>
      <c r="B948" s="7"/>
      <c r="C948" s="5"/>
      <c r="D948" s="5"/>
      <c r="E948" s="9"/>
      <c r="F948" s="9"/>
      <c r="G948" s="10"/>
      <c r="H948" s="11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7"/>
      <c r="B949" s="7"/>
      <c r="C949" s="5"/>
      <c r="D949" s="5"/>
      <c r="E949" s="9"/>
      <c r="F949" s="9"/>
      <c r="G949" s="10"/>
      <c r="H949" s="11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7"/>
      <c r="B950" s="7"/>
      <c r="C950" s="5"/>
      <c r="D950" s="5"/>
      <c r="E950" s="9"/>
      <c r="F950" s="9"/>
      <c r="G950" s="10"/>
      <c r="H950" s="11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7"/>
      <c r="B951" s="7"/>
      <c r="C951" s="5"/>
      <c r="D951" s="5"/>
      <c r="E951" s="9"/>
      <c r="F951" s="9"/>
      <c r="G951" s="10"/>
      <c r="H951" s="11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7"/>
      <c r="B952" s="7"/>
      <c r="C952" s="5"/>
      <c r="D952" s="5"/>
      <c r="E952" s="9"/>
      <c r="F952" s="9"/>
      <c r="G952" s="10"/>
      <c r="H952" s="11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7"/>
      <c r="B953" s="7"/>
      <c r="C953" s="5"/>
      <c r="D953" s="5"/>
      <c r="E953" s="9"/>
      <c r="F953" s="9"/>
      <c r="G953" s="10"/>
      <c r="H953" s="11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7"/>
      <c r="B954" s="7"/>
      <c r="C954" s="5"/>
      <c r="D954" s="5"/>
      <c r="E954" s="9"/>
      <c r="F954" s="9"/>
      <c r="G954" s="10"/>
      <c r="H954" s="11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7"/>
      <c r="B955" s="7"/>
      <c r="C955" s="5"/>
      <c r="D955" s="5"/>
      <c r="E955" s="9"/>
      <c r="F955" s="9"/>
      <c r="G955" s="10"/>
      <c r="H955" s="11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7"/>
      <c r="B956" s="7"/>
      <c r="C956" s="5"/>
      <c r="D956" s="5"/>
      <c r="E956" s="9"/>
      <c r="F956" s="9"/>
      <c r="G956" s="10"/>
      <c r="H956" s="11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7"/>
      <c r="B957" s="7"/>
      <c r="C957" s="5"/>
      <c r="D957" s="5"/>
      <c r="E957" s="9"/>
      <c r="F957" s="9"/>
      <c r="G957" s="10"/>
      <c r="H957" s="11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7"/>
      <c r="B958" s="7"/>
      <c r="C958" s="5"/>
      <c r="D958" s="5"/>
      <c r="E958" s="9"/>
      <c r="F958" s="9"/>
      <c r="G958" s="10"/>
      <c r="H958" s="11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7"/>
      <c r="B959" s="7"/>
      <c r="C959" s="5"/>
      <c r="D959" s="5"/>
      <c r="E959" s="9"/>
      <c r="F959" s="9"/>
      <c r="G959" s="10"/>
      <c r="H959" s="11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7"/>
      <c r="B960" s="7"/>
      <c r="C960" s="5"/>
      <c r="D960" s="5"/>
      <c r="E960" s="9"/>
      <c r="F960" s="9"/>
      <c r="G960" s="10"/>
      <c r="H960" s="11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7"/>
      <c r="B961" s="7"/>
      <c r="C961" s="5"/>
      <c r="D961" s="5"/>
      <c r="E961" s="9"/>
      <c r="F961" s="9"/>
      <c r="G961" s="10"/>
      <c r="H961" s="11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7"/>
      <c r="B962" s="7"/>
      <c r="C962" s="5"/>
      <c r="D962" s="5"/>
      <c r="E962" s="9"/>
      <c r="F962" s="9"/>
      <c r="G962" s="10"/>
      <c r="H962" s="11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7"/>
      <c r="B963" s="7"/>
      <c r="C963" s="5"/>
      <c r="D963" s="5"/>
      <c r="E963" s="9"/>
      <c r="F963" s="9"/>
      <c r="G963" s="10"/>
      <c r="H963" s="11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7"/>
      <c r="B964" s="7"/>
      <c r="C964" s="5"/>
      <c r="D964" s="5"/>
      <c r="E964" s="9"/>
      <c r="F964" s="9"/>
      <c r="G964" s="10"/>
      <c r="H964" s="11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7"/>
      <c r="B965" s="7"/>
      <c r="C965" s="5"/>
      <c r="D965" s="5"/>
      <c r="E965" s="9"/>
      <c r="F965" s="9"/>
      <c r="G965" s="10"/>
      <c r="H965" s="11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7"/>
      <c r="B966" s="7"/>
      <c r="C966" s="5"/>
      <c r="D966" s="5"/>
      <c r="E966" s="9"/>
      <c r="F966" s="9"/>
      <c r="G966" s="10"/>
      <c r="H966" s="11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7"/>
      <c r="B967" s="7"/>
      <c r="C967" s="5"/>
      <c r="D967" s="5"/>
      <c r="E967" s="9"/>
      <c r="F967" s="9"/>
      <c r="G967" s="10"/>
      <c r="H967" s="11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7"/>
      <c r="B968" s="7"/>
      <c r="C968" s="5"/>
      <c r="D968" s="5"/>
      <c r="E968" s="9"/>
      <c r="F968" s="9"/>
      <c r="G968" s="10"/>
      <c r="H968" s="11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7"/>
      <c r="B969" s="7"/>
      <c r="C969" s="5"/>
      <c r="D969" s="5"/>
      <c r="E969" s="9"/>
      <c r="F969" s="9"/>
      <c r="G969" s="10"/>
      <c r="H969" s="11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7"/>
      <c r="B970" s="7"/>
      <c r="C970" s="5"/>
      <c r="D970" s="5"/>
      <c r="E970" s="9"/>
      <c r="F970" s="9"/>
      <c r="G970" s="10"/>
      <c r="H970" s="11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7"/>
      <c r="B971" s="7"/>
      <c r="C971" s="5"/>
      <c r="D971" s="5"/>
      <c r="E971" s="9"/>
      <c r="F971" s="9"/>
      <c r="G971" s="10"/>
      <c r="H971" s="11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7"/>
      <c r="B972" s="7"/>
      <c r="C972" s="5"/>
      <c r="D972" s="5"/>
      <c r="E972" s="9"/>
      <c r="F972" s="9"/>
      <c r="G972" s="10"/>
      <c r="H972" s="11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7"/>
      <c r="B973" s="7"/>
      <c r="C973" s="5"/>
      <c r="D973" s="5"/>
      <c r="E973" s="9"/>
      <c r="F973" s="9"/>
      <c r="G973" s="10"/>
      <c r="H973" s="11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7"/>
      <c r="B974" s="7"/>
      <c r="C974" s="5"/>
      <c r="D974" s="5"/>
      <c r="E974" s="9"/>
      <c r="F974" s="9"/>
      <c r="G974" s="10"/>
      <c r="H974" s="11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7"/>
      <c r="B975" s="7"/>
      <c r="C975" s="5"/>
      <c r="D975" s="5"/>
      <c r="E975" s="9"/>
      <c r="F975" s="9"/>
      <c r="G975" s="10"/>
      <c r="H975" s="11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7"/>
      <c r="B976" s="7"/>
      <c r="C976" s="5"/>
      <c r="D976" s="5"/>
      <c r="E976" s="9"/>
      <c r="F976" s="9"/>
      <c r="G976" s="10"/>
      <c r="H976" s="11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7"/>
      <c r="B977" s="7"/>
      <c r="C977" s="5"/>
      <c r="D977" s="5"/>
      <c r="E977" s="9"/>
      <c r="F977" s="9"/>
      <c r="G977" s="10"/>
      <c r="H977" s="11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7"/>
      <c r="B978" s="7"/>
      <c r="C978" s="5"/>
      <c r="D978" s="5"/>
      <c r="E978" s="9"/>
      <c r="F978" s="9"/>
      <c r="G978" s="10"/>
      <c r="H978" s="11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7"/>
      <c r="B979" s="7"/>
      <c r="C979" s="5"/>
      <c r="D979" s="5"/>
      <c r="E979" s="9"/>
      <c r="F979" s="9"/>
      <c r="G979" s="10"/>
      <c r="H979" s="11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7"/>
      <c r="B980" s="7"/>
      <c r="C980" s="5"/>
      <c r="D980" s="5"/>
      <c r="E980" s="9"/>
      <c r="F980" s="9"/>
      <c r="G980" s="10"/>
      <c r="H980" s="11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7"/>
      <c r="B981" s="7"/>
      <c r="C981" s="5"/>
      <c r="D981" s="5"/>
      <c r="E981" s="9"/>
      <c r="F981" s="9"/>
      <c r="G981" s="10"/>
      <c r="H981" s="11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7"/>
      <c r="B982" s="7"/>
      <c r="C982" s="5"/>
      <c r="D982" s="5"/>
      <c r="E982" s="9"/>
      <c r="F982" s="9"/>
      <c r="G982" s="10"/>
      <c r="H982" s="11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7"/>
      <c r="B983" s="7"/>
      <c r="C983" s="5"/>
      <c r="D983" s="5"/>
      <c r="E983" s="9"/>
      <c r="F983" s="9"/>
      <c r="G983" s="10"/>
      <c r="H983" s="11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7"/>
      <c r="B984" s="7"/>
      <c r="C984" s="5"/>
      <c r="D984" s="5"/>
      <c r="E984" s="9"/>
      <c r="F984" s="9"/>
      <c r="G984" s="10"/>
      <c r="H984" s="11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7"/>
      <c r="B985" s="7"/>
      <c r="C985" s="5"/>
      <c r="D985" s="5"/>
      <c r="E985" s="9"/>
      <c r="F985" s="9"/>
      <c r="G985" s="10"/>
      <c r="H985" s="11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7"/>
      <c r="B986" s="7"/>
      <c r="C986" s="5"/>
      <c r="D986" s="5"/>
      <c r="E986" s="9"/>
      <c r="F986" s="9"/>
      <c r="G986" s="10"/>
      <c r="H986" s="11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7"/>
      <c r="B987" s="7"/>
      <c r="C987" s="5"/>
      <c r="D987" s="5"/>
      <c r="E987" s="9"/>
      <c r="F987" s="9"/>
      <c r="G987" s="10"/>
      <c r="H987" s="11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7"/>
      <c r="B988" s="7"/>
      <c r="C988" s="5"/>
      <c r="D988" s="5"/>
      <c r="E988" s="9"/>
      <c r="F988" s="9"/>
      <c r="G988" s="10"/>
      <c r="H988" s="11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7"/>
      <c r="B989" s="7"/>
      <c r="C989" s="5"/>
      <c r="D989" s="5"/>
      <c r="E989" s="9"/>
      <c r="F989" s="9"/>
      <c r="G989" s="10"/>
      <c r="H989" s="11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7"/>
      <c r="B990" s="7"/>
      <c r="C990" s="5"/>
      <c r="D990" s="5"/>
      <c r="E990" s="9"/>
      <c r="F990" s="9"/>
      <c r="G990" s="10"/>
      <c r="H990" s="11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7"/>
      <c r="B991" s="7"/>
      <c r="C991" s="5"/>
      <c r="D991" s="5"/>
      <c r="E991" s="9"/>
      <c r="F991" s="9"/>
      <c r="G991" s="10"/>
      <c r="H991" s="11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7"/>
      <c r="B992" s="7"/>
      <c r="C992" s="5"/>
      <c r="D992" s="5"/>
      <c r="E992" s="9"/>
      <c r="F992" s="9"/>
      <c r="G992" s="10"/>
      <c r="H992" s="11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7"/>
      <c r="B993" s="7"/>
      <c r="C993" s="5"/>
      <c r="D993" s="5"/>
      <c r="E993" s="9"/>
      <c r="F993" s="9"/>
      <c r="G993" s="10"/>
      <c r="H993" s="11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7"/>
      <c r="B994" s="7"/>
      <c r="C994" s="5"/>
      <c r="D994" s="5"/>
      <c r="E994" s="9"/>
      <c r="F994" s="9"/>
      <c r="G994" s="10"/>
      <c r="H994" s="11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7"/>
      <c r="B995" s="7"/>
      <c r="C995" s="5"/>
      <c r="D995" s="5"/>
      <c r="E995" s="9"/>
      <c r="F995" s="9"/>
      <c r="G995" s="10"/>
      <c r="H995" s="11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7"/>
      <c r="B996" s="7"/>
      <c r="C996" s="5"/>
      <c r="D996" s="5"/>
      <c r="E996" s="9"/>
      <c r="F996" s="9"/>
      <c r="G996" s="10"/>
      <c r="H996" s="11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7"/>
      <c r="B997" s="7"/>
      <c r="C997" s="5"/>
      <c r="D997" s="5"/>
      <c r="E997" s="9"/>
      <c r="F997" s="9"/>
      <c r="G997" s="10"/>
      <c r="H997" s="11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7"/>
      <c r="B998" s="7"/>
      <c r="C998" s="5"/>
      <c r="D998" s="5"/>
      <c r="E998" s="9"/>
      <c r="F998" s="9"/>
      <c r="G998" s="10"/>
      <c r="H998" s="11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7"/>
      <c r="B999" s="7"/>
      <c r="C999" s="5"/>
      <c r="D999" s="5"/>
      <c r="E999" s="9"/>
      <c r="F999" s="9"/>
      <c r="G999" s="10"/>
      <c r="H999" s="11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7"/>
      <c r="B1000" s="7"/>
      <c r="C1000" s="5"/>
      <c r="D1000" s="5"/>
      <c r="E1000" s="9"/>
      <c r="F1000" s="9"/>
      <c r="G1000" s="10"/>
      <c r="H1000" s="11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6:$H$41">
    <sortState ref="A6:H41">
      <sortCondition descending="1" ref="F6:F41"/>
    </sortState>
  </autoFilter>
  <mergeCells count="4">
    <mergeCell ref="A1:H1"/>
    <mergeCell ref="A2:H2"/>
    <mergeCell ref="A5:H5"/>
    <mergeCell ref="A45:B45"/>
  </mergeCells>
  <printOptions/>
  <pageMargins bottom="0.5" footer="0.0" header="0.0" left="0.45" right="0.45" top="0.5"/>
  <pageSetup paperSize="9" orientation="portrait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9.14"/>
    <col customWidth="1" min="2" max="2" width="25.86"/>
    <col customWidth="1" min="3" max="3" width="12.86"/>
    <col customWidth="1" min="4" max="4" width="5.57"/>
    <col customWidth="1" min="5" max="6" width="13.57"/>
    <col customWidth="1" min="7" max="7" width="11.71"/>
    <col customWidth="1" min="8" max="8" width="18.86"/>
    <col customWidth="1" min="9" max="11" width="9.14"/>
    <col customWidth="1" min="12" max="26" width="8.71"/>
  </cols>
  <sheetData>
    <row r="1" ht="16.5" customHeight="1">
      <c r="A1" s="2" t="s">
        <v>0</v>
      </c>
      <c r="B1" s="3"/>
      <c r="C1" s="3"/>
      <c r="D1" s="3"/>
      <c r="E1" s="3"/>
      <c r="F1" s="3"/>
      <c r="G1" s="3"/>
      <c r="H1" s="4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6" t="s">
        <v>2</v>
      </c>
      <c r="B2" s="3"/>
      <c r="C2" s="3"/>
      <c r="D2" s="3"/>
      <c r="E2" s="3"/>
      <c r="F2" s="3"/>
      <c r="G2" s="3"/>
      <c r="H2" s="4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7"/>
      <c r="B3" s="7"/>
      <c r="C3" s="5"/>
      <c r="D3" s="5"/>
      <c r="E3" s="9"/>
      <c r="F3" s="9"/>
      <c r="G3" s="10"/>
      <c r="H3" s="11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7"/>
      <c r="B4" s="7"/>
      <c r="C4" s="5"/>
      <c r="D4" s="5"/>
      <c r="E4" s="9"/>
      <c r="F4" s="9"/>
      <c r="G4" s="10"/>
      <c r="H4" s="11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9.0" customHeight="1">
      <c r="A5" s="128"/>
      <c r="B5" s="129"/>
      <c r="C5" s="129"/>
      <c r="D5" s="129"/>
      <c r="E5" s="129"/>
      <c r="F5" s="129"/>
      <c r="G5" s="129"/>
      <c r="H5" s="131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143" t="s">
        <v>3</v>
      </c>
      <c r="B6" s="143" t="s">
        <v>4</v>
      </c>
      <c r="C6" s="144" t="s">
        <v>5</v>
      </c>
      <c r="D6" s="146" t="s">
        <v>115</v>
      </c>
      <c r="E6" s="147" t="s">
        <v>116</v>
      </c>
      <c r="F6" s="147" t="s">
        <v>167</v>
      </c>
      <c r="G6" s="147" t="s">
        <v>118</v>
      </c>
      <c r="H6" s="143" t="s">
        <v>119</v>
      </c>
      <c r="I6" s="19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4.75" customHeight="1">
      <c r="A7" s="148" t="s">
        <v>14</v>
      </c>
      <c r="B7" s="149" t="s">
        <v>144</v>
      </c>
      <c r="C7" s="150">
        <v>45791.0</v>
      </c>
      <c r="D7" s="151">
        <v>31.0</v>
      </c>
      <c r="E7" s="152">
        <v>145000.0</v>
      </c>
      <c r="F7" s="152">
        <f>E7/31*D7</f>
        <v>145000</v>
      </c>
      <c r="G7" s="157">
        <f>F7-30000-50000-65000</f>
        <v>0</v>
      </c>
      <c r="H7" s="154" t="s">
        <v>17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4.75" customHeight="1">
      <c r="A8" s="148" t="s">
        <v>18</v>
      </c>
      <c r="B8" s="149" t="s">
        <v>168</v>
      </c>
      <c r="C8" s="150">
        <v>45704.0</v>
      </c>
      <c r="D8" s="151">
        <v>31.0</v>
      </c>
      <c r="E8" s="152">
        <v>130000.0</v>
      </c>
      <c r="F8" s="152">
        <f>E8/31*D8-1250</f>
        <v>128750</v>
      </c>
      <c r="G8" s="166">
        <f>F8-28750</f>
        <v>100000</v>
      </c>
      <c r="H8" s="156" t="s">
        <v>84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4.75" customHeight="1">
      <c r="A9" s="148" t="s">
        <v>22</v>
      </c>
      <c r="B9" s="149" t="s">
        <v>169</v>
      </c>
      <c r="C9" s="150">
        <v>45792.0</v>
      </c>
      <c r="D9" s="151">
        <f>31-5-1</f>
        <v>25</v>
      </c>
      <c r="E9" s="152">
        <v>85000.0</v>
      </c>
      <c r="F9" s="152">
        <f>E9/31*D9-1150</f>
        <v>67398.3871</v>
      </c>
      <c r="G9" s="166">
        <f>F9-20000</f>
        <v>47398.3871</v>
      </c>
      <c r="H9" s="154" t="s">
        <v>21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4.75" customHeight="1">
      <c r="A10" s="148" t="s">
        <v>25</v>
      </c>
      <c r="B10" s="149" t="s">
        <v>28</v>
      </c>
      <c r="C10" s="150">
        <v>45792.0</v>
      </c>
      <c r="D10" s="151">
        <v>31.0</v>
      </c>
      <c r="E10" s="152">
        <v>50000.0</v>
      </c>
      <c r="F10" s="152">
        <f>E10/31*D10-1050</f>
        <v>48950</v>
      </c>
      <c r="G10" s="213">
        <f>F10-20000-1000-10000-17950</f>
        <v>0</v>
      </c>
      <c r="H10" s="154" t="s">
        <v>32</v>
      </c>
      <c r="I10" s="5"/>
      <c r="J10" s="5"/>
      <c r="K10" s="51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4.75" customHeight="1">
      <c r="A11" s="148" t="s">
        <v>27</v>
      </c>
      <c r="B11" s="159" t="s">
        <v>120</v>
      </c>
      <c r="C11" s="150">
        <v>45710.0</v>
      </c>
      <c r="D11" s="151">
        <f>31-4+2</f>
        <v>29</v>
      </c>
      <c r="E11" s="152">
        <v>50000.0</v>
      </c>
      <c r="F11" s="152">
        <f>E11/31*D11-700</f>
        <v>46074.19355</v>
      </c>
      <c r="G11" s="214">
        <f>F11-20000-20000-6074</f>
        <v>0.1935483871</v>
      </c>
      <c r="H11" s="154" t="s">
        <v>40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4.75" customHeight="1">
      <c r="A12" s="148" t="s">
        <v>30</v>
      </c>
      <c r="B12" s="161" t="s">
        <v>33</v>
      </c>
      <c r="C12" s="150">
        <v>45871.0</v>
      </c>
      <c r="D12" s="151">
        <v>31.0</v>
      </c>
      <c r="E12" s="162">
        <v>50000.0</v>
      </c>
      <c r="F12" s="152">
        <f>E12/31*D12-1150</f>
        <v>48850</v>
      </c>
      <c r="G12" s="213">
        <f>F12-20000-10000-18850</f>
        <v>0</v>
      </c>
      <c r="H12" s="154" t="s">
        <v>32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4.75" customHeight="1">
      <c r="A13" s="148" t="s">
        <v>34</v>
      </c>
      <c r="B13" s="149" t="s">
        <v>81</v>
      </c>
      <c r="C13" s="163">
        <v>45783.0</v>
      </c>
      <c r="D13" s="151">
        <f>31-2+2</f>
        <v>31</v>
      </c>
      <c r="E13" s="152">
        <v>40000.0</v>
      </c>
      <c r="F13" s="152">
        <f>E13/31*D13</f>
        <v>40000</v>
      </c>
      <c r="G13" s="213">
        <f>F13-20000-20000</f>
        <v>0</v>
      </c>
      <c r="H13" s="154" t="s">
        <v>40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4.75" customHeight="1">
      <c r="A14" s="148" t="s">
        <v>37</v>
      </c>
      <c r="B14" s="161" t="s">
        <v>121</v>
      </c>
      <c r="C14" s="150">
        <v>45890.0</v>
      </c>
      <c r="D14" s="151">
        <f>31-1-1</f>
        <v>29</v>
      </c>
      <c r="E14" s="162">
        <v>30000.0</v>
      </c>
      <c r="F14" s="152">
        <f>E14/31*D14-600</f>
        <v>27464.51613</v>
      </c>
      <c r="G14" s="213">
        <f>F14-27465</f>
        <v>-0.4838709677</v>
      </c>
      <c r="H14" s="164" t="s">
        <v>36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4.75" customHeight="1">
      <c r="A15" s="148" t="s">
        <v>41</v>
      </c>
      <c r="B15" s="161" t="s">
        <v>31</v>
      </c>
      <c r="C15" s="150">
        <v>45871.0</v>
      </c>
      <c r="D15" s="151">
        <f>31-2+2-1</f>
        <v>30</v>
      </c>
      <c r="E15" s="162">
        <v>30000.0</v>
      </c>
      <c r="F15" s="152">
        <f>E15/31*D15</f>
        <v>29032.25806</v>
      </c>
      <c r="G15" s="213">
        <f>F15-29032</f>
        <v>0.2580645161</v>
      </c>
      <c r="H15" s="154" t="s">
        <v>32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4.75" customHeight="1">
      <c r="A16" s="148" t="s">
        <v>44</v>
      </c>
      <c r="B16" s="161" t="s">
        <v>122</v>
      </c>
      <c r="C16" s="163">
        <v>45859.0</v>
      </c>
      <c r="D16" s="151">
        <v>31.0</v>
      </c>
      <c r="E16" s="152">
        <v>25000.0</v>
      </c>
      <c r="F16" s="152">
        <f>E16/31*D16-1050</f>
        <v>23950</v>
      </c>
      <c r="G16" s="157">
        <f>F16-3000-20950</f>
        <v>0</v>
      </c>
      <c r="H16" s="154" t="s">
        <v>43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4.75" customHeight="1">
      <c r="A17" s="148" t="s">
        <v>47</v>
      </c>
      <c r="B17" s="161" t="s">
        <v>163</v>
      </c>
      <c r="C17" s="150">
        <v>45879.0</v>
      </c>
      <c r="D17" s="151">
        <v>31.0</v>
      </c>
      <c r="E17" s="162">
        <v>25000.0</v>
      </c>
      <c r="F17" s="152">
        <f>E17/31*D17-1000</f>
        <v>24000</v>
      </c>
      <c r="G17" s="157">
        <f>F17-5000-19000</f>
        <v>0</v>
      </c>
      <c r="H17" s="164" t="s">
        <v>36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4.75" customHeight="1">
      <c r="A18" s="148" t="s">
        <v>49</v>
      </c>
      <c r="B18" s="161" t="s">
        <v>35</v>
      </c>
      <c r="C18" s="150">
        <v>45886.0</v>
      </c>
      <c r="D18" s="151">
        <f>31-2+2</f>
        <v>31</v>
      </c>
      <c r="E18" s="162">
        <v>25000.0</v>
      </c>
      <c r="F18" s="152">
        <f t="shared" ref="F18:F19" si="1">E18/31*D18-1150</f>
        <v>23850</v>
      </c>
      <c r="G18" s="213">
        <f>F18-23850</f>
        <v>0</v>
      </c>
      <c r="H18" s="164" t="s">
        <v>36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4.75" customHeight="1">
      <c r="A19" s="148" t="s">
        <v>51</v>
      </c>
      <c r="B19" s="149" t="s">
        <v>123</v>
      </c>
      <c r="C19" s="163">
        <v>45840.0</v>
      </c>
      <c r="D19" s="151">
        <v>31.0</v>
      </c>
      <c r="E19" s="152">
        <v>22000.0</v>
      </c>
      <c r="F19" s="152">
        <f t="shared" si="1"/>
        <v>20850</v>
      </c>
      <c r="G19" s="153">
        <f>F19-5850-15000</f>
        <v>0</v>
      </c>
      <c r="H19" s="154" t="s">
        <v>43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4.75" customHeight="1">
      <c r="A20" s="148" t="s">
        <v>53</v>
      </c>
      <c r="B20" s="159" t="s">
        <v>38</v>
      </c>
      <c r="C20" s="163">
        <v>45787.0</v>
      </c>
      <c r="D20" s="151">
        <f>31-3+3-1</f>
        <v>30</v>
      </c>
      <c r="E20" s="152">
        <v>20000.0</v>
      </c>
      <c r="F20" s="152">
        <f>E20/31*D20-950</f>
        <v>18404.83871</v>
      </c>
      <c r="G20" s="157">
        <f>F20-1000-17405</f>
        <v>-0.1612903226</v>
      </c>
      <c r="H20" s="154" t="s">
        <v>43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4.75" customHeight="1">
      <c r="A21" s="148" t="s">
        <v>55</v>
      </c>
      <c r="B21" s="159" t="s">
        <v>42</v>
      </c>
      <c r="C21" s="163">
        <v>45823.0</v>
      </c>
      <c r="D21" s="151">
        <f>31-1+1-1+1</f>
        <v>31</v>
      </c>
      <c r="E21" s="152">
        <v>20000.0</v>
      </c>
      <c r="F21" s="152">
        <f t="shared" ref="F21:F22" si="2">E21/31*D21-1150</f>
        <v>18850</v>
      </c>
      <c r="G21" s="157">
        <f>F21-1000-5000-1000-2000-9850</f>
        <v>0</v>
      </c>
      <c r="H21" s="154" t="s">
        <v>43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4.75" customHeight="1">
      <c r="A22" s="148" t="s">
        <v>60</v>
      </c>
      <c r="B22" s="161" t="s">
        <v>170</v>
      </c>
      <c r="C22" s="150">
        <v>45871.0</v>
      </c>
      <c r="D22" s="151">
        <f>31-1-2</f>
        <v>28</v>
      </c>
      <c r="E22" s="162">
        <v>20000.0</v>
      </c>
      <c r="F22" s="152">
        <f t="shared" si="2"/>
        <v>16914.51613</v>
      </c>
      <c r="G22" s="213">
        <f>F22-16915</f>
        <v>-0.4838709677</v>
      </c>
      <c r="H22" s="164" t="s">
        <v>36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4.75" customHeight="1">
      <c r="A23" s="148" t="s">
        <v>65</v>
      </c>
      <c r="B23" s="149" t="s">
        <v>124</v>
      </c>
      <c r="C23" s="150">
        <v>45879.0</v>
      </c>
      <c r="D23" s="151">
        <f>31-4-1</f>
        <v>26</v>
      </c>
      <c r="E23" s="162">
        <v>20000.0</v>
      </c>
      <c r="F23" s="152">
        <f>E23/31*D23-550</f>
        <v>16224.19355</v>
      </c>
      <c r="G23" s="157">
        <f>F23-2000-1000-13224</f>
        <v>0.1935483871</v>
      </c>
      <c r="H23" s="154" t="s">
        <v>43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4.75" customHeight="1">
      <c r="A24" s="148" t="s">
        <v>68</v>
      </c>
      <c r="B24" s="215" t="s">
        <v>171</v>
      </c>
      <c r="C24" s="150">
        <v>45901.0</v>
      </c>
      <c r="D24" s="151">
        <f>5+5</f>
        <v>10</v>
      </c>
      <c r="E24" s="162">
        <v>20000.0</v>
      </c>
      <c r="F24" s="152">
        <f>E24/31*D24</f>
        <v>6451.612903</v>
      </c>
      <c r="G24" s="166">
        <f>F24</f>
        <v>6451.612903</v>
      </c>
      <c r="H24" s="164" t="s">
        <v>36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4.75" customHeight="1">
      <c r="A25" s="148" t="s">
        <v>57</v>
      </c>
      <c r="B25" s="215" t="s">
        <v>126</v>
      </c>
      <c r="C25" s="150">
        <v>45901.0</v>
      </c>
      <c r="D25" s="151">
        <f>31-5-1</f>
        <v>25</v>
      </c>
      <c r="E25" s="162">
        <v>20000.0</v>
      </c>
      <c r="F25" s="152">
        <f>E25/31*D25-750</f>
        <v>15379.03226</v>
      </c>
      <c r="G25" s="214">
        <f>F25-5000-10379</f>
        <v>0.03225806452</v>
      </c>
      <c r="H25" s="154" t="s">
        <v>43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4.75" customHeight="1">
      <c r="A26" s="148" t="s">
        <v>62</v>
      </c>
      <c r="B26" s="161" t="s">
        <v>87</v>
      </c>
      <c r="C26" s="150">
        <v>45934.0</v>
      </c>
      <c r="D26" s="187">
        <v>31.0</v>
      </c>
      <c r="E26" s="162">
        <v>20000.0</v>
      </c>
      <c r="F26" s="152">
        <f>E26/31*D26-250</f>
        <v>19750</v>
      </c>
      <c r="G26" s="213">
        <f>F26-19750</f>
        <v>0</v>
      </c>
      <c r="H26" s="154" t="s">
        <v>43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4.75" customHeight="1">
      <c r="A27" s="148" t="s">
        <v>64</v>
      </c>
      <c r="B27" s="149" t="s">
        <v>125</v>
      </c>
      <c r="C27" s="150">
        <v>45943.0</v>
      </c>
      <c r="D27" s="187">
        <f>31-3</f>
        <v>28</v>
      </c>
      <c r="E27" s="162">
        <v>20000.0</v>
      </c>
      <c r="F27" s="152">
        <f>E27/31*D27-950</f>
        <v>17114.51613</v>
      </c>
      <c r="G27" s="213">
        <f>F27-17115</f>
        <v>-0.4838709677</v>
      </c>
      <c r="H27" s="154" t="s">
        <v>43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4.75" customHeight="1">
      <c r="A28" s="148" t="s">
        <v>70</v>
      </c>
      <c r="B28" s="161" t="s">
        <v>172</v>
      </c>
      <c r="C28" s="163">
        <v>45859.0</v>
      </c>
      <c r="D28" s="151">
        <v>20.0</v>
      </c>
      <c r="E28" s="152">
        <v>18000.0</v>
      </c>
      <c r="F28" s="152">
        <f>E28/31*D28-600</f>
        <v>11012.90323</v>
      </c>
      <c r="G28" s="166">
        <f t="shared" ref="G28:G29" si="3">F28</f>
        <v>11012.90323</v>
      </c>
      <c r="H28" s="154" t="s">
        <v>43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4.75" customHeight="1">
      <c r="A29" s="148" t="s">
        <v>72</v>
      </c>
      <c r="B29" s="149" t="s">
        <v>173</v>
      </c>
      <c r="C29" s="150">
        <v>45973.0</v>
      </c>
      <c r="D29" s="187">
        <v>6.0</v>
      </c>
      <c r="E29" s="162">
        <v>20000.0</v>
      </c>
      <c r="F29" s="152">
        <f>E29/31*D29-300</f>
        <v>3570.967742</v>
      </c>
      <c r="G29" s="166">
        <f t="shared" si="3"/>
        <v>3570.967742</v>
      </c>
      <c r="H29" s="154" t="s">
        <v>43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4.75" customHeight="1">
      <c r="A30" s="148" t="s">
        <v>75</v>
      </c>
      <c r="B30" s="149" t="s">
        <v>174</v>
      </c>
      <c r="C30" s="150">
        <v>45971.0</v>
      </c>
      <c r="D30" s="187">
        <f>31-4</f>
        <v>27</v>
      </c>
      <c r="E30" s="162">
        <v>20000.0</v>
      </c>
      <c r="F30" s="152">
        <f>E30/31*D30-950</f>
        <v>16469.35484</v>
      </c>
      <c r="G30" s="166">
        <f>F30-1000</f>
        <v>15469.35484</v>
      </c>
      <c r="H30" s="154" t="s">
        <v>43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4.75" customHeight="1">
      <c r="A31" s="148" t="s">
        <v>89</v>
      </c>
      <c r="B31" s="149" t="s">
        <v>127</v>
      </c>
      <c r="C31" s="150">
        <v>45971.0</v>
      </c>
      <c r="D31" s="187">
        <f>31-1</f>
        <v>30</v>
      </c>
      <c r="E31" s="162">
        <v>20000.0</v>
      </c>
      <c r="F31" s="152">
        <f>E31/31*D31-1200</f>
        <v>18154.83871</v>
      </c>
      <c r="G31" s="213">
        <f>F31-18155</f>
        <v>-0.1612903226</v>
      </c>
      <c r="H31" s="154" t="s">
        <v>43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24.75" customHeight="1">
      <c r="A32" s="148" t="s">
        <v>91</v>
      </c>
      <c r="B32" s="149" t="s">
        <v>175</v>
      </c>
      <c r="C32" s="150">
        <v>45971.0</v>
      </c>
      <c r="D32" s="187">
        <f>31-2</f>
        <v>29</v>
      </c>
      <c r="E32" s="162">
        <v>40000.0</v>
      </c>
      <c r="F32" s="152">
        <f>E32/31*D32</f>
        <v>37419.35484</v>
      </c>
      <c r="G32" s="213">
        <f>F32-17000-20419</f>
        <v>0.3548387097</v>
      </c>
      <c r="H32" s="154" t="s">
        <v>129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24.75" customHeight="1">
      <c r="A33" s="148" t="s">
        <v>93</v>
      </c>
      <c r="B33" s="149" t="s">
        <v>176</v>
      </c>
      <c r="C33" s="150">
        <v>45972.0</v>
      </c>
      <c r="D33" s="187">
        <f>31-1+1</f>
        <v>31</v>
      </c>
      <c r="E33" s="162">
        <v>35000.0</v>
      </c>
      <c r="F33" s="152">
        <f>E33/31*D33-1150</f>
        <v>33850</v>
      </c>
      <c r="G33" s="157">
        <f>F33-20000-2000-10000-1850</f>
        <v>0</v>
      </c>
      <c r="H33" s="154" t="s">
        <v>40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24.75" customHeight="1">
      <c r="A34" s="148" t="s">
        <v>97</v>
      </c>
      <c r="B34" s="149" t="s">
        <v>50</v>
      </c>
      <c r="C34" s="150">
        <v>45972.0</v>
      </c>
      <c r="D34" s="187">
        <f>31-3</f>
        <v>28</v>
      </c>
      <c r="E34" s="162">
        <v>20000.0</v>
      </c>
      <c r="F34" s="152">
        <f>E34/31*D34-1050</f>
        <v>17014.51613</v>
      </c>
      <c r="G34" s="157">
        <f>F34-2000-2000-13015</f>
        <v>-0.4838709677</v>
      </c>
      <c r="H34" s="154" t="s">
        <v>43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24.75" customHeight="1">
      <c r="A35" s="148" t="s">
        <v>99</v>
      </c>
      <c r="B35" s="149" t="s">
        <v>177</v>
      </c>
      <c r="C35" s="150">
        <v>45973.0</v>
      </c>
      <c r="D35" s="187">
        <v>16.0</v>
      </c>
      <c r="E35" s="162">
        <v>25000.0</v>
      </c>
      <c r="F35" s="152">
        <f>E35/31*D35</f>
        <v>12903.22581</v>
      </c>
      <c r="G35" s="166">
        <f>F35</f>
        <v>12903.22581</v>
      </c>
      <c r="H35" s="164" t="s">
        <v>36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24.75" customHeight="1">
      <c r="A36" s="148" t="s">
        <v>100</v>
      </c>
      <c r="B36" s="169" t="s">
        <v>52</v>
      </c>
      <c r="C36" s="206">
        <v>45997.0</v>
      </c>
      <c r="D36" s="151">
        <v>26.0</v>
      </c>
      <c r="E36" s="172">
        <v>20000.0</v>
      </c>
      <c r="F36" s="152">
        <f>E36/31*D36-950</f>
        <v>15824.19355</v>
      </c>
      <c r="G36" s="153">
        <f>F36-15824</f>
        <v>0.1935483871</v>
      </c>
      <c r="H36" s="154" t="s">
        <v>43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4.75" customHeight="1">
      <c r="A37" s="148" t="s">
        <v>101</v>
      </c>
      <c r="B37" s="169" t="s">
        <v>130</v>
      </c>
      <c r="C37" s="206">
        <v>46011.0</v>
      </c>
      <c r="D37" s="151">
        <v>10.0</v>
      </c>
      <c r="E37" s="172">
        <v>20000.0</v>
      </c>
      <c r="F37" s="152">
        <f>E37/31*D37-150</f>
        <v>6301.612903</v>
      </c>
      <c r="G37" s="153">
        <f>F37-6302</f>
        <v>-0.3870967742</v>
      </c>
      <c r="H37" s="154" t="s">
        <v>43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24.75" customHeight="1">
      <c r="A38" s="154"/>
      <c r="B38" s="149"/>
      <c r="C38" s="163"/>
      <c r="D38" s="187"/>
      <c r="E38" s="162"/>
      <c r="F38" s="152"/>
      <c r="G38" s="153"/>
      <c r="H38" s="164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4.75" customHeight="1">
      <c r="A39" s="154"/>
      <c r="B39" s="216" t="s">
        <v>23</v>
      </c>
      <c r="C39" s="217"/>
      <c r="D39" s="218">
        <v>31.0</v>
      </c>
      <c r="E39" s="219">
        <v>75000.0</v>
      </c>
      <c r="F39" s="152">
        <f>E39/31*D39</f>
        <v>75000</v>
      </c>
      <c r="G39" s="153">
        <f>F39-10000-20000-45000</f>
        <v>0</v>
      </c>
      <c r="H39" s="164" t="s">
        <v>24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4.75" customHeight="1">
      <c r="A40" s="211"/>
      <c r="B40" s="161" t="s">
        <v>166</v>
      </c>
      <c r="C40" s="163"/>
      <c r="D40" s="151"/>
      <c r="E40" s="212">
        <v>44000.0</v>
      </c>
      <c r="F40" s="212">
        <v>44000.0</v>
      </c>
      <c r="G40" s="213"/>
      <c r="H40" s="154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24.75" customHeight="1">
      <c r="A41" s="189" t="s">
        <v>78</v>
      </c>
      <c r="B41" s="190"/>
      <c r="C41" s="191"/>
      <c r="D41" s="191"/>
      <c r="E41" s="152">
        <f t="shared" ref="E41:G41" si="4">SUM(E7:E40)</f>
        <v>1224000</v>
      </c>
      <c r="F41" s="152">
        <f t="shared" si="4"/>
        <v>1094779.032</v>
      </c>
      <c r="G41" s="152">
        <f t="shared" si="4"/>
        <v>196805.0323</v>
      </c>
      <c r="H41" s="154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120"/>
      <c r="B42" s="120"/>
      <c r="C42" s="121"/>
      <c r="D42" s="121"/>
      <c r="E42" s="122"/>
      <c r="F42" s="122"/>
      <c r="G42" s="123"/>
      <c r="H42" s="11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120"/>
      <c r="B43" s="120"/>
      <c r="C43" s="121"/>
      <c r="D43" s="121"/>
      <c r="E43" s="122"/>
      <c r="F43" s="122"/>
      <c r="G43" s="123"/>
      <c r="H43" s="11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120"/>
      <c r="B44" s="120"/>
      <c r="C44" s="121"/>
      <c r="D44" s="121"/>
      <c r="E44" s="122"/>
      <c r="F44" s="122"/>
      <c r="G44" s="123"/>
      <c r="H44" s="11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120"/>
      <c r="B45" s="120"/>
      <c r="C45" s="121"/>
      <c r="D45" s="121"/>
      <c r="E45" s="122"/>
      <c r="F45" s="122"/>
      <c r="G45" s="123"/>
      <c r="H45" s="11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120"/>
      <c r="B46" s="120"/>
      <c r="C46" s="121"/>
      <c r="D46" s="121"/>
      <c r="E46" s="122"/>
      <c r="F46" s="122"/>
      <c r="G46" s="123"/>
      <c r="H46" s="11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120"/>
      <c r="B47" s="120"/>
      <c r="C47" s="121"/>
      <c r="D47" s="121"/>
      <c r="E47" s="122"/>
      <c r="F47" s="122"/>
      <c r="G47" s="123"/>
      <c r="H47" s="11"/>
      <c r="I47" s="5"/>
      <c r="J47" s="5"/>
      <c r="K47" s="5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6.5" customHeight="1">
      <c r="A48" s="120"/>
      <c r="B48" s="120"/>
      <c r="C48" s="121"/>
      <c r="D48" s="121"/>
      <c r="E48" s="122"/>
      <c r="F48" s="122"/>
      <c r="G48" s="123"/>
      <c r="H48" s="11"/>
      <c r="I48" s="5"/>
      <c r="J48" s="5"/>
      <c r="K48" s="5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6.5" customHeight="1">
      <c r="A49" s="120"/>
      <c r="B49" s="120"/>
      <c r="C49" s="121"/>
      <c r="D49" s="121"/>
      <c r="E49" s="122"/>
      <c r="F49" s="122"/>
      <c r="G49" s="123"/>
      <c r="H49" s="11"/>
      <c r="I49" s="5"/>
      <c r="J49" s="5"/>
      <c r="K49" s="5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6.5" customHeight="1">
      <c r="A50" s="120"/>
      <c r="B50" s="120"/>
      <c r="C50" s="121"/>
      <c r="D50" s="121"/>
      <c r="E50" s="122"/>
      <c r="F50" s="122"/>
      <c r="G50" s="123"/>
      <c r="H50" s="11"/>
      <c r="I50" s="5"/>
      <c r="J50" s="5"/>
      <c r="K50" s="5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6.5" customHeight="1">
      <c r="A51" s="120"/>
      <c r="B51" s="120"/>
      <c r="C51" s="121"/>
      <c r="D51" s="121"/>
      <c r="E51" s="122"/>
      <c r="F51" s="122"/>
      <c r="G51" s="123"/>
      <c r="H51" s="11"/>
      <c r="I51" s="5"/>
      <c r="J51" s="5"/>
      <c r="K51" s="5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6.5" customHeight="1">
      <c r="A52" s="7"/>
      <c r="B52" s="7"/>
      <c r="C52" s="5"/>
      <c r="D52" s="5"/>
      <c r="E52" s="9"/>
      <c r="F52" s="9"/>
      <c r="G52" s="10"/>
      <c r="H52" s="11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7"/>
      <c r="B53" s="7"/>
      <c r="C53" s="5"/>
      <c r="D53" s="5"/>
      <c r="E53" s="9"/>
      <c r="F53" s="9"/>
      <c r="G53" s="10"/>
      <c r="H53" s="11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7"/>
      <c r="B54" s="7"/>
      <c r="C54" s="5"/>
      <c r="D54" s="5"/>
      <c r="E54" s="9"/>
      <c r="F54" s="9"/>
      <c r="G54" s="10"/>
      <c r="H54" s="11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7"/>
      <c r="B55" s="7"/>
      <c r="C55" s="5"/>
      <c r="D55" s="5"/>
      <c r="E55" s="9"/>
      <c r="F55" s="9"/>
      <c r="G55" s="10"/>
      <c r="H55" s="11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6.5" customHeight="1">
      <c r="A56" s="7"/>
      <c r="B56" s="7"/>
      <c r="C56" s="5"/>
      <c r="D56" s="5"/>
      <c r="E56" s="9"/>
      <c r="F56" s="9"/>
      <c r="G56" s="10"/>
      <c r="H56" s="11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6.5" customHeight="1">
      <c r="A57" s="7"/>
      <c r="B57" s="7"/>
      <c r="C57" s="5"/>
      <c r="D57" s="5"/>
      <c r="E57" s="9"/>
      <c r="F57" s="9"/>
      <c r="G57" s="10"/>
      <c r="H57" s="11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7"/>
      <c r="B58" s="7"/>
      <c r="C58" s="5"/>
      <c r="D58" s="5"/>
      <c r="E58" s="9"/>
      <c r="F58" s="9"/>
      <c r="G58" s="10"/>
      <c r="H58" s="11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7"/>
      <c r="B59" s="7"/>
      <c r="C59" s="5"/>
      <c r="D59" s="5"/>
      <c r="E59" s="9"/>
      <c r="F59" s="9"/>
      <c r="G59" s="10"/>
      <c r="H59" s="11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7"/>
      <c r="B60" s="7"/>
      <c r="C60" s="5"/>
      <c r="D60" s="5"/>
      <c r="E60" s="9"/>
      <c r="F60" s="9"/>
      <c r="G60" s="10"/>
      <c r="H60" s="11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7"/>
      <c r="B61" s="7"/>
      <c r="C61" s="5"/>
      <c r="D61" s="5"/>
      <c r="E61" s="9"/>
      <c r="F61" s="9"/>
      <c r="G61" s="10"/>
      <c r="H61" s="11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7"/>
      <c r="B62" s="7"/>
      <c r="C62" s="5"/>
      <c r="D62" s="5"/>
      <c r="E62" s="9"/>
      <c r="F62" s="9"/>
      <c r="G62" s="10"/>
      <c r="H62" s="11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7"/>
      <c r="B63" s="7"/>
      <c r="C63" s="5"/>
      <c r="D63" s="5"/>
      <c r="E63" s="9"/>
      <c r="F63" s="9"/>
      <c r="G63" s="10"/>
      <c r="H63" s="11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7"/>
      <c r="B64" s="7"/>
      <c r="C64" s="5"/>
      <c r="D64" s="5"/>
      <c r="E64" s="9"/>
      <c r="F64" s="9"/>
      <c r="G64" s="10"/>
      <c r="H64" s="11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7"/>
      <c r="B65" s="7"/>
      <c r="C65" s="5"/>
      <c r="D65" s="5"/>
      <c r="E65" s="9"/>
      <c r="F65" s="9"/>
      <c r="G65" s="10"/>
      <c r="H65" s="11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7"/>
      <c r="B66" s="7"/>
      <c r="C66" s="5"/>
      <c r="D66" s="5"/>
      <c r="E66" s="9"/>
      <c r="F66" s="9"/>
      <c r="G66" s="10"/>
      <c r="H66" s="11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7"/>
      <c r="B67" s="7"/>
      <c r="C67" s="5"/>
      <c r="D67" s="5"/>
      <c r="E67" s="9"/>
      <c r="F67" s="9"/>
      <c r="G67" s="10"/>
      <c r="H67" s="11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7"/>
      <c r="B68" s="7"/>
      <c r="C68" s="5"/>
      <c r="D68" s="5"/>
      <c r="E68" s="9"/>
      <c r="F68" s="9"/>
      <c r="G68" s="10"/>
      <c r="H68" s="11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7"/>
      <c r="B69" s="7"/>
      <c r="C69" s="5"/>
      <c r="D69" s="5"/>
      <c r="E69" s="9"/>
      <c r="F69" s="9"/>
      <c r="G69" s="10"/>
      <c r="H69" s="11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7"/>
      <c r="B70" s="7"/>
      <c r="C70" s="5"/>
      <c r="D70" s="5"/>
      <c r="E70" s="9"/>
      <c r="F70" s="9"/>
      <c r="G70" s="10"/>
      <c r="H70" s="11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7"/>
      <c r="B71" s="7"/>
      <c r="C71" s="5"/>
      <c r="D71" s="5"/>
      <c r="E71" s="9"/>
      <c r="F71" s="9"/>
      <c r="G71" s="10"/>
      <c r="H71" s="11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7"/>
      <c r="B72" s="7"/>
      <c r="C72" s="5"/>
      <c r="D72" s="5"/>
      <c r="E72" s="9"/>
      <c r="F72" s="9"/>
      <c r="G72" s="10"/>
      <c r="H72" s="11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7"/>
      <c r="B73" s="7"/>
      <c r="C73" s="5"/>
      <c r="D73" s="5"/>
      <c r="E73" s="9"/>
      <c r="F73" s="9"/>
      <c r="G73" s="10"/>
      <c r="H73" s="11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7"/>
      <c r="B74" s="7"/>
      <c r="C74" s="5"/>
      <c r="D74" s="5"/>
      <c r="E74" s="9"/>
      <c r="F74" s="9"/>
      <c r="G74" s="10"/>
      <c r="H74" s="11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7"/>
      <c r="B75" s="7"/>
      <c r="C75" s="5"/>
      <c r="D75" s="5"/>
      <c r="E75" s="9"/>
      <c r="F75" s="9"/>
      <c r="G75" s="10"/>
      <c r="H75" s="11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7"/>
      <c r="B76" s="7"/>
      <c r="C76" s="5"/>
      <c r="D76" s="5"/>
      <c r="E76" s="9"/>
      <c r="F76" s="9"/>
      <c r="G76" s="10"/>
      <c r="H76" s="11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7"/>
      <c r="B77" s="7"/>
      <c r="C77" s="5"/>
      <c r="D77" s="5"/>
      <c r="E77" s="9"/>
      <c r="F77" s="9"/>
      <c r="G77" s="10"/>
      <c r="H77" s="11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7"/>
      <c r="B78" s="7"/>
      <c r="C78" s="5"/>
      <c r="D78" s="5"/>
      <c r="E78" s="9"/>
      <c r="F78" s="9"/>
      <c r="G78" s="10"/>
      <c r="H78" s="11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7"/>
      <c r="B79" s="7"/>
      <c r="C79" s="5"/>
      <c r="D79" s="5"/>
      <c r="E79" s="9"/>
      <c r="F79" s="9"/>
      <c r="G79" s="10"/>
      <c r="H79" s="11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7"/>
      <c r="B80" s="7"/>
      <c r="C80" s="5"/>
      <c r="D80" s="5"/>
      <c r="E80" s="9"/>
      <c r="F80" s="9"/>
      <c r="G80" s="10"/>
      <c r="H80" s="11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7"/>
      <c r="B81" s="7"/>
      <c r="C81" s="5"/>
      <c r="D81" s="5"/>
      <c r="E81" s="9"/>
      <c r="F81" s="9"/>
      <c r="G81" s="10"/>
      <c r="H81" s="11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7"/>
      <c r="B82" s="7"/>
      <c r="C82" s="5"/>
      <c r="D82" s="5"/>
      <c r="E82" s="9"/>
      <c r="F82" s="9"/>
      <c r="G82" s="10"/>
      <c r="H82" s="11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7"/>
      <c r="B83" s="7"/>
      <c r="C83" s="5"/>
      <c r="D83" s="5"/>
      <c r="E83" s="9"/>
      <c r="F83" s="9"/>
      <c r="G83" s="10"/>
      <c r="H83" s="11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7"/>
      <c r="B84" s="7"/>
      <c r="C84" s="5"/>
      <c r="D84" s="5"/>
      <c r="E84" s="9"/>
      <c r="F84" s="9"/>
      <c r="G84" s="10"/>
      <c r="H84" s="11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7"/>
      <c r="B85" s="7"/>
      <c r="C85" s="5"/>
      <c r="D85" s="5"/>
      <c r="E85" s="9"/>
      <c r="F85" s="9"/>
      <c r="G85" s="10"/>
      <c r="H85" s="11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7"/>
      <c r="B86" s="7"/>
      <c r="C86" s="5"/>
      <c r="D86" s="5"/>
      <c r="E86" s="9"/>
      <c r="F86" s="9"/>
      <c r="G86" s="10"/>
      <c r="H86" s="11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7"/>
      <c r="B87" s="7"/>
      <c r="C87" s="5"/>
      <c r="D87" s="5"/>
      <c r="E87" s="9"/>
      <c r="F87" s="9"/>
      <c r="G87" s="10"/>
      <c r="H87" s="11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7"/>
      <c r="B88" s="7"/>
      <c r="C88" s="5"/>
      <c r="D88" s="5"/>
      <c r="E88" s="9"/>
      <c r="F88" s="9"/>
      <c r="G88" s="10"/>
      <c r="H88" s="11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7"/>
      <c r="B89" s="7"/>
      <c r="C89" s="5"/>
      <c r="D89" s="5"/>
      <c r="E89" s="9"/>
      <c r="F89" s="9"/>
      <c r="G89" s="10"/>
      <c r="H89" s="11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7"/>
      <c r="B90" s="7"/>
      <c r="C90" s="5"/>
      <c r="D90" s="5"/>
      <c r="E90" s="9"/>
      <c r="F90" s="9"/>
      <c r="G90" s="10"/>
      <c r="H90" s="11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7"/>
      <c r="B91" s="7"/>
      <c r="C91" s="5"/>
      <c r="D91" s="5"/>
      <c r="E91" s="9"/>
      <c r="F91" s="9"/>
      <c r="G91" s="10"/>
      <c r="H91" s="11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7"/>
      <c r="B92" s="7"/>
      <c r="C92" s="5"/>
      <c r="D92" s="5"/>
      <c r="E92" s="9"/>
      <c r="F92" s="9"/>
      <c r="G92" s="10"/>
      <c r="H92" s="11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7"/>
      <c r="B93" s="7"/>
      <c r="C93" s="5"/>
      <c r="D93" s="5"/>
      <c r="E93" s="9"/>
      <c r="F93" s="9"/>
      <c r="G93" s="10"/>
      <c r="H93" s="11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7"/>
      <c r="B94" s="7"/>
      <c r="C94" s="5"/>
      <c r="D94" s="5"/>
      <c r="E94" s="9"/>
      <c r="F94" s="9"/>
      <c r="G94" s="10"/>
      <c r="H94" s="11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7"/>
      <c r="B95" s="7"/>
      <c r="C95" s="5"/>
      <c r="D95" s="5"/>
      <c r="E95" s="9"/>
      <c r="F95" s="9"/>
      <c r="G95" s="10"/>
      <c r="H95" s="11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7"/>
      <c r="B96" s="7"/>
      <c r="C96" s="5"/>
      <c r="D96" s="5"/>
      <c r="E96" s="9"/>
      <c r="F96" s="9"/>
      <c r="G96" s="10"/>
      <c r="H96" s="11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7"/>
      <c r="B97" s="7"/>
      <c r="C97" s="5"/>
      <c r="D97" s="5"/>
      <c r="E97" s="9"/>
      <c r="F97" s="9"/>
      <c r="G97" s="10"/>
      <c r="H97" s="11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7"/>
      <c r="B98" s="7"/>
      <c r="C98" s="5"/>
      <c r="D98" s="5"/>
      <c r="E98" s="9"/>
      <c r="F98" s="9"/>
      <c r="G98" s="10"/>
      <c r="H98" s="11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7"/>
      <c r="B99" s="7"/>
      <c r="C99" s="5"/>
      <c r="D99" s="5"/>
      <c r="E99" s="9"/>
      <c r="F99" s="9"/>
      <c r="G99" s="10"/>
      <c r="H99" s="11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7"/>
      <c r="B100" s="7"/>
      <c r="C100" s="5"/>
      <c r="D100" s="5"/>
      <c r="E100" s="9"/>
      <c r="F100" s="9"/>
      <c r="G100" s="10"/>
      <c r="H100" s="11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7"/>
      <c r="B101" s="7"/>
      <c r="C101" s="5"/>
      <c r="D101" s="5"/>
      <c r="E101" s="9"/>
      <c r="F101" s="9"/>
      <c r="G101" s="10"/>
      <c r="H101" s="11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7"/>
      <c r="B102" s="7"/>
      <c r="C102" s="5"/>
      <c r="D102" s="5"/>
      <c r="E102" s="9"/>
      <c r="F102" s="9"/>
      <c r="G102" s="10"/>
      <c r="H102" s="11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7"/>
      <c r="B103" s="7"/>
      <c r="C103" s="5"/>
      <c r="D103" s="5"/>
      <c r="E103" s="9"/>
      <c r="F103" s="9"/>
      <c r="G103" s="10"/>
      <c r="H103" s="11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7"/>
      <c r="B104" s="7"/>
      <c r="C104" s="5"/>
      <c r="D104" s="5"/>
      <c r="E104" s="9"/>
      <c r="F104" s="9"/>
      <c r="G104" s="10"/>
      <c r="H104" s="11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7"/>
      <c r="B105" s="7"/>
      <c r="C105" s="5"/>
      <c r="D105" s="5"/>
      <c r="E105" s="9"/>
      <c r="F105" s="9"/>
      <c r="G105" s="10"/>
      <c r="H105" s="11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7"/>
      <c r="B106" s="7"/>
      <c r="C106" s="5"/>
      <c r="D106" s="5"/>
      <c r="E106" s="9"/>
      <c r="F106" s="9"/>
      <c r="G106" s="10"/>
      <c r="H106" s="11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7"/>
      <c r="B107" s="7"/>
      <c r="C107" s="5"/>
      <c r="D107" s="5"/>
      <c r="E107" s="9"/>
      <c r="F107" s="9"/>
      <c r="G107" s="10"/>
      <c r="H107" s="11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7"/>
      <c r="B108" s="7"/>
      <c r="C108" s="5"/>
      <c r="D108" s="5"/>
      <c r="E108" s="9"/>
      <c r="F108" s="9"/>
      <c r="G108" s="10"/>
      <c r="H108" s="11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7"/>
      <c r="B109" s="7"/>
      <c r="C109" s="5"/>
      <c r="D109" s="5"/>
      <c r="E109" s="9"/>
      <c r="F109" s="9"/>
      <c r="G109" s="10"/>
      <c r="H109" s="11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7"/>
      <c r="B110" s="7"/>
      <c r="C110" s="5"/>
      <c r="D110" s="5"/>
      <c r="E110" s="9"/>
      <c r="F110" s="9"/>
      <c r="G110" s="10"/>
      <c r="H110" s="11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7"/>
      <c r="B111" s="7"/>
      <c r="C111" s="5"/>
      <c r="D111" s="5"/>
      <c r="E111" s="9"/>
      <c r="F111" s="9"/>
      <c r="G111" s="10"/>
      <c r="H111" s="11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7"/>
      <c r="B112" s="7"/>
      <c r="C112" s="5"/>
      <c r="D112" s="5"/>
      <c r="E112" s="9"/>
      <c r="F112" s="9"/>
      <c r="G112" s="10"/>
      <c r="H112" s="11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7"/>
      <c r="B113" s="7"/>
      <c r="C113" s="5"/>
      <c r="D113" s="5"/>
      <c r="E113" s="9"/>
      <c r="F113" s="9"/>
      <c r="G113" s="10"/>
      <c r="H113" s="11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7"/>
      <c r="B114" s="7"/>
      <c r="C114" s="5"/>
      <c r="D114" s="5"/>
      <c r="E114" s="9"/>
      <c r="F114" s="9"/>
      <c r="G114" s="10"/>
      <c r="H114" s="11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7"/>
      <c r="B115" s="7"/>
      <c r="C115" s="5"/>
      <c r="D115" s="5"/>
      <c r="E115" s="9"/>
      <c r="F115" s="9"/>
      <c r="G115" s="10"/>
      <c r="H115" s="11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7"/>
      <c r="B116" s="7"/>
      <c r="C116" s="5"/>
      <c r="D116" s="5"/>
      <c r="E116" s="9"/>
      <c r="F116" s="9"/>
      <c r="G116" s="10"/>
      <c r="H116" s="11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7"/>
      <c r="B117" s="7"/>
      <c r="C117" s="5"/>
      <c r="D117" s="5"/>
      <c r="E117" s="9"/>
      <c r="F117" s="9"/>
      <c r="G117" s="10"/>
      <c r="H117" s="11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7"/>
      <c r="B118" s="7"/>
      <c r="C118" s="5"/>
      <c r="D118" s="5"/>
      <c r="E118" s="9"/>
      <c r="F118" s="9"/>
      <c r="G118" s="10"/>
      <c r="H118" s="11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7"/>
      <c r="B119" s="7"/>
      <c r="C119" s="5"/>
      <c r="D119" s="5"/>
      <c r="E119" s="9"/>
      <c r="F119" s="9"/>
      <c r="G119" s="10"/>
      <c r="H119" s="11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7"/>
      <c r="B120" s="7"/>
      <c r="C120" s="5"/>
      <c r="D120" s="5"/>
      <c r="E120" s="9"/>
      <c r="F120" s="9"/>
      <c r="G120" s="10"/>
      <c r="H120" s="11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7"/>
      <c r="B121" s="7"/>
      <c r="C121" s="5"/>
      <c r="D121" s="5"/>
      <c r="E121" s="9"/>
      <c r="F121" s="9"/>
      <c r="G121" s="10"/>
      <c r="H121" s="11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7"/>
      <c r="B122" s="7"/>
      <c r="C122" s="5"/>
      <c r="D122" s="5"/>
      <c r="E122" s="9"/>
      <c r="F122" s="9"/>
      <c r="G122" s="10"/>
      <c r="H122" s="11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7"/>
      <c r="B123" s="7"/>
      <c r="C123" s="5"/>
      <c r="D123" s="5"/>
      <c r="E123" s="9"/>
      <c r="F123" s="9"/>
      <c r="G123" s="10"/>
      <c r="H123" s="11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7"/>
      <c r="B124" s="7"/>
      <c r="C124" s="5"/>
      <c r="D124" s="5"/>
      <c r="E124" s="9"/>
      <c r="F124" s="9"/>
      <c r="G124" s="10"/>
      <c r="H124" s="11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7"/>
      <c r="B125" s="7"/>
      <c r="C125" s="5"/>
      <c r="D125" s="5"/>
      <c r="E125" s="9"/>
      <c r="F125" s="9"/>
      <c r="G125" s="10"/>
      <c r="H125" s="11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7"/>
      <c r="B126" s="7"/>
      <c r="C126" s="5"/>
      <c r="D126" s="5"/>
      <c r="E126" s="9"/>
      <c r="F126" s="9"/>
      <c r="G126" s="10"/>
      <c r="H126" s="11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7"/>
      <c r="B127" s="7"/>
      <c r="C127" s="5"/>
      <c r="D127" s="5"/>
      <c r="E127" s="9"/>
      <c r="F127" s="9"/>
      <c r="G127" s="10"/>
      <c r="H127" s="11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7"/>
      <c r="B128" s="7"/>
      <c r="C128" s="5"/>
      <c r="D128" s="5"/>
      <c r="E128" s="9"/>
      <c r="F128" s="9"/>
      <c r="G128" s="10"/>
      <c r="H128" s="11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7"/>
      <c r="B129" s="7"/>
      <c r="C129" s="5"/>
      <c r="D129" s="5"/>
      <c r="E129" s="9"/>
      <c r="F129" s="9"/>
      <c r="G129" s="10"/>
      <c r="H129" s="11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7"/>
      <c r="B130" s="7"/>
      <c r="C130" s="5"/>
      <c r="D130" s="5"/>
      <c r="E130" s="9"/>
      <c r="F130" s="9"/>
      <c r="G130" s="10"/>
      <c r="H130" s="11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7"/>
      <c r="B131" s="7"/>
      <c r="C131" s="5"/>
      <c r="D131" s="5"/>
      <c r="E131" s="9"/>
      <c r="F131" s="9"/>
      <c r="G131" s="10"/>
      <c r="H131" s="11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7"/>
      <c r="B132" s="7"/>
      <c r="C132" s="5"/>
      <c r="D132" s="5"/>
      <c r="E132" s="9"/>
      <c r="F132" s="9"/>
      <c r="G132" s="10"/>
      <c r="H132" s="11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7"/>
      <c r="B133" s="7"/>
      <c r="C133" s="5"/>
      <c r="D133" s="5"/>
      <c r="E133" s="9"/>
      <c r="F133" s="9"/>
      <c r="G133" s="10"/>
      <c r="H133" s="11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7"/>
      <c r="B134" s="7"/>
      <c r="C134" s="5"/>
      <c r="D134" s="5"/>
      <c r="E134" s="9"/>
      <c r="F134" s="9"/>
      <c r="G134" s="10"/>
      <c r="H134" s="11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7"/>
      <c r="B135" s="7"/>
      <c r="C135" s="5"/>
      <c r="D135" s="5"/>
      <c r="E135" s="9"/>
      <c r="F135" s="9"/>
      <c r="G135" s="10"/>
      <c r="H135" s="11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7"/>
      <c r="B136" s="7"/>
      <c r="C136" s="5"/>
      <c r="D136" s="5"/>
      <c r="E136" s="9"/>
      <c r="F136" s="9"/>
      <c r="G136" s="10"/>
      <c r="H136" s="11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7"/>
      <c r="B137" s="7"/>
      <c r="C137" s="5"/>
      <c r="D137" s="5"/>
      <c r="E137" s="9"/>
      <c r="F137" s="9"/>
      <c r="G137" s="10"/>
      <c r="H137" s="11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7"/>
      <c r="B138" s="7"/>
      <c r="C138" s="5"/>
      <c r="D138" s="5"/>
      <c r="E138" s="9"/>
      <c r="F138" s="9"/>
      <c r="G138" s="10"/>
      <c r="H138" s="11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7"/>
      <c r="B139" s="7"/>
      <c r="C139" s="5"/>
      <c r="D139" s="5"/>
      <c r="E139" s="9"/>
      <c r="F139" s="9"/>
      <c r="G139" s="10"/>
      <c r="H139" s="11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7"/>
      <c r="B140" s="7"/>
      <c r="C140" s="5"/>
      <c r="D140" s="5"/>
      <c r="E140" s="9"/>
      <c r="F140" s="9"/>
      <c r="G140" s="10"/>
      <c r="H140" s="11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7"/>
      <c r="B141" s="7"/>
      <c r="C141" s="5"/>
      <c r="D141" s="5"/>
      <c r="E141" s="9"/>
      <c r="F141" s="9"/>
      <c r="G141" s="10"/>
      <c r="H141" s="11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7"/>
      <c r="B142" s="7"/>
      <c r="C142" s="5"/>
      <c r="D142" s="5"/>
      <c r="E142" s="9"/>
      <c r="F142" s="9"/>
      <c r="G142" s="10"/>
      <c r="H142" s="11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7"/>
      <c r="B143" s="7"/>
      <c r="C143" s="5"/>
      <c r="D143" s="5"/>
      <c r="E143" s="9"/>
      <c r="F143" s="9"/>
      <c r="G143" s="10"/>
      <c r="H143" s="11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7"/>
      <c r="B144" s="7"/>
      <c r="C144" s="5"/>
      <c r="D144" s="5"/>
      <c r="E144" s="9"/>
      <c r="F144" s="9"/>
      <c r="G144" s="10"/>
      <c r="H144" s="11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7"/>
      <c r="B145" s="7"/>
      <c r="C145" s="5"/>
      <c r="D145" s="5"/>
      <c r="E145" s="9"/>
      <c r="F145" s="9"/>
      <c r="G145" s="10"/>
      <c r="H145" s="11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7"/>
      <c r="B146" s="7"/>
      <c r="C146" s="5"/>
      <c r="D146" s="5"/>
      <c r="E146" s="9"/>
      <c r="F146" s="9"/>
      <c r="G146" s="10"/>
      <c r="H146" s="11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7"/>
      <c r="B147" s="7"/>
      <c r="C147" s="5"/>
      <c r="D147" s="5"/>
      <c r="E147" s="9"/>
      <c r="F147" s="9"/>
      <c r="G147" s="10"/>
      <c r="H147" s="11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7"/>
      <c r="B148" s="7"/>
      <c r="C148" s="5"/>
      <c r="D148" s="5"/>
      <c r="E148" s="9"/>
      <c r="F148" s="9"/>
      <c r="G148" s="10"/>
      <c r="H148" s="11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7"/>
      <c r="B149" s="7"/>
      <c r="C149" s="5"/>
      <c r="D149" s="5"/>
      <c r="E149" s="9"/>
      <c r="F149" s="9"/>
      <c r="G149" s="10"/>
      <c r="H149" s="11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7"/>
      <c r="B150" s="7"/>
      <c r="C150" s="5"/>
      <c r="D150" s="5"/>
      <c r="E150" s="9"/>
      <c r="F150" s="9"/>
      <c r="G150" s="10"/>
      <c r="H150" s="11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7"/>
      <c r="B151" s="7"/>
      <c r="C151" s="5"/>
      <c r="D151" s="5"/>
      <c r="E151" s="9"/>
      <c r="F151" s="9"/>
      <c r="G151" s="10"/>
      <c r="H151" s="11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7"/>
      <c r="B152" s="7"/>
      <c r="C152" s="5"/>
      <c r="D152" s="5"/>
      <c r="E152" s="9"/>
      <c r="F152" s="9"/>
      <c r="G152" s="10"/>
      <c r="H152" s="11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7"/>
      <c r="B153" s="7"/>
      <c r="C153" s="5"/>
      <c r="D153" s="5"/>
      <c r="E153" s="9"/>
      <c r="F153" s="9"/>
      <c r="G153" s="10"/>
      <c r="H153" s="11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7"/>
      <c r="B154" s="7"/>
      <c r="C154" s="5"/>
      <c r="D154" s="5"/>
      <c r="E154" s="9"/>
      <c r="F154" s="9"/>
      <c r="G154" s="10"/>
      <c r="H154" s="11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7"/>
      <c r="B155" s="7"/>
      <c r="C155" s="5"/>
      <c r="D155" s="5"/>
      <c r="E155" s="9"/>
      <c r="F155" s="9"/>
      <c r="G155" s="10"/>
      <c r="H155" s="11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7"/>
      <c r="B156" s="7"/>
      <c r="C156" s="5"/>
      <c r="D156" s="5"/>
      <c r="E156" s="9"/>
      <c r="F156" s="9"/>
      <c r="G156" s="10"/>
      <c r="H156" s="11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7"/>
      <c r="B157" s="7"/>
      <c r="C157" s="5"/>
      <c r="D157" s="5"/>
      <c r="E157" s="9"/>
      <c r="F157" s="9"/>
      <c r="G157" s="10"/>
      <c r="H157" s="11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7"/>
      <c r="B158" s="7"/>
      <c r="C158" s="5"/>
      <c r="D158" s="5"/>
      <c r="E158" s="9"/>
      <c r="F158" s="9"/>
      <c r="G158" s="10"/>
      <c r="H158" s="11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7"/>
      <c r="B159" s="7"/>
      <c r="C159" s="5"/>
      <c r="D159" s="5"/>
      <c r="E159" s="9"/>
      <c r="F159" s="9"/>
      <c r="G159" s="10"/>
      <c r="H159" s="11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7"/>
      <c r="B160" s="7"/>
      <c r="C160" s="5"/>
      <c r="D160" s="5"/>
      <c r="E160" s="9"/>
      <c r="F160" s="9"/>
      <c r="G160" s="10"/>
      <c r="H160" s="11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7"/>
      <c r="B161" s="7"/>
      <c r="C161" s="5"/>
      <c r="D161" s="5"/>
      <c r="E161" s="9"/>
      <c r="F161" s="9"/>
      <c r="G161" s="10"/>
      <c r="H161" s="11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7"/>
      <c r="B162" s="7"/>
      <c r="C162" s="5"/>
      <c r="D162" s="5"/>
      <c r="E162" s="9"/>
      <c r="F162" s="9"/>
      <c r="G162" s="10"/>
      <c r="H162" s="11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7"/>
      <c r="B163" s="7"/>
      <c r="C163" s="5"/>
      <c r="D163" s="5"/>
      <c r="E163" s="9"/>
      <c r="F163" s="9"/>
      <c r="G163" s="10"/>
      <c r="H163" s="11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7"/>
      <c r="B164" s="7"/>
      <c r="C164" s="5"/>
      <c r="D164" s="5"/>
      <c r="E164" s="9"/>
      <c r="F164" s="9"/>
      <c r="G164" s="10"/>
      <c r="H164" s="11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7"/>
      <c r="B165" s="7"/>
      <c r="C165" s="5"/>
      <c r="D165" s="5"/>
      <c r="E165" s="9"/>
      <c r="F165" s="9"/>
      <c r="G165" s="10"/>
      <c r="H165" s="11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7"/>
      <c r="B166" s="7"/>
      <c r="C166" s="5"/>
      <c r="D166" s="5"/>
      <c r="E166" s="9"/>
      <c r="F166" s="9"/>
      <c r="G166" s="10"/>
      <c r="H166" s="11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7"/>
      <c r="B167" s="7"/>
      <c r="C167" s="5"/>
      <c r="D167" s="5"/>
      <c r="E167" s="9"/>
      <c r="F167" s="9"/>
      <c r="G167" s="10"/>
      <c r="H167" s="11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7"/>
      <c r="B168" s="7"/>
      <c r="C168" s="5"/>
      <c r="D168" s="5"/>
      <c r="E168" s="9"/>
      <c r="F168" s="9"/>
      <c r="G168" s="10"/>
      <c r="H168" s="11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7"/>
      <c r="B169" s="7"/>
      <c r="C169" s="5"/>
      <c r="D169" s="5"/>
      <c r="E169" s="9"/>
      <c r="F169" s="9"/>
      <c r="G169" s="10"/>
      <c r="H169" s="11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7"/>
      <c r="B170" s="7"/>
      <c r="C170" s="5"/>
      <c r="D170" s="5"/>
      <c r="E170" s="9"/>
      <c r="F170" s="9"/>
      <c r="G170" s="10"/>
      <c r="H170" s="11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7"/>
      <c r="B171" s="7"/>
      <c r="C171" s="5"/>
      <c r="D171" s="5"/>
      <c r="E171" s="9"/>
      <c r="F171" s="9"/>
      <c r="G171" s="10"/>
      <c r="H171" s="11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7"/>
      <c r="B172" s="7"/>
      <c r="C172" s="5"/>
      <c r="D172" s="5"/>
      <c r="E172" s="9"/>
      <c r="F172" s="9"/>
      <c r="G172" s="10"/>
      <c r="H172" s="11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7"/>
      <c r="B173" s="7"/>
      <c r="C173" s="5"/>
      <c r="D173" s="5"/>
      <c r="E173" s="9"/>
      <c r="F173" s="9"/>
      <c r="G173" s="10"/>
      <c r="H173" s="11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7"/>
      <c r="B174" s="7"/>
      <c r="C174" s="5"/>
      <c r="D174" s="5"/>
      <c r="E174" s="9"/>
      <c r="F174" s="9"/>
      <c r="G174" s="10"/>
      <c r="H174" s="11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7"/>
      <c r="B175" s="7"/>
      <c r="C175" s="5"/>
      <c r="D175" s="5"/>
      <c r="E175" s="9"/>
      <c r="F175" s="9"/>
      <c r="G175" s="10"/>
      <c r="H175" s="11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7"/>
      <c r="B176" s="7"/>
      <c r="C176" s="5"/>
      <c r="D176" s="5"/>
      <c r="E176" s="9"/>
      <c r="F176" s="9"/>
      <c r="G176" s="10"/>
      <c r="H176" s="11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7"/>
      <c r="B177" s="7"/>
      <c r="C177" s="5"/>
      <c r="D177" s="5"/>
      <c r="E177" s="9"/>
      <c r="F177" s="9"/>
      <c r="G177" s="10"/>
      <c r="H177" s="11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7"/>
      <c r="B178" s="7"/>
      <c r="C178" s="5"/>
      <c r="D178" s="5"/>
      <c r="E178" s="9"/>
      <c r="F178" s="9"/>
      <c r="G178" s="10"/>
      <c r="H178" s="11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7"/>
      <c r="B179" s="7"/>
      <c r="C179" s="5"/>
      <c r="D179" s="5"/>
      <c r="E179" s="9"/>
      <c r="F179" s="9"/>
      <c r="G179" s="10"/>
      <c r="H179" s="11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7"/>
      <c r="B180" s="7"/>
      <c r="C180" s="5"/>
      <c r="D180" s="5"/>
      <c r="E180" s="9"/>
      <c r="F180" s="9"/>
      <c r="G180" s="10"/>
      <c r="H180" s="11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7"/>
      <c r="B181" s="7"/>
      <c r="C181" s="5"/>
      <c r="D181" s="5"/>
      <c r="E181" s="9"/>
      <c r="F181" s="9"/>
      <c r="G181" s="10"/>
      <c r="H181" s="11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7"/>
      <c r="B182" s="7"/>
      <c r="C182" s="5"/>
      <c r="D182" s="5"/>
      <c r="E182" s="9"/>
      <c r="F182" s="9"/>
      <c r="G182" s="10"/>
      <c r="H182" s="11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7"/>
      <c r="B183" s="7"/>
      <c r="C183" s="5"/>
      <c r="D183" s="5"/>
      <c r="E183" s="9"/>
      <c r="F183" s="9"/>
      <c r="G183" s="10"/>
      <c r="H183" s="11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7"/>
      <c r="B184" s="7"/>
      <c r="C184" s="5"/>
      <c r="D184" s="5"/>
      <c r="E184" s="9"/>
      <c r="F184" s="9"/>
      <c r="G184" s="10"/>
      <c r="H184" s="11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7"/>
      <c r="B185" s="7"/>
      <c r="C185" s="5"/>
      <c r="D185" s="5"/>
      <c r="E185" s="9"/>
      <c r="F185" s="9"/>
      <c r="G185" s="10"/>
      <c r="H185" s="11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7"/>
      <c r="B186" s="7"/>
      <c r="C186" s="5"/>
      <c r="D186" s="5"/>
      <c r="E186" s="9"/>
      <c r="F186" s="9"/>
      <c r="G186" s="10"/>
      <c r="H186" s="11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7"/>
      <c r="B187" s="7"/>
      <c r="C187" s="5"/>
      <c r="D187" s="5"/>
      <c r="E187" s="9"/>
      <c r="F187" s="9"/>
      <c r="G187" s="10"/>
      <c r="H187" s="11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7"/>
      <c r="B188" s="7"/>
      <c r="C188" s="5"/>
      <c r="D188" s="5"/>
      <c r="E188" s="9"/>
      <c r="F188" s="9"/>
      <c r="G188" s="10"/>
      <c r="H188" s="11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7"/>
      <c r="B189" s="7"/>
      <c r="C189" s="5"/>
      <c r="D189" s="5"/>
      <c r="E189" s="9"/>
      <c r="F189" s="9"/>
      <c r="G189" s="10"/>
      <c r="H189" s="11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7"/>
      <c r="B190" s="7"/>
      <c r="C190" s="5"/>
      <c r="D190" s="5"/>
      <c r="E190" s="9"/>
      <c r="F190" s="9"/>
      <c r="G190" s="10"/>
      <c r="H190" s="11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7"/>
      <c r="B191" s="7"/>
      <c r="C191" s="5"/>
      <c r="D191" s="5"/>
      <c r="E191" s="9"/>
      <c r="F191" s="9"/>
      <c r="G191" s="10"/>
      <c r="H191" s="11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7"/>
      <c r="B192" s="7"/>
      <c r="C192" s="5"/>
      <c r="D192" s="5"/>
      <c r="E192" s="9"/>
      <c r="F192" s="9"/>
      <c r="G192" s="10"/>
      <c r="H192" s="11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7"/>
      <c r="B193" s="7"/>
      <c r="C193" s="5"/>
      <c r="D193" s="5"/>
      <c r="E193" s="9"/>
      <c r="F193" s="9"/>
      <c r="G193" s="10"/>
      <c r="H193" s="11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7"/>
      <c r="B194" s="7"/>
      <c r="C194" s="5"/>
      <c r="D194" s="5"/>
      <c r="E194" s="9"/>
      <c r="F194" s="9"/>
      <c r="G194" s="10"/>
      <c r="H194" s="11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7"/>
      <c r="B195" s="7"/>
      <c r="C195" s="5"/>
      <c r="D195" s="5"/>
      <c r="E195" s="9"/>
      <c r="F195" s="9"/>
      <c r="G195" s="10"/>
      <c r="H195" s="11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7"/>
      <c r="B196" s="7"/>
      <c r="C196" s="5"/>
      <c r="D196" s="5"/>
      <c r="E196" s="9"/>
      <c r="F196" s="9"/>
      <c r="G196" s="10"/>
      <c r="H196" s="11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7"/>
      <c r="B197" s="7"/>
      <c r="C197" s="5"/>
      <c r="D197" s="5"/>
      <c r="E197" s="9"/>
      <c r="F197" s="9"/>
      <c r="G197" s="10"/>
      <c r="H197" s="11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7"/>
      <c r="B198" s="7"/>
      <c r="C198" s="5"/>
      <c r="D198" s="5"/>
      <c r="E198" s="9"/>
      <c r="F198" s="9"/>
      <c r="G198" s="10"/>
      <c r="H198" s="11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7"/>
      <c r="B199" s="7"/>
      <c r="C199" s="5"/>
      <c r="D199" s="5"/>
      <c r="E199" s="9"/>
      <c r="F199" s="9"/>
      <c r="G199" s="10"/>
      <c r="H199" s="11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7"/>
      <c r="B200" s="7"/>
      <c r="C200" s="5"/>
      <c r="D200" s="5"/>
      <c r="E200" s="9"/>
      <c r="F200" s="9"/>
      <c r="G200" s="10"/>
      <c r="H200" s="11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7"/>
      <c r="B201" s="7"/>
      <c r="C201" s="5"/>
      <c r="D201" s="5"/>
      <c r="E201" s="9"/>
      <c r="F201" s="9"/>
      <c r="G201" s="10"/>
      <c r="H201" s="11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7"/>
      <c r="B202" s="7"/>
      <c r="C202" s="5"/>
      <c r="D202" s="5"/>
      <c r="E202" s="9"/>
      <c r="F202" s="9"/>
      <c r="G202" s="10"/>
      <c r="H202" s="11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7"/>
      <c r="B203" s="7"/>
      <c r="C203" s="5"/>
      <c r="D203" s="5"/>
      <c r="E203" s="9"/>
      <c r="F203" s="9"/>
      <c r="G203" s="10"/>
      <c r="H203" s="11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7"/>
      <c r="B204" s="7"/>
      <c r="C204" s="5"/>
      <c r="D204" s="5"/>
      <c r="E204" s="9"/>
      <c r="F204" s="9"/>
      <c r="G204" s="10"/>
      <c r="H204" s="11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7"/>
      <c r="B205" s="7"/>
      <c r="C205" s="5"/>
      <c r="D205" s="5"/>
      <c r="E205" s="9"/>
      <c r="F205" s="9"/>
      <c r="G205" s="10"/>
      <c r="H205" s="11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7"/>
      <c r="B206" s="7"/>
      <c r="C206" s="5"/>
      <c r="D206" s="5"/>
      <c r="E206" s="9"/>
      <c r="F206" s="9"/>
      <c r="G206" s="10"/>
      <c r="H206" s="11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7"/>
      <c r="B207" s="7"/>
      <c r="C207" s="5"/>
      <c r="D207" s="5"/>
      <c r="E207" s="9"/>
      <c r="F207" s="9"/>
      <c r="G207" s="10"/>
      <c r="H207" s="11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7"/>
      <c r="B208" s="7"/>
      <c r="C208" s="5"/>
      <c r="D208" s="5"/>
      <c r="E208" s="9"/>
      <c r="F208" s="9"/>
      <c r="G208" s="10"/>
      <c r="H208" s="11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7"/>
      <c r="B209" s="7"/>
      <c r="C209" s="5"/>
      <c r="D209" s="5"/>
      <c r="E209" s="9"/>
      <c r="F209" s="9"/>
      <c r="G209" s="10"/>
      <c r="H209" s="11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7"/>
      <c r="B210" s="7"/>
      <c r="C210" s="5"/>
      <c r="D210" s="5"/>
      <c r="E210" s="9"/>
      <c r="F210" s="9"/>
      <c r="G210" s="10"/>
      <c r="H210" s="11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7"/>
      <c r="B211" s="7"/>
      <c r="C211" s="5"/>
      <c r="D211" s="5"/>
      <c r="E211" s="9"/>
      <c r="F211" s="9"/>
      <c r="G211" s="10"/>
      <c r="H211" s="11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7"/>
      <c r="B212" s="7"/>
      <c r="C212" s="5"/>
      <c r="D212" s="5"/>
      <c r="E212" s="9"/>
      <c r="F212" s="9"/>
      <c r="G212" s="10"/>
      <c r="H212" s="11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7"/>
      <c r="B213" s="7"/>
      <c r="C213" s="5"/>
      <c r="D213" s="5"/>
      <c r="E213" s="9"/>
      <c r="F213" s="9"/>
      <c r="G213" s="10"/>
      <c r="H213" s="11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7"/>
      <c r="B214" s="7"/>
      <c r="C214" s="5"/>
      <c r="D214" s="5"/>
      <c r="E214" s="9"/>
      <c r="F214" s="9"/>
      <c r="G214" s="10"/>
      <c r="H214" s="11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7"/>
      <c r="B215" s="7"/>
      <c r="C215" s="5"/>
      <c r="D215" s="5"/>
      <c r="E215" s="9"/>
      <c r="F215" s="9"/>
      <c r="G215" s="10"/>
      <c r="H215" s="11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7"/>
      <c r="B216" s="7"/>
      <c r="C216" s="5"/>
      <c r="D216" s="5"/>
      <c r="E216" s="9"/>
      <c r="F216" s="9"/>
      <c r="G216" s="10"/>
      <c r="H216" s="11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7"/>
      <c r="B217" s="7"/>
      <c r="C217" s="5"/>
      <c r="D217" s="5"/>
      <c r="E217" s="9"/>
      <c r="F217" s="9"/>
      <c r="G217" s="10"/>
      <c r="H217" s="11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7"/>
      <c r="B218" s="7"/>
      <c r="C218" s="5"/>
      <c r="D218" s="5"/>
      <c r="E218" s="9"/>
      <c r="F218" s="9"/>
      <c r="G218" s="10"/>
      <c r="H218" s="11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7"/>
      <c r="B219" s="7"/>
      <c r="C219" s="5"/>
      <c r="D219" s="5"/>
      <c r="E219" s="9"/>
      <c r="F219" s="9"/>
      <c r="G219" s="10"/>
      <c r="H219" s="11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7"/>
      <c r="B220" s="7"/>
      <c r="C220" s="5"/>
      <c r="D220" s="5"/>
      <c r="E220" s="9"/>
      <c r="F220" s="9"/>
      <c r="G220" s="10"/>
      <c r="H220" s="11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7"/>
      <c r="B221" s="7"/>
      <c r="C221" s="5"/>
      <c r="D221" s="5"/>
      <c r="E221" s="9"/>
      <c r="F221" s="9"/>
      <c r="G221" s="10"/>
      <c r="H221" s="11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7"/>
      <c r="B222" s="7"/>
      <c r="C222" s="5"/>
      <c r="D222" s="5"/>
      <c r="E222" s="9"/>
      <c r="F222" s="9"/>
      <c r="G222" s="10"/>
      <c r="H222" s="11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7"/>
      <c r="B223" s="7"/>
      <c r="C223" s="5"/>
      <c r="D223" s="5"/>
      <c r="E223" s="9"/>
      <c r="F223" s="9"/>
      <c r="G223" s="10"/>
      <c r="H223" s="11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7"/>
      <c r="B224" s="7"/>
      <c r="C224" s="5"/>
      <c r="D224" s="5"/>
      <c r="E224" s="9"/>
      <c r="F224" s="9"/>
      <c r="G224" s="10"/>
      <c r="H224" s="11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7"/>
      <c r="B225" s="7"/>
      <c r="C225" s="5"/>
      <c r="D225" s="5"/>
      <c r="E225" s="9"/>
      <c r="F225" s="9"/>
      <c r="G225" s="10"/>
      <c r="H225" s="11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7"/>
      <c r="B226" s="7"/>
      <c r="C226" s="5"/>
      <c r="D226" s="5"/>
      <c r="E226" s="9"/>
      <c r="F226" s="9"/>
      <c r="G226" s="10"/>
      <c r="H226" s="11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7"/>
      <c r="B227" s="7"/>
      <c r="C227" s="5"/>
      <c r="D227" s="5"/>
      <c r="E227" s="9"/>
      <c r="F227" s="9"/>
      <c r="G227" s="10"/>
      <c r="H227" s="11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7"/>
      <c r="B228" s="7"/>
      <c r="C228" s="5"/>
      <c r="D228" s="5"/>
      <c r="E228" s="9"/>
      <c r="F228" s="9"/>
      <c r="G228" s="10"/>
      <c r="H228" s="11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7"/>
      <c r="B229" s="7"/>
      <c r="C229" s="5"/>
      <c r="D229" s="5"/>
      <c r="E229" s="9"/>
      <c r="F229" s="9"/>
      <c r="G229" s="10"/>
      <c r="H229" s="11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7"/>
      <c r="B230" s="7"/>
      <c r="C230" s="5"/>
      <c r="D230" s="5"/>
      <c r="E230" s="9"/>
      <c r="F230" s="9"/>
      <c r="G230" s="10"/>
      <c r="H230" s="11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7"/>
      <c r="B231" s="7"/>
      <c r="C231" s="5"/>
      <c r="D231" s="5"/>
      <c r="E231" s="9"/>
      <c r="F231" s="9"/>
      <c r="G231" s="10"/>
      <c r="H231" s="11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7"/>
      <c r="B232" s="7"/>
      <c r="C232" s="5"/>
      <c r="D232" s="5"/>
      <c r="E232" s="9"/>
      <c r="F232" s="9"/>
      <c r="G232" s="10"/>
      <c r="H232" s="11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7"/>
      <c r="B233" s="7"/>
      <c r="C233" s="5"/>
      <c r="D233" s="5"/>
      <c r="E233" s="9"/>
      <c r="F233" s="9"/>
      <c r="G233" s="10"/>
      <c r="H233" s="11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7"/>
      <c r="B234" s="7"/>
      <c r="C234" s="5"/>
      <c r="D234" s="5"/>
      <c r="E234" s="9"/>
      <c r="F234" s="9"/>
      <c r="G234" s="10"/>
      <c r="H234" s="11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7"/>
      <c r="B235" s="7"/>
      <c r="C235" s="5"/>
      <c r="D235" s="5"/>
      <c r="E235" s="9"/>
      <c r="F235" s="9"/>
      <c r="G235" s="10"/>
      <c r="H235" s="11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7"/>
      <c r="B236" s="7"/>
      <c r="C236" s="5"/>
      <c r="D236" s="5"/>
      <c r="E236" s="9"/>
      <c r="F236" s="9"/>
      <c r="G236" s="10"/>
      <c r="H236" s="11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7"/>
      <c r="B237" s="7"/>
      <c r="C237" s="5"/>
      <c r="D237" s="5"/>
      <c r="E237" s="9"/>
      <c r="F237" s="9"/>
      <c r="G237" s="10"/>
      <c r="H237" s="11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7"/>
      <c r="B238" s="7"/>
      <c r="C238" s="5"/>
      <c r="D238" s="5"/>
      <c r="E238" s="9"/>
      <c r="F238" s="9"/>
      <c r="G238" s="10"/>
      <c r="H238" s="11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7"/>
      <c r="B239" s="7"/>
      <c r="C239" s="5"/>
      <c r="D239" s="5"/>
      <c r="E239" s="9"/>
      <c r="F239" s="9"/>
      <c r="G239" s="10"/>
      <c r="H239" s="11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7"/>
      <c r="B240" s="7"/>
      <c r="C240" s="5"/>
      <c r="D240" s="5"/>
      <c r="E240" s="9"/>
      <c r="F240" s="9"/>
      <c r="G240" s="10"/>
      <c r="H240" s="11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7"/>
      <c r="B241" s="7"/>
      <c r="C241" s="5"/>
      <c r="D241" s="5"/>
      <c r="E241" s="9"/>
      <c r="F241" s="9"/>
      <c r="G241" s="10"/>
      <c r="H241" s="11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7"/>
      <c r="B242" s="7"/>
      <c r="C242" s="5"/>
      <c r="D242" s="5"/>
      <c r="E242" s="9"/>
      <c r="F242" s="9"/>
      <c r="G242" s="10"/>
      <c r="H242" s="11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7"/>
      <c r="B243" s="7"/>
      <c r="C243" s="5"/>
      <c r="D243" s="5"/>
      <c r="E243" s="9"/>
      <c r="F243" s="9"/>
      <c r="G243" s="10"/>
      <c r="H243" s="11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7"/>
      <c r="B244" s="7"/>
      <c r="C244" s="5"/>
      <c r="D244" s="5"/>
      <c r="E244" s="9"/>
      <c r="F244" s="9"/>
      <c r="G244" s="10"/>
      <c r="H244" s="11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7"/>
      <c r="B245" s="7"/>
      <c r="C245" s="5"/>
      <c r="D245" s="5"/>
      <c r="E245" s="9"/>
      <c r="F245" s="9"/>
      <c r="G245" s="10"/>
      <c r="H245" s="11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7"/>
      <c r="B246" s="7"/>
      <c r="C246" s="5"/>
      <c r="D246" s="5"/>
      <c r="E246" s="9"/>
      <c r="F246" s="9"/>
      <c r="G246" s="10"/>
      <c r="H246" s="11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7"/>
      <c r="B247" s="7"/>
      <c r="C247" s="5"/>
      <c r="D247" s="5"/>
      <c r="E247" s="9"/>
      <c r="F247" s="9"/>
      <c r="G247" s="10"/>
      <c r="H247" s="11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7"/>
      <c r="B248" s="7"/>
      <c r="C248" s="5"/>
      <c r="D248" s="5"/>
      <c r="E248" s="9"/>
      <c r="F248" s="9"/>
      <c r="G248" s="10"/>
      <c r="H248" s="11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7"/>
      <c r="B249" s="7"/>
      <c r="C249" s="5"/>
      <c r="D249" s="5"/>
      <c r="E249" s="9"/>
      <c r="F249" s="9"/>
      <c r="G249" s="10"/>
      <c r="H249" s="11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7"/>
      <c r="B250" s="7"/>
      <c r="C250" s="5"/>
      <c r="D250" s="5"/>
      <c r="E250" s="9"/>
      <c r="F250" s="9"/>
      <c r="G250" s="10"/>
      <c r="H250" s="11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7"/>
      <c r="B251" s="7"/>
      <c r="C251" s="5"/>
      <c r="D251" s="5"/>
      <c r="E251" s="9"/>
      <c r="F251" s="9"/>
      <c r="G251" s="10"/>
      <c r="H251" s="11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7"/>
      <c r="B252" s="7"/>
      <c r="C252" s="5"/>
      <c r="D252" s="5"/>
      <c r="E252" s="9"/>
      <c r="F252" s="9"/>
      <c r="G252" s="10"/>
      <c r="H252" s="11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7"/>
      <c r="B253" s="7"/>
      <c r="C253" s="5"/>
      <c r="D253" s="5"/>
      <c r="E253" s="9"/>
      <c r="F253" s="9"/>
      <c r="G253" s="10"/>
      <c r="H253" s="11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7"/>
      <c r="B254" s="7"/>
      <c r="C254" s="5"/>
      <c r="D254" s="5"/>
      <c r="E254" s="9"/>
      <c r="F254" s="9"/>
      <c r="G254" s="10"/>
      <c r="H254" s="11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7"/>
      <c r="B255" s="7"/>
      <c r="C255" s="5"/>
      <c r="D255" s="5"/>
      <c r="E255" s="9"/>
      <c r="F255" s="9"/>
      <c r="G255" s="10"/>
      <c r="H255" s="11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7"/>
      <c r="B256" s="7"/>
      <c r="C256" s="5"/>
      <c r="D256" s="5"/>
      <c r="E256" s="9"/>
      <c r="F256" s="9"/>
      <c r="G256" s="10"/>
      <c r="H256" s="11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7"/>
      <c r="B257" s="7"/>
      <c r="C257" s="5"/>
      <c r="D257" s="5"/>
      <c r="E257" s="9"/>
      <c r="F257" s="9"/>
      <c r="G257" s="10"/>
      <c r="H257" s="11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7"/>
      <c r="B258" s="7"/>
      <c r="C258" s="5"/>
      <c r="D258" s="5"/>
      <c r="E258" s="9"/>
      <c r="F258" s="9"/>
      <c r="G258" s="10"/>
      <c r="H258" s="11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7"/>
      <c r="B259" s="7"/>
      <c r="C259" s="5"/>
      <c r="D259" s="5"/>
      <c r="E259" s="9"/>
      <c r="F259" s="9"/>
      <c r="G259" s="10"/>
      <c r="H259" s="11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7"/>
      <c r="B260" s="7"/>
      <c r="C260" s="5"/>
      <c r="D260" s="5"/>
      <c r="E260" s="9"/>
      <c r="F260" s="9"/>
      <c r="G260" s="10"/>
      <c r="H260" s="11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7"/>
      <c r="B261" s="7"/>
      <c r="C261" s="5"/>
      <c r="D261" s="5"/>
      <c r="E261" s="9"/>
      <c r="F261" s="9"/>
      <c r="G261" s="10"/>
      <c r="H261" s="11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7"/>
      <c r="B262" s="7"/>
      <c r="C262" s="5"/>
      <c r="D262" s="5"/>
      <c r="E262" s="9"/>
      <c r="F262" s="9"/>
      <c r="G262" s="10"/>
      <c r="H262" s="11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7"/>
      <c r="B263" s="7"/>
      <c r="C263" s="5"/>
      <c r="D263" s="5"/>
      <c r="E263" s="9"/>
      <c r="F263" s="9"/>
      <c r="G263" s="10"/>
      <c r="H263" s="11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7"/>
      <c r="B264" s="7"/>
      <c r="C264" s="5"/>
      <c r="D264" s="5"/>
      <c r="E264" s="9"/>
      <c r="F264" s="9"/>
      <c r="G264" s="10"/>
      <c r="H264" s="11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7"/>
      <c r="B265" s="7"/>
      <c r="C265" s="5"/>
      <c r="D265" s="5"/>
      <c r="E265" s="9"/>
      <c r="F265" s="9"/>
      <c r="G265" s="10"/>
      <c r="H265" s="11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7"/>
      <c r="B266" s="7"/>
      <c r="C266" s="5"/>
      <c r="D266" s="5"/>
      <c r="E266" s="9"/>
      <c r="F266" s="9"/>
      <c r="G266" s="10"/>
      <c r="H266" s="11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7"/>
      <c r="B267" s="7"/>
      <c r="C267" s="5"/>
      <c r="D267" s="5"/>
      <c r="E267" s="9"/>
      <c r="F267" s="9"/>
      <c r="G267" s="10"/>
      <c r="H267" s="11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7"/>
      <c r="B268" s="7"/>
      <c r="C268" s="5"/>
      <c r="D268" s="5"/>
      <c r="E268" s="9"/>
      <c r="F268" s="9"/>
      <c r="G268" s="10"/>
      <c r="H268" s="11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7"/>
      <c r="B269" s="7"/>
      <c r="C269" s="5"/>
      <c r="D269" s="5"/>
      <c r="E269" s="9"/>
      <c r="F269" s="9"/>
      <c r="G269" s="10"/>
      <c r="H269" s="11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7"/>
      <c r="B270" s="7"/>
      <c r="C270" s="5"/>
      <c r="D270" s="5"/>
      <c r="E270" s="9"/>
      <c r="F270" s="9"/>
      <c r="G270" s="10"/>
      <c r="H270" s="11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7"/>
      <c r="B271" s="7"/>
      <c r="C271" s="5"/>
      <c r="D271" s="5"/>
      <c r="E271" s="9"/>
      <c r="F271" s="9"/>
      <c r="G271" s="10"/>
      <c r="H271" s="11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7"/>
      <c r="B272" s="7"/>
      <c r="C272" s="5"/>
      <c r="D272" s="5"/>
      <c r="E272" s="9"/>
      <c r="F272" s="9"/>
      <c r="G272" s="10"/>
      <c r="H272" s="11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7"/>
      <c r="B273" s="7"/>
      <c r="C273" s="5"/>
      <c r="D273" s="5"/>
      <c r="E273" s="9"/>
      <c r="F273" s="9"/>
      <c r="G273" s="10"/>
      <c r="H273" s="11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7"/>
      <c r="B274" s="7"/>
      <c r="C274" s="5"/>
      <c r="D274" s="5"/>
      <c r="E274" s="9"/>
      <c r="F274" s="9"/>
      <c r="G274" s="10"/>
      <c r="H274" s="11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7"/>
      <c r="B275" s="7"/>
      <c r="C275" s="5"/>
      <c r="D275" s="5"/>
      <c r="E275" s="9"/>
      <c r="F275" s="9"/>
      <c r="G275" s="10"/>
      <c r="H275" s="11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7"/>
      <c r="B276" s="7"/>
      <c r="C276" s="5"/>
      <c r="D276" s="5"/>
      <c r="E276" s="9"/>
      <c r="F276" s="9"/>
      <c r="G276" s="10"/>
      <c r="H276" s="11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7"/>
      <c r="B277" s="7"/>
      <c r="C277" s="5"/>
      <c r="D277" s="5"/>
      <c r="E277" s="9"/>
      <c r="F277" s="9"/>
      <c r="G277" s="10"/>
      <c r="H277" s="11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7"/>
      <c r="B278" s="7"/>
      <c r="C278" s="5"/>
      <c r="D278" s="5"/>
      <c r="E278" s="9"/>
      <c r="F278" s="9"/>
      <c r="G278" s="10"/>
      <c r="H278" s="11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7"/>
      <c r="B279" s="7"/>
      <c r="C279" s="5"/>
      <c r="D279" s="5"/>
      <c r="E279" s="9"/>
      <c r="F279" s="9"/>
      <c r="G279" s="10"/>
      <c r="H279" s="11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7"/>
      <c r="B280" s="7"/>
      <c r="C280" s="5"/>
      <c r="D280" s="5"/>
      <c r="E280" s="9"/>
      <c r="F280" s="9"/>
      <c r="G280" s="10"/>
      <c r="H280" s="11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7"/>
      <c r="B281" s="7"/>
      <c r="C281" s="5"/>
      <c r="D281" s="5"/>
      <c r="E281" s="9"/>
      <c r="F281" s="9"/>
      <c r="G281" s="10"/>
      <c r="H281" s="11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7"/>
      <c r="B282" s="7"/>
      <c r="C282" s="5"/>
      <c r="D282" s="5"/>
      <c r="E282" s="9"/>
      <c r="F282" s="9"/>
      <c r="G282" s="10"/>
      <c r="H282" s="11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7"/>
      <c r="B283" s="7"/>
      <c r="C283" s="5"/>
      <c r="D283" s="5"/>
      <c r="E283" s="9"/>
      <c r="F283" s="9"/>
      <c r="G283" s="10"/>
      <c r="H283" s="11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7"/>
      <c r="B284" s="7"/>
      <c r="C284" s="5"/>
      <c r="D284" s="5"/>
      <c r="E284" s="9"/>
      <c r="F284" s="9"/>
      <c r="G284" s="10"/>
      <c r="H284" s="11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7"/>
      <c r="B285" s="7"/>
      <c r="C285" s="5"/>
      <c r="D285" s="5"/>
      <c r="E285" s="9"/>
      <c r="F285" s="9"/>
      <c r="G285" s="10"/>
      <c r="H285" s="11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7"/>
      <c r="B286" s="7"/>
      <c r="C286" s="5"/>
      <c r="D286" s="5"/>
      <c r="E286" s="9"/>
      <c r="F286" s="9"/>
      <c r="G286" s="10"/>
      <c r="H286" s="11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7"/>
      <c r="B287" s="7"/>
      <c r="C287" s="5"/>
      <c r="D287" s="5"/>
      <c r="E287" s="9"/>
      <c r="F287" s="9"/>
      <c r="G287" s="10"/>
      <c r="H287" s="11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7"/>
      <c r="B288" s="7"/>
      <c r="C288" s="5"/>
      <c r="D288" s="5"/>
      <c r="E288" s="9"/>
      <c r="F288" s="9"/>
      <c r="G288" s="10"/>
      <c r="H288" s="11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7"/>
      <c r="B289" s="7"/>
      <c r="C289" s="5"/>
      <c r="D289" s="5"/>
      <c r="E289" s="9"/>
      <c r="F289" s="9"/>
      <c r="G289" s="10"/>
      <c r="H289" s="11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7"/>
      <c r="B290" s="7"/>
      <c r="C290" s="5"/>
      <c r="D290" s="5"/>
      <c r="E290" s="9"/>
      <c r="F290" s="9"/>
      <c r="G290" s="10"/>
      <c r="H290" s="11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7"/>
      <c r="B291" s="7"/>
      <c r="C291" s="5"/>
      <c r="D291" s="5"/>
      <c r="E291" s="9"/>
      <c r="F291" s="9"/>
      <c r="G291" s="10"/>
      <c r="H291" s="11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7"/>
      <c r="B292" s="7"/>
      <c r="C292" s="5"/>
      <c r="D292" s="5"/>
      <c r="E292" s="9"/>
      <c r="F292" s="9"/>
      <c r="G292" s="10"/>
      <c r="H292" s="11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7"/>
      <c r="B293" s="7"/>
      <c r="C293" s="5"/>
      <c r="D293" s="5"/>
      <c r="E293" s="9"/>
      <c r="F293" s="9"/>
      <c r="G293" s="10"/>
      <c r="H293" s="11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7"/>
      <c r="B294" s="7"/>
      <c r="C294" s="5"/>
      <c r="D294" s="5"/>
      <c r="E294" s="9"/>
      <c r="F294" s="9"/>
      <c r="G294" s="10"/>
      <c r="H294" s="11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7"/>
      <c r="B295" s="7"/>
      <c r="C295" s="5"/>
      <c r="D295" s="5"/>
      <c r="E295" s="9"/>
      <c r="F295" s="9"/>
      <c r="G295" s="10"/>
      <c r="H295" s="11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7"/>
      <c r="B296" s="7"/>
      <c r="C296" s="5"/>
      <c r="D296" s="5"/>
      <c r="E296" s="9"/>
      <c r="F296" s="9"/>
      <c r="G296" s="10"/>
      <c r="H296" s="11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7"/>
      <c r="B297" s="7"/>
      <c r="C297" s="5"/>
      <c r="D297" s="5"/>
      <c r="E297" s="9"/>
      <c r="F297" s="9"/>
      <c r="G297" s="10"/>
      <c r="H297" s="11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7"/>
      <c r="B298" s="7"/>
      <c r="C298" s="5"/>
      <c r="D298" s="5"/>
      <c r="E298" s="9"/>
      <c r="F298" s="9"/>
      <c r="G298" s="10"/>
      <c r="H298" s="11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7"/>
      <c r="B299" s="7"/>
      <c r="C299" s="5"/>
      <c r="D299" s="5"/>
      <c r="E299" s="9"/>
      <c r="F299" s="9"/>
      <c r="G299" s="10"/>
      <c r="H299" s="11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7"/>
      <c r="B300" s="7"/>
      <c r="C300" s="5"/>
      <c r="D300" s="5"/>
      <c r="E300" s="9"/>
      <c r="F300" s="9"/>
      <c r="G300" s="10"/>
      <c r="H300" s="11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7"/>
      <c r="B301" s="7"/>
      <c r="C301" s="5"/>
      <c r="D301" s="5"/>
      <c r="E301" s="9"/>
      <c r="F301" s="9"/>
      <c r="G301" s="10"/>
      <c r="H301" s="11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7"/>
      <c r="B302" s="7"/>
      <c r="C302" s="5"/>
      <c r="D302" s="5"/>
      <c r="E302" s="9"/>
      <c r="F302" s="9"/>
      <c r="G302" s="10"/>
      <c r="H302" s="11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7"/>
      <c r="B303" s="7"/>
      <c r="C303" s="5"/>
      <c r="D303" s="5"/>
      <c r="E303" s="9"/>
      <c r="F303" s="9"/>
      <c r="G303" s="10"/>
      <c r="H303" s="11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7"/>
      <c r="B304" s="7"/>
      <c r="C304" s="5"/>
      <c r="D304" s="5"/>
      <c r="E304" s="9"/>
      <c r="F304" s="9"/>
      <c r="G304" s="10"/>
      <c r="H304" s="11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7"/>
      <c r="B305" s="7"/>
      <c r="C305" s="5"/>
      <c r="D305" s="5"/>
      <c r="E305" s="9"/>
      <c r="F305" s="9"/>
      <c r="G305" s="10"/>
      <c r="H305" s="11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7"/>
      <c r="B306" s="7"/>
      <c r="C306" s="5"/>
      <c r="D306" s="5"/>
      <c r="E306" s="9"/>
      <c r="F306" s="9"/>
      <c r="G306" s="10"/>
      <c r="H306" s="11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7"/>
      <c r="B307" s="7"/>
      <c r="C307" s="5"/>
      <c r="D307" s="5"/>
      <c r="E307" s="9"/>
      <c r="F307" s="9"/>
      <c r="G307" s="10"/>
      <c r="H307" s="11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7"/>
      <c r="B308" s="7"/>
      <c r="C308" s="5"/>
      <c r="D308" s="5"/>
      <c r="E308" s="9"/>
      <c r="F308" s="9"/>
      <c r="G308" s="10"/>
      <c r="H308" s="11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7"/>
      <c r="B309" s="7"/>
      <c r="C309" s="5"/>
      <c r="D309" s="5"/>
      <c r="E309" s="9"/>
      <c r="F309" s="9"/>
      <c r="G309" s="10"/>
      <c r="H309" s="11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7"/>
      <c r="B310" s="7"/>
      <c r="C310" s="5"/>
      <c r="D310" s="5"/>
      <c r="E310" s="9"/>
      <c r="F310" s="9"/>
      <c r="G310" s="10"/>
      <c r="H310" s="11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7"/>
      <c r="B311" s="7"/>
      <c r="C311" s="5"/>
      <c r="D311" s="5"/>
      <c r="E311" s="9"/>
      <c r="F311" s="9"/>
      <c r="G311" s="10"/>
      <c r="H311" s="11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7"/>
      <c r="B312" s="7"/>
      <c r="C312" s="5"/>
      <c r="D312" s="5"/>
      <c r="E312" s="9"/>
      <c r="F312" s="9"/>
      <c r="G312" s="10"/>
      <c r="H312" s="11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7"/>
      <c r="B313" s="7"/>
      <c r="C313" s="5"/>
      <c r="D313" s="5"/>
      <c r="E313" s="9"/>
      <c r="F313" s="9"/>
      <c r="G313" s="10"/>
      <c r="H313" s="11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7"/>
      <c r="B314" s="7"/>
      <c r="C314" s="5"/>
      <c r="D314" s="5"/>
      <c r="E314" s="9"/>
      <c r="F314" s="9"/>
      <c r="G314" s="10"/>
      <c r="H314" s="11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7"/>
      <c r="B315" s="7"/>
      <c r="C315" s="5"/>
      <c r="D315" s="5"/>
      <c r="E315" s="9"/>
      <c r="F315" s="9"/>
      <c r="G315" s="10"/>
      <c r="H315" s="11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7"/>
      <c r="B316" s="7"/>
      <c r="C316" s="5"/>
      <c r="D316" s="5"/>
      <c r="E316" s="9"/>
      <c r="F316" s="9"/>
      <c r="G316" s="10"/>
      <c r="H316" s="11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7"/>
      <c r="B317" s="7"/>
      <c r="C317" s="5"/>
      <c r="D317" s="5"/>
      <c r="E317" s="9"/>
      <c r="F317" s="9"/>
      <c r="G317" s="10"/>
      <c r="H317" s="11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7"/>
      <c r="B318" s="7"/>
      <c r="C318" s="5"/>
      <c r="D318" s="5"/>
      <c r="E318" s="9"/>
      <c r="F318" s="9"/>
      <c r="G318" s="10"/>
      <c r="H318" s="11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7"/>
      <c r="B319" s="7"/>
      <c r="C319" s="5"/>
      <c r="D319" s="5"/>
      <c r="E319" s="9"/>
      <c r="F319" s="9"/>
      <c r="G319" s="10"/>
      <c r="H319" s="11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7"/>
      <c r="B320" s="7"/>
      <c r="C320" s="5"/>
      <c r="D320" s="5"/>
      <c r="E320" s="9"/>
      <c r="F320" s="9"/>
      <c r="G320" s="10"/>
      <c r="H320" s="11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7"/>
      <c r="B321" s="7"/>
      <c r="C321" s="5"/>
      <c r="D321" s="5"/>
      <c r="E321" s="9"/>
      <c r="F321" s="9"/>
      <c r="G321" s="10"/>
      <c r="H321" s="11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7"/>
      <c r="B322" s="7"/>
      <c r="C322" s="5"/>
      <c r="D322" s="5"/>
      <c r="E322" s="9"/>
      <c r="F322" s="9"/>
      <c r="G322" s="10"/>
      <c r="H322" s="11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7"/>
      <c r="B323" s="7"/>
      <c r="C323" s="5"/>
      <c r="D323" s="5"/>
      <c r="E323" s="9"/>
      <c r="F323" s="9"/>
      <c r="G323" s="10"/>
      <c r="H323" s="11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7"/>
      <c r="B324" s="7"/>
      <c r="C324" s="5"/>
      <c r="D324" s="5"/>
      <c r="E324" s="9"/>
      <c r="F324" s="9"/>
      <c r="G324" s="10"/>
      <c r="H324" s="11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7"/>
      <c r="B325" s="7"/>
      <c r="C325" s="5"/>
      <c r="D325" s="5"/>
      <c r="E325" s="9"/>
      <c r="F325" s="9"/>
      <c r="G325" s="10"/>
      <c r="H325" s="11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7"/>
      <c r="B326" s="7"/>
      <c r="C326" s="5"/>
      <c r="D326" s="5"/>
      <c r="E326" s="9"/>
      <c r="F326" s="9"/>
      <c r="G326" s="10"/>
      <c r="H326" s="11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7"/>
      <c r="B327" s="7"/>
      <c r="C327" s="5"/>
      <c r="D327" s="5"/>
      <c r="E327" s="9"/>
      <c r="F327" s="9"/>
      <c r="G327" s="10"/>
      <c r="H327" s="11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7"/>
      <c r="B328" s="7"/>
      <c r="C328" s="5"/>
      <c r="D328" s="5"/>
      <c r="E328" s="9"/>
      <c r="F328" s="9"/>
      <c r="G328" s="10"/>
      <c r="H328" s="11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7"/>
      <c r="B329" s="7"/>
      <c r="C329" s="5"/>
      <c r="D329" s="5"/>
      <c r="E329" s="9"/>
      <c r="F329" s="9"/>
      <c r="G329" s="10"/>
      <c r="H329" s="11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7"/>
      <c r="B330" s="7"/>
      <c r="C330" s="5"/>
      <c r="D330" s="5"/>
      <c r="E330" s="9"/>
      <c r="F330" s="9"/>
      <c r="G330" s="10"/>
      <c r="H330" s="11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7"/>
      <c r="B331" s="7"/>
      <c r="C331" s="5"/>
      <c r="D331" s="5"/>
      <c r="E331" s="9"/>
      <c r="F331" s="9"/>
      <c r="G331" s="10"/>
      <c r="H331" s="11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7"/>
      <c r="B332" s="7"/>
      <c r="C332" s="5"/>
      <c r="D332" s="5"/>
      <c r="E332" s="9"/>
      <c r="F332" s="9"/>
      <c r="G332" s="10"/>
      <c r="H332" s="11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7"/>
      <c r="B333" s="7"/>
      <c r="C333" s="5"/>
      <c r="D333" s="5"/>
      <c r="E333" s="9"/>
      <c r="F333" s="9"/>
      <c r="G333" s="10"/>
      <c r="H333" s="11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7"/>
      <c r="B334" s="7"/>
      <c r="C334" s="5"/>
      <c r="D334" s="5"/>
      <c r="E334" s="9"/>
      <c r="F334" s="9"/>
      <c r="G334" s="10"/>
      <c r="H334" s="11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7"/>
      <c r="B335" s="7"/>
      <c r="C335" s="5"/>
      <c r="D335" s="5"/>
      <c r="E335" s="9"/>
      <c r="F335" s="9"/>
      <c r="G335" s="10"/>
      <c r="H335" s="11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7"/>
      <c r="B336" s="7"/>
      <c r="C336" s="5"/>
      <c r="D336" s="5"/>
      <c r="E336" s="9"/>
      <c r="F336" s="9"/>
      <c r="G336" s="10"/>
      <c r="H336" s="11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7"/>
      <c r="B337" s="7"/>
      <c r="C337" s="5"/>
      <c r="D337" s="5"/>
      <c r="E337" s="9"/>
      <c r="F337" s="9"/>
      <c r="G337" s="10"/>
      <c r="H337" s="11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7"/>
      <c r="B338" s="7"/>
      <c r="C338" s="5"/>
      <c r="D338" s="5"/>
      <c r="E338" s="9"/>
      <c r="F338" s="9"/>
      <c r="G338" s="10"/>
      <c r="H338" s="11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7"/>
      <c r="B339" s="7"/>
      <c r="C339" s="5"/>
      <c r="D339" s="5"/>
      <c r="E339" s="9"/>
      <c r="F339" s="9"/>
      <c r="G339" s="10"/>
      <c r="H339" s="11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7"/>
      <c r="B340" s="7"/>
      <c r="C340" s="5"/>
      <c r="D340" s="5"/>
      <c r="E340" s="9"/>
      <c r="F340" s="9"/>
      <c r="G340" s="10"/>
      <c r="H340" s="11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7"/>
      <c r="B341" s="7"/>
      <c r="C341" s="5"/>
      <c r="D341" s="5"/>
      <c r="E341" s="9"/>
      <c r="F341" s="9"/>
      <c r="G341" s="10"/>
      <c r="H341" s="11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7"/>
      <c r="B342" s="7"/>
      <c r="C342" s="5"/>
      <c r="D342" s="5"/>
      <c r="E342" s="9"/>
      <c r="F342" s="9"/>
      <c r="G342" s="10"/>
      <c r="H342" s="11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7"/>
      <c r="B343" s="7"/>
      <c r="C343" s="5"/>
      <c r="D343" s="5"/>
      <c r="E343" s="9"/>
      <c r="F343" s="9"/>
      <c r="G343" s="10"/>
      <c r="H343" s="11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7"/>
      <c r="B344" s="7"/>
      <c r="C344" s="5"/>
      <c r="D344" s="5"/>
      <c r="E344" s="9"/>
      <c r="F344" s="9"/>
      <c r="G344" s="10"/>
      <c r="H344" s="11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7"/>
      <c r="B345" s="7"/>
      <c r="C345" s="5"/>
      <c r="D345" s="5"/>
      <c r="E345" s="9"/>
      <c r="F345" s="9"/>
      <c r="G345" s="10"/>
      <c r="H345" s="11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7"/>
      <c r="B346" s="7"/>
      <c r="C346" s="5"/>
      <c r="D346" s="5"/>
      <c r="E346" s="9"/>
      <c r="F346" s="9"/>
      <c r="G346" s="10"/>
      <c r="H346" s="11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7"/>
      <c r="B347" s="7"/>
      <c r="C347" s="5"/>
      <c r="D347" s="5"/>
      <c r="E347" s="9"/>
      <c r="F347" s="9"/>
      <c r="G347" s="10"/>
      <c r="H347" s="11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7"/>
      <c r="B348" s="7"/>
      <c r="C348" s="5"/>
      <c r="D348" s="5"/>
      <c r="E348" s="9"/>
      <c r="F348" s="9"/>
      <c r="G348" s="10"/>
      <c r="H348" s="11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7"/>
      <c r="B349" s="7"/>
      <c r="C349" s="5"/>
      <c r="D349" s="5"/>
      <c r="E349" s="9"/>
      <c r="F349" s="9"/>
      <c r="G349" s="10"/>
      <c r="H349" s="11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7"/>
      <c r="B350" s="7"/>
      <c r="C350" s="5"/>
      <c r="D350" s="5"/>
      <c r="E350" s="9"/>
      <c r="F350" s="9"/>
      <c r="G350" s="10"/>
      <c r="H350" s="11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7"/>
      <c r="B351" s="7"/>
      <c r="C351" s="5"/>
      <c r="D351" s="5"/>
      <c r="E351" s="9"/>
      <c r="F351" s="9"/>
      <c r="G351" s="10"/>
      <c r="H351" s="11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7"/>
      <c r="B352" s="7"/>
      <c r="C352" s="5"/>
      <c r="D352" s="5"/>
      <c r="E352" s="9"/>
      <c r="F352" s="9"/>
      <c r="G352" s="10"/>
      <c r="H352" s="11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7"/>
      <c r="B353" s="7"/>
      <c r="C353" s="5"/>
      <c r="D353" s="5"/>
      <c r="E353" s="9"/>
      <c r="F353" s="9"/>
      <c r="G353" s="10"/>
      <c r="H353" s="11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7"/>
      <c r="B354" s="7"/>
      <c r="C354" s="5"/>
      <c r="D354" s="5"/>
      <c r="E354" s="9"/>
      <c r="F354" s="9"/>
      <c r="G354" s="10"/>
      <c r="H354" s="11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7"/>
      <c r="B355" s="7"/>
      <c r="C355" s="5"/>
      <c r="D355" s="5"/>
      <c r="E355" s="9"/>
      <c r="F355" s="9"/>
      <c r="G355" s="10"/>
      <c r="H355" s="11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7"/>
      <c r="B356" s="7"/>
      <c r="C356" s="5"/>
      <c r="D356" s="5"/>
      <c r="E356" s="9"/>
      <c r="F356" s="9"/>
      <c r="G356" s="10"/>
      <c r="H356" s="11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7"/>
      <c r="B357" s="7"/>
      <c r="C357" s="5"/>
      <c r="D357" s="5"/>
      <c r="E357" s="9"/>
      <c r="F357" s="9"/>
      <c r="G357" s="10"/>
      <c r="H357" s="11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7"/>
      <c r="B358" s="7"/>
      <c r="C358" s="5"/>
      <c r="D358" s="5"/>
      <c r="E358" s="9"/>
      <c r="F358" s="9"/>
      <c r="G358" s="10"/>
      <c r="H358" s="11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7"/>
      <c r="B359" s="7"/>
      <c r="C359" s="5"/>
      <c r="D359" s="5"/>
      <c r="E359" s="9"/>
      <c r="F359" s="9"/>
      <c r="G359" s="10"/>
      <c r="H359" s="11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7"/>
      <c r="B360" s="7"/>
      <c r="C360" s="5"/>
      <c r="D360" s="5"/>
      <c r="E360" s="9"/>
      <c r="F360" s="9"/>
      <c r="G360" s="10"/>
      <c r="H360" s="11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7"/>
      <c r="B361" s="7"/>
      <c r="C361" s="5"/>
      <c r="D361" s="5"/>
      <c r="E361" s="9"/>
      <c r="F361" s="9"/>
      <c r="G361" s="10"/>
      <c r="H361" s="11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7"/>
      <c r="B362" s="7"/>
      <c r="C362" s="5"/>
      <c r="D362" s="5"/>
      <c r="E362" s="9"/>
      <c r="F362" s="9"/>
      <c r="G362" s="10"/>
      <c r="H362" s="11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7"/>
      <c r="B363" s="7"/>
      <c r="C363" s="5"/>
      <c r="D363" s="5"/>
      <c r="E363" s="9"/>
      <c r="F363" s="9"/>
      <c r="G363" s="10"/>
      <c r="H363" s="11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7"/>
      <c r="B364" s="7"/>
      <c r="C364" s="5"/>
      <c r="D364" s="5"/>
      <c r="E364" s="9"/>
      <c r="F364" s="9"/>
      <c r="G364" s="10"/>
      <c r="H364" s="11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7"/>
      <c r="B365" s="7"/>
      <c r="C365" s="5"/>
      <c r="D365" s="5"/>
      <c r="E365" s="9"/>
      <c r="F365" s="9"/>
      <c r="G365" s="10"/>
      <c r="H365" s="11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7"/>
      <c r="B366" s="7"/>
      <c r="C366" s="5"/>
      <c r="D366" s="5"/>
      <c r="E366" s="9"/>
      <c r="F366" s="9"/>
      <c r="G366" s="10"/>
      <c r="H366" s="11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7"/>
      <c r="B367" s="7"/>
      <c r="C367" s="5"/>
      <c r="D367" s="5"/>
      <c r="E367" s="9"/>
      <c r="F367" s="9"/>
      <c r="G367" s="10"/>
      <c r="H367" s="11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7"/>
      <c r="B368" s="7"/>
      <c r="C368" s="5"/>
      <c r="D368" s="5"/>
      <c r="E368" s="9"/>
      <c r="F368" s="9"/>
      <c r="G368" s="10"/>
      <c r="H368" s="11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7"/>
      <c r="B369" s="7"/>
      <c r="C369" s="5"/>
      <c r="D369" s="5"/>
      <c r="E369" s="9"/>
      <c r="F369" s="9"/>
      <c r="G369" s="10"/>
      <c r="H369" s="11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7"/>
      <c r="B370" s="7"/>
      <c r="C370" s="5"/>
      <c r="D370" s="5"/>
      <c r="E370" s="9"/>
      <c r="F370" s="9"/>
      <c r="G370" s="10"/>
      <c r="H370" s="11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7"/>
      <c r="B371" s="7"/>
      <c r="C371" s="5"/>
      <c r="D371" s="5"/>
      <c r="E371" s="9"/>
      <c r="F371" s="9"/>
      <c r="G371" s="10"/>
      <c r="H371" s="11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7"/>
      <c r="B372" s="7"/>
      <c r="C372" s="5"/>
      <c r="D372" s="5"/>
      <c r="E372" s="9"/>
      <c r="F372" s="9"/>
      <c r="G372" s="10"/>
      <c r="H372" s="11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7"/>
      <c r="B373" s="7"/>
      <c r="C373" s="5"/>
      <c r="D373" s="5"/>
      <c r="E373" s="9"/>
      <c r="F373" s="9"/>
      <c r="G373" s="10"/>
      <c r="H373" s="11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7"/>
      <c r="B374" s="7"/>
      <c r="C374" s="5"/>
      <c r="D374" s="5"/>
      <c r="E374" s="9"/>
      <c r="F374" s="9"/>
      <c r="G374" s="10"/>
      <c r="H374" s="11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7"/>
      <c r="B375" s="7"/>
      <c r="C375" s="5"/>
      <c r="D375" s="5"/>
      <c r="E375" s="9"/>
      <c r="F375" s="9"/>
      <c r="G375" s="10"/>
      <c r="H375" s="11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7"/>
      <c r="B376" s="7"/>
      <c r="C376" s="5"/>
      <c r="D376" s="5"/>
      <c r="E376" s="9"/>
      <c r="F376" s="9"/>
      <c r="G376" s="10"/>
      <c r="H376" s="11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7"/>
      <c r="B377" s="7"/>
      <c r="C377" s="5"/>
      <c r="D377" s="5"/>
      <c r="E377" s="9"/>
      <c r="F377" s="9"/>
      <c r="G377" s="10"/>
      <c r="H377" s="11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7"/>
      <c r="B378" s="7"/>
      <c r="C378" s="5"/>
      <c r="D378" s="5"/>
      <c r="E378" s="9"/>
      <c r="F378" s="9"/>
      <c r="G378" s="10"/>
      <c r="H378" s="11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7"/>
      <c r="B379" s="7"/>
      <c r="C379" s="5"/>
      <c r="D379" s="5"/>
      <c r="E379" s="9"/>
      <c r="F379" s="9"/>
      <c r="G379" s="10"/>
      <c r="H379" s="11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7"/>
      <c r="B380" s="7"/>
      <c r="C380" s="5"/>
      <c r="D380" s="5"/>
      <c r="E380" s="9"/>
      <c r="F380" s="9"/>
      <c r="G380" s="10"/>
      <c r="H380" s="11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7"/>
      <c r="B381" s="7"/>
      <c r="C381" s="5"/>
      <c r="D381" s="5"/>
      <c r="E381" s="9"/>
      <c r="F381" s="9"/>
      <c r="G381" s="10"/>
      <c r="H381" s="11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7"/>
      <c r="B382" s="7"/>
      <c r="C382" s="5"/>
      <c r="D382" s="5"/>
      <c r="E382" s="9"/>
      <c r="F382" s="9"/>
      <c r="G382" s="10"/>
      <c r="H382" s="11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7"/>
      <c r="B383" s="7"/>
      <c r="C383" s="5"/>
      <c r="D383" s="5"/>
      <c r="E383" s="9"/>
      <c r="F383" s="9"/>
      <c r="G383" s="10"/>
      <c r="H383" s="11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7"/>
      <c r="B384" s="7"/>
      <c r="C384" s="5"/>
      <c r="D384" s="5"/>
      <c r="E384" s="9"/>
      <c r="F384" s="9"/>
      <c r="G384" s="10"/>
      <c r="H384" s="11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7"/>
      <c r="B385" s="7"/>
      <c r="C385" s="5"/>
      <c r="D385" s="5"/>
      <c r="E385" s="9"/>
      <c r="F385" s="9"/>
      <c r="G385" s="10"/>
      <c r="H385" s="11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7"/>
      <c r="B386" s="7"/>
      <c r="C386" s="5"/>
      <c r="D386" s="5"/>
      <c r="E386" s="9"/>
      <c r="F386" s="9"/>
      <c r="G386" s="10"/>
      <c r="H386" s="11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7"/>
      <c r="B387" s="7"/>
      <c r="C387" s="5"/>
      <c r="D387" s="5"/>
      <c r="E387" s="9"/>
      <c r="F387" s="9"/>
      <c r="G387" s="10"/>
      <c r="H387" s="11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7"/>
      <c r="B388" s="7"/>
      <c r="C388" s="5"/>
      <c r="D388" s="5"/>
      <c r="E388" s="9"/>
      <c r="F388" s="9"/>
      <c r="G388" s="10"/>
      <c r="H388" s="11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7"/>
      <c r="B389" s="7"/>
      <c r="C389" s="5"/>
      <c r="D389" s="5"/>
      <c r="E389" s="9"/>
      <c r="F389" s="9"/>
      <c r="G389" s="10"/>
      <c r="H389" s="11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7"/>
      <c r="B390" s="7"/>
      <c r="C390" s="5"/>
      <c r="D390" s="5"/>
      <c r="E390" s="9"/>
      <c r="F390" s="9"/>
      <c r="G390" s="10"/>
      <c r="H390" s="11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7"/>
      <c r="B391" s="7"/>
      <c r="C391" s="5"/>
      <c r="D391" s="5"/>
      <c r="E391" s="9"/>
      <c r="F391" s="9"/>
      <c r="G391" s="10"/>
      <c r="H391" s="11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7"/>
      <c r="B392" s="7"/>
      <c r="C392" s="5"/>
      <c r="D392" s="5"/>
      <c r="E392" s="9"/>
      <c r="F392" s="9"/>
      <c r="G392" s="10"/>
      <c r="H392" s="11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7"/>
      <c r="B393" s="7"/>
      <c r="C393" s="5"/>
      <c r="D393" s="5"/>
      <c r="E393" s="9"/>
      <c r="F393" s="9"/>
      <c r="G393" s="10"/>
      <c r="H393" s="11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7"/>
      <c r="B394" s="7"/>
      <c r="C394" s="5"/>
      <c r="D394" s="5"/>
      <c r="E394" s="9"/>
      <c r="F394" s="9"/>
      <c r="G394" s="10"/>
      <c r="H394" s="11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7"/>
      <c r="B395" s="7"/>
      <c r="C395" s="5"/>
      <c r="D395" s="5"/>
      <c r="E395" s="9"/>
      <c r="F395" s="9"/>
      <c r="G395" s="10"/>
      <c r="H395" s="11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7"/>
      <c r="B396" s="7"/>
      <c r="C396" s="5"/>
      <c r="D396" s="5"/>
      <c r="E396" s="9"/>
      <c r="F396" s="9"/>
      <c r="G396" s="10"/>
      <c r="H396" s="11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7"/>
      <c r="B397" s="7"/>
      <c r="C397" s="5"/>
      <c r="D397" s="5"/>
      <c r="E397" s="9"/>
      <c r="F397" s="9"/>
      <c r="G397" s="10"/>
      <c r="H397" s="11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7"/>
      <c r="B398" s="7"/>
      <c r="C398" s="5"/>
      <c r="D398" s="5"/>
      <c r="E398" s="9"/>
      <c r="F398" s="9"/>
      <c r="G398" s="10"/>
      <c r="H398" s="11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7"/>
      <c r="B399" s="7"/>
      <c r="C399" s="5"/>
      <c r="D399" s="5"/>
      <c r="E399" s="9"/>
      <c r="F399" s="9"/>
      <c r="G399" s="10"/>
      <c r="H399" s="11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7"/>
      <c r="B400" s="7"/>
      <c r="C400" s="5"/>
      <c r="D400" s="5"/>
      <c r="E400" s="9"/>
      <c r="F400" s="9"/>
      <c r="G400" s="10"/>
      <c r="H400" s="11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7"/>
      <c r="B401" s="7"/>
      <c r="C401" s="5"/>
      <c r="D401" s="5"/>
      <c r="E401" s="9"/>
      <c r="F401" s="9"/>
      <c r="G401" s="10"/>
      <c r="H401" s="11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7"/>
      <c r="B402" s="7"/>
      <c r="C402" s="5"/>
      <c r="D402" s="5"/>
      <c r="E402" s="9"/>
      <c r="F402" s="9"/>
      <c r="G402" s="10"/>
      <c r="H402" s="11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7"/>
      <c r="B403" s="7"/>
      <c r="C403" s="5"/>
      <c r="D403" s="5"/>
      <c r="E403" s="9"/>
      <c r="F403" s="9"/>
      <c r="G403" s="10"/>
      <c r="H403" s="11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7"/>
      <c r="B404" s="7"/>
      <c r="C404" s="5"/>
      <c r="D404" s="5"/>
      <c r="E404" s="9"/>
      <c r="F404" s="9"/>
      <c r="G404" s="10"/>
      <c r="H404" s="11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7"/>
      <c r="B405" s="7"/>
      <c r="C405" s="5"/>
      <c r="D405" s="5"/>
      <c r="E405" s="9"/>
      <c r="F405" s="9"/>
      <c r="G405" s="10"/>
      <c r="H405" s="11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7"/>
      <c r="B406" s="7"/>
      <c r="C406" s="5"/>
      <c r="D406" s="5"/>
      <c r="E406" s="9"/>
      <c r="F406" s="9"/>
      <c r="G406" s="10"/>
      <c r="H406" s="11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7"/>
      <c r="B407" s="7"/>
      <c r="C407" s="5"/>
      <c r="D407" s="5"/>
      <c r="E407" s="9"/>
      <c r="F407" s="9"/>
      <c r="G407" s="10"/>
      <c r="H407" s="11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7"/>
      <c r="B408" s="7"/>
      <c r="C408" s="5"/>
      <c r="D408" s="5"/>
      <c r="E408" s="9"/>
      <c r="F408" s="9"/>
      <c r="G408" s="10"/>
      <c r="H408" s="11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7"/>
      <c r="B409" s="7"/>
      <c r="C409" s="5"/>
      <c r="D409" s="5"/>
      <c r="E409" s="9"/>
      <c r="F409" s="9"/>
      <c r="G409" s="10"/>
      <c r="H409" s="11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7"/>
      <c r="B410" s="7"/>
      <c r="C410" s="5"/>
      <c r="D410" s="5"/>
      <c r="E410" s="9"/>
      <c r="F410" s="9"/>
      <c r="G410" s="10"/>
      <c r="H410" s="11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7"/>
      <c r="B411" s="7"/>
      <c r="C411" s="5"/>
      <c r="D411" s="5"/>
      <c r="E411" s="9"/>
      <c r="F411" s="9"/>
      <c r="G411" s="10"/>
      <c r="H411" s="11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7"/>
      <c r="B412" s="7"/>
      <c r="C412" s="5"/>
      <c r="D412" s="5"/>
      <c r="E412" s="9"/>
      <c r="F412" s="9"/>
      <c r="G412" s="10"/>
      <c r="H412" s="11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7"/>
      <c r="B413" s="7"/>
      <c r="C413" s="5"/>
      <c r="D413" s="5"/>
      <c r="E413" s="9"/>
      <c r="F413" s="9"/>
      <c r="G413" s="10"/>
      <c r="H413" s="11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7"/>
      <c r="B414" s="7"/>
      <c r="C414" s="5"/>
      <c r="D414" s="5"/>
      <c r="E414" s="9"/>
      <c r="F414" s="9"/>
      <c r="G414" s="10"/>
      <c r="H414" s="11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7"/>
      <c r="B415" s="7"/>
      <c r="C415" s="5"/>
      <c r="D415" s="5"/>
      <c r="E415" s="9"/>
      <c r="F415" s="9"/>
      <c r="G415" s="10"/>
      <c r="H415" s="11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7"/>
      <c r="B416" s="7"/>
      <c r="C416" s="5"/>
      <c r="D416" s="5"/>
      <c r="E416" s="9"/>
      <c r="F416" s="9"/>
      <c r="G416" s="10"/>
      <c r="H416" s="11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7"/>
      <c r="B417" s="7"/>
      <c r="C417" s="5"/>
      <c r="D417" s="5"/>
      <c r="E417" s="9"/>
      <c r="F417" s="9"/>
      <c r="G417" s="10"/>
      <c r="H417" s="11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7"/>
      <c r="B418" s="7"/>
      <c r="C418" s="5"/>
      <c r="D418" s="5"/>
      <c r="E418" s="9"/>
      <c r="F418" s="9"/>
      <c r="G418" s="10"/>
      <c r="H418" s="11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7"/>
      <c r="B419" s="7"/>
      <c r="C419" s="5"/>
      <c r="D419" s="5"/>
      <c r="E419" s="9"/>
      <c r="F419" s="9"/>
      <c r="G419" s="10"/>
      <c r="H419" s="11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7"/>
      <c r="B420" s="7"/>
      <c r="C420" s="5"/>
      <c r="D420" s="5"/>
      <c r="E420" s="9"/>
      <c r="F420" s="9"/>
      <c r="G420" s="10"/>
      <c r="H420" s="11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7"/>
      <c r="B421" s="7"/>
      <c r="C421" s="5"/>
      <c r="D421" s="5"/>
      <c r="E421" s="9"/>
      <c r="F421" s="9"/>
      <c r="G421" s="10"/>
      <c r="H421" s="11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7"/>
      <c r="B422" s="7"/>
      <c r="C422" s="5"/>
      <c r="D422" s="5"/>
      <c r="E422" s="9"/>
      <c r="F422" s="9"/>
      <c r="G422" s="10"/>
      <c r="H422" s="11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7"/>
      <c r="B423" s="7"/>
      <c r="C423" s="5"/>
      <c r="D423" s="5"/>
      <c r="E423" s="9"/>
      <c r="F423" s="9"/>
      <c r="G423" s="10"/>
      <c r="H423" s="11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7"/>
      <c r="B424" s="7"/>
      <c r="C424" s="5"/>
      <c r="D424" s="5"/>
      <c r="E424" s="9"/>
      <c r="F424" s="9"/>
      <c r="G424" s="10"/>
      <c r="H424" s="11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7"/>
      <c r="B425" s="7"/>
      <c r="C425" s="5"/>
      <c r="D425" s="5"/>
      <c r="E425" s="9"/>
      <c r="F425" s="9"/>
      <c r="G425" s="10"/>
      <c r="H425" s="11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7"/>
      <c r="B426" s="7"/>
      <c r="C426" s="5"/>
      <c r="D426" s="5"/>
      <c r="E426" s="9"/>
      <c r="F426" s="9"/>
      <c r="G426" s="10"/>
      <c r="H426" s="11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7"/>
      <c r="B427" s="7"/>
      <c r="C427" s="5"/>
      <c r="D427" s="5"/>
      <c r="E427" s="9"/>
      <c r="F427" s="9"/>
      <c r="G427" s="10"/>
      <c r="H427" s="11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7"/>
      <c r="B428" s="7"/>
      <c r="C428" s="5"/>
      <c r="D428" s="5"/>
      <c r="E428" s="9"/>
      <c r="F428" s="9"/>
      <c r="G428" s="10"/>
      <c r="H428" s="11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7"/>
      <c r="B429" s="7"/>
      <c r="C429" s="5"/>
      <c r="D429" s="5"/>
      <c r="E429" s="9"/>
      <c r="F429" s="9"/>
      <c r="G429" s="10"/>
      <c r="H429" s="11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7"/>
      <c r="B430" s="7"/>
      <c r="C430" s="5"/>
      <c r="D430" s="5"/>
      <c r="E430" s="9"/>
      <c r="F430" s="9"/>
      <c r="G430" s="10"/>
      <c r="H430" s="11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7"/>
      <c r="B431" s="7"/>
      <c r="C431" s="5"/>
      <c r="D431" s="5"/>
      <c r="E431" s="9"/>
      <c r="F431" s="9"/>
      <c r="G431" s="10"/>
      <c r="H431" s="11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7"/>
      <c r="B432" s="7"/>
      <c r="C432" s="5"/>
      <c r="D432" s="5"/>
      <c r="E432" s="9"/>
      <c r="F432" s="9"/>
      <c r="G432" s="10"/>
      <c r="H432" s="11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7"/>
      <c r="B433" s="7"/>
      <c r="C433" s="5"/>
      <c r="D433" s="5"/>
      <c r="E433" s="9"/>
      <c r="F433" s="9"/>
      <c r="G433" s="10"/>
      <c r="H433" s="11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7"/>
      <c r="B434" s="7"/>
      <c r="C434" s="5"/>
      <c r="D434" s="5"/>
      <c r="E434" s="9"/>
      <c r="F434" s="9"/>
      <c r="G434" s="10"/>
      <c r="H434" s="11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7"/>
      <c r="B435" s="7"/>
      <c r="C435" s="5"/>
      <c r="D435" s="5"/>
      <c r="E435" s="9"/>
      <c r="F435" s="9"/>
      <c r="G435" s="10"/>
      <c r="H435" s="11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7"/>
      <c r="B436" s="7"/>
      <c r="C436" s="5"/>
      <c r="D436" s="5"/>
      <c r="E436" s="9"/>
      <c r="F436" s="9"/>
      <c r="G436" s="10"/>
      <c r="H436" s="11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7"/>
      <c r="B437" s="7"/>
      <c r="C437" s="5"/>
      <c r="D437" s="5"/>
      <c r="E437" s="9"/>
      <c r="F437" s="9"/>
      <c r="G437" s="10"/>
      <c r="H437" s="11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7"/>
      <c r="B438" s="7"/>
      <c r="C438" s="5"/>
      <c r="D438" s="5"/>
      <c r="E438" s="9"/>
      <c r="F438" s="9"/>
      <c r="G438" s="10"/>
      <c r="H438" s="11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7"/>
      <c r="B439" s="7"/>
      <c r="C439" s="5"/>
      <c r="D439" s="5"/>
      <c r="E439" s="9"/>
      <c r="F439" s="9"/>
      <c r="G439" s="10"/>
      <c r="H439" s="11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7"/>
      <c r="B440" s="7"/>
      <c r="C440" s="5"/>
      <c r="D440" s="5"/>
      <c r="E440" s="9"/>
      <c r="F440" s="9"/>
      <c r="G440" s="10"/>
      <c r="H440" s="11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7"/>
      <c r="B441" s="7"/>
      <c r="C441" s="5"/>
      <c r="D441" s="5"/>
      <c r="E441" s="9"/>
      <c r="F441" s="9"/>
      <c r="G441" s="10"/>
      <c r="H441" s="11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7"/>
      <c r="B442" s="7"/>
      <c r="C442" s="5"/>
      <c r="D442" s="5"/>
      <c r="E442" s="9"/>
      <c r="F442" s="9"/>
      <c r="G442" s="10"/>
      <c r="H442" s="11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7"/>
      <c r="B443" s="7"/>
      <c r="C443" s="5"/>
      <c r="D443" s="5"/>
      <c r="E443" s="9"/>
      <c r="F443" s="9"/>
      <c r="G443" s="10"/>
      <c r="H443" s="11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7"/>
      <c r="B444" s="7"/>
      <c r="C444" s="5"/>
      <c r="D444" s="5"/>
      <c r="E444" s="9"/>
      <c r="F444" s="9"/>
      <c r="G444" s="10"/>
      <c r="H444" s="11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7"/>
      <c r="B445" s="7"/>
      <c r="C445" s="5"/>
      <c r="D445" s="5"/>
      <c r="E445" s="9"/>
      <c r="F445" s="9"/>
      <c r="G445" s="10"/>
      <c r="H445" s="11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7"/>
      <c r="B446" s="7"/>
      <c r="C446" s="5"/>
      <c r="D446" s="5"/>
      <c r="E446" s="9"/>
      <c r="F446" s="9"/>
      <c r="G446" s="10"/>
      <c r="H446" s="11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7"/>
      <c r="B447" s="7"/>
      <c r="C447" s="5"/>
      <c r="D447" s="5"/>
      <c r="E447" s="9"/>
      <c r="F447" s="9"/>
      <c r="G447" s="10"/>
      <c r="H447" s="11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7"/>
      <c r="B448" s="7"/>
      <c r="C448" s="5"/>
      <c r="D448" s="5"/>
      <c r="E448" s="9"/>
      <c r="F448" s="9"/>
      <c r="G448" s="10"/>
      <c r="H448" s="11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7"/>
      <c r="B449" s="7"/>
      <c r="C449" s="5"/>
      <c r="D449" s="5"/>
      <c r="E449" s="9"/>
      <c r="F449" s="9"/>
      <c r="G449" s="10"/>
      <c r="H449" s="11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7"/>
      <c r="B450" s="7"/>
      <c r="C450" s="5"/>
      <c r="D450" s="5"/>
      <c r="E450" s="9"/>
      <c r="F450" s="9"/>
      <c r="G450" s="10"/>
      <c r="H450" s="11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7"/>
      <c r="B451" s="7"/>
      <c r="C451" s="5"/>
      <c r="D451" s="5"/>
      <c r="E451" s="9"/>
      <c r="F451" s="9"/>
      <c r="G451" s="10"/>
      <c r="H451" s="11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7"/>
      <c r="B452" s="7"/>
      <c r="C452" s="5"/>
      <c r="D452" s="5"/>
      <c r="E452" s="9"/>
      <c r="F452" s="9"/>
      <c r="G452" s="10"/>
      <c r="H452" s="11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7"/>
      <c r="B453" s="7"/>
      <c r="C453" s="5"/>
      <c r="D453" s="5"/>
      <c r="E453" s="9"/>
      <c r="F453" s="9"/>
      <c r="G453" s="10"/>
      <c r="H453" s="11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7"/>
      <c r="B454" s="7"/>
      <c r="C454" s="5"/>
      <c r="D454" s="5"/>
      <c r="E454" s="9"/>
      <c r="F454" s="9"/>
      <c r="G454" s="10"/>
      <c r="H454" s="11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7"/>
      <c r="B455" s="7"/>
      <c r="C455" s="5"/>
      <c r="D455" s="5"/>
      <c r="E455" s="9"/>
      <c r="F455" s="9"/>
      <c r="G455" s="10"/>
      <c r="H455" s="11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7"/>
      <c r="B456" s="7"/>
      <c r="C456" s="5"/>
      <c r="D456" s="5"/>
      <c r="E456" s="9"/>
      <c r="F456" s="9"/>
      <c r="G456" s="10"/>
      <c r="H456" s="11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7"/>
      <c r="B457" s="7"/>
      <c r="C457" s="5"/>
      <c r="D457" s="5"/>
      <c r="E457" s="9"/>
      <c r="F457" s="9"/>
      <c r="G457" s="10"/>
      <c r="H457" s="11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7"/>
      <c r="B458" s="7"/>
      <c r="C458" s="5"/>
      <c r="D458" s="5"/>
      <c r="E458" s="9"/>
      <c r="F458" s="9"/>
      <c r="G458" s="10"/>
      <c r="H458" s="11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7"/>
      <c r="B459" s="7"/>
      <c r="C459" s="5"/>
      <c r="D459" s="5"/>
      <c r="E459" s="9"/>
      <c r="F459" s="9"/>
      <c r="G459" s="10"/>
      <c r="H459" s="11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7"/>
      <c r="B460" s="7"/>
      <c r="C460" s="5"/>
      <c r="D460" s="5"/>
      <c r="E460" s="9"/>
      <c r="F460" s="9"/>
      <c r="G460" s="10"/>
      <c r="H460" s="11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7"/>
      <c r="B461" s="7"/>
      <c r="C461" s="5"/>
      <c r="D461" s="5"/>
      <c r="E461" s="9"/>
      <c r="F461" s="9"/>
      <c r="G461" s="10"/>
      <c r="H461" s="11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7"/>
      <c r="B462" s="7"/>
      <c r="C462" s="5"/>
      <c r="D462" s="5"/>
      <c r="E462" s="9"/>
      <c r="F462" s="9"/>
      <c r="G462" s="10"/>
      <c r="H462" s="11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7"/>
      <c r="B463" s="7"/>
      <c r="C463" s="5"/>
      <c r="D463" s="5"/>
      <c r="E463" s="9"/>
      <c r="F463" s="9"/>
      <c r="G463" s="10"/>
      <c r="H463" s="11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7"/>
      <c r="B464" s="7"/>
      <c r="C464" s="5"/>
      <c r="D464" s="5"/>
      <c r="E464" s="9"/>
      <c r="F464" s="9"/>
      <c r="G464" s="10"/>
      <c r="H464" s="11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7"/>
      <c r="B465" s="7"/>
      <c r="C465" s="5"/>
      <c r="D465" s="5"/>
      <c r="E465" s="9"/>
      <c r="F465" s="9"/>
      <c r="G465" s="10"/>
      <c r="H465" s="11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7"/>
      <c r="B466" s="7"/>
      <c r="C466" s="5"/>
      <c r="D466" s="5"/>
      <c r="E466" s="9"/>
      <c r="F466" s="9"/>
      <c r="G466" s="10"/>
      <c r="H466" s="11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7"/>
      <c r="B467" s="7"/>
      <c r="C467" s="5"/>
      <c r="D467" s="5"/>
      <c r="E467" s="9"/>
      <c r="F467" s="9"/>
      <c r="G467" s="10"/>
      <c r="H467" s="11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7"/>
      <c r="B468" s="7"/>
      <c r="C468" s="5"/>
      <c r="D468" s="5"/>
      <c r="E468" s="9"/>
      <c r="F468" s="9"/>
      <c r="G468" s="10"/>
      <c r="H468" s="11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7"/>
      <c r="B469" s="7"/>
      <c r="C469" s="5"/>
      <c r="D469" s="5"/>
      <c r="E469" s="9"/>
      <c r="F469" s="9"/>
      <c r="G469" s="10"/>
      <c r="H469" s="11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7"/>
      <c r="B470" s="7"/>
      <c r="C470" s="5"/>
      <c r="D470" s="5"/>
      <c r="E470" s="9"/>
      <c r="F470" s="9"/>
      <c r="G470" s="10"/>
      <c r="H470" s="11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7"/>
      <c r="B471" s="7"/>
      <c r="C471" s="5"/>
      <c r="D471" s="5"/>
      <c r="E471" s="9"/>
      <c r="F471" s="9"/>
      <c r="G471" s="10"/>
      <c r="H471" s="11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7"/>
      <c r="B472" s="7"/>
      <c r="C472" s="5"/>
      <c r="D472" s="5"/>
      <c r="E472" s="9"/>
      <c r="F472" s="9"/>
      <c r="G472" s="10"/>
      <c r="H472" s="11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7"/>
      <c r="B473" s="7"/>
      <c r="C473" s="5"/>
      <c r="D473" s="5"/>
      <c r="E473" s="9"/>
      <c r="F473" s="9"/>
      <c r="G473" s="10"/>
      <c r="H473" s="11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7"/>
      <c r="B474" s="7"/>
      <c r="C474" s="5"/>
      <c r="D474" s="5"/>
      <c r="E474" s="9"/>
      <c r="F474" s="9"/>
      <c r="G474" s="10"/>
      <c r="H474" s="11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7"/>
      <c r="B475" s="7"/>
      <c r="C475" s="5"/>
      <c r="D475" s="5"/>
      <c r="E475" s="9"/>
      <c r="F475" s="9"/>
      <c r="G475" s="10"/>
      <c r="H475" s="11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7"/>
      <c r="B476" s="7"/>
      <c r="C476" s="5"/>
      <c r="D476" s="5"/>
      <c r="E476" s="9"/>
      <c r="F476" s="9"/>
      <c r="G476" s="10"/>
      <c r="H476" s="11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7"/>
      <c r="B477" s="7"/>
      <c r="C477" s="5"/>
      <c r="D477" s="5"/>
      <c r="E477" s="9"/>
      <c r="F477" s="9"/>
      <c r="G477" s="10"/>
      <c r="H477" s="11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7"/>
      <c r="B478" s="7"/>
      <c r="C478" s="5"/>
      <c r="D478" s="5"/>
      <c r="E478" s="9"/>
      <c r="F478" s="9"/>
      <c r="G478" s="10"/>
      <c r="H478" s="11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7"/>
      <c r="B479" s="7"/>
      <c r="C479" s="5"/>
      <c r="D479" s="5"/>
      <c r="E479" s="9"/>
      <c r="F479" s="9"/>
      <c r="G479" s="10"/>
      <c r="H479" s="11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7"/>
      <c r="B480" s="7"/>
      <c r="C480" s="5"/>
      <c r="D480" s="5"/>
      <c r="E480" s="9"/>
      <c r="F480" s="9"/>
      <c r="G480" s="10"/>
      <c r="H480" s="11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7"/>
      <c r="B481" s="7"/>
      <c r="C481" s="5"/>
      <c r="D481" s="5"/>
      <c r="E481" s="9"/>
      <c r="F481" s="9"/>
      <c r="G481" s="10"/>
      <c r="H481" s="11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7"/>
      <c r="B482" s="7"/>
      <c r="C482" s="5"/>
      <c r="D482" s="5"/>
      <c r="E482" s="9"/>
      <c r="F482" s="9"/>
      <c r="G482" s="10"/>
      <c r="H482" s="11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7"/>
      <c r="B483" s="7"/>
      <c r="C483" s="5"/>
      <c r="D483" s="5"/>
      <c r="E483" s="9"/>
      <c r="F483" s="9"/>
      <c r="G483" s="10"/>
      <c r="H483" s="11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7"/>
      <c r="B484" s="7"/>
      <c r="C484" s="5"/>
      <c r="D484" s="5"/>
      <c r="E484" s="9"/>
      <c r="F484" s="9"/>
      <c r="G484" s="10"/>
      <c r="H484" s="11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7"/>
      <c r="B485" s="7"/>
      <c r="C485" s="5"/>
      <c r="D485" s="5"/>
      <c r="E485" s="9"/>
      <c r="F485" s="9"/>
      <c r="G485" s="10"/>
      <c r="H485" s="11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7"/>
      <c r="B486" s="7"/>
      <c r="C486" s="5"/>
      <c r="D486" s="5"/>
      <c r="E486" s="9"/>
      <c r="F486" s="9"/>
      <c r="G486" s="10"/>
      <c r="H486" s="11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7"/>
      <c r="B487" s="7"/>
      <c r="C487" s="5"/>
      <c r="D487" s="5"/>
      <c r="E487" s="9"/>
      <c r="F487" s="9"/>
      <c r="G487" s="10"/>
      <c r="H487" s="11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7"/>
      <c r="B488" s="7"/>
      <c r="C488" s="5"/>
      <c r="D488" s="5"/>
      <c r="E488" s="9"/>
      <c r="F488" s="9"/>
      <c r="G488" s="10"/>
      <c r="H488" s="11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7"/>
      <c r="B489" s="7"/>
      <c r="C489" s="5"/>
      <c r="D489" s="5"/>
      <c r="E489" s="9"/>
      <c r="F489" s="9"/>
      <c r="G489" s="10"/>
      <c r="H489" s="11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7"/>
      <c r="B490" s="7"/>
      <c r="C490" s="5"/>
      <c r="D490" s="5"/>
      <c r="E490" s="9"/>
      <c r="F490" s="9"/>
      <c r="G490" s="10"/>
      <c r="H490" s="11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7"/>
      <c r="B491" s="7"/>
      <c r="C491" s="5"/>
      <c r="D491" s="5"/>
      <c r="E491" s="9"/>
      <c r="F491" s="9"/>
      <c r="G491" s="10"/>
      <c r="H491" s="11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7"/>
      <c r="B492" s="7"/>
      <c r="C492" s="5"/>
      <c r="D492" s="5"/>
      <c r="E492" s="9"/>
      <c r="F492" s="9"/>
      <c r="G492" s="10"/>
      <c r="H492" s="11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7"/>
      <c r="B493" s="7"/>
      <c r="C493" s="5"/>
      <c r="D493" s="5"/>
      <c r="E493" s="9"/>
      <c r="F493" s="9"/>
      <c r="G493" s="10"/>
      <c r="H493" s="11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7"/>
      <c r="B494" s="7"/>
      <c r="C494" s="5"/>
      <c r="D494" s="5"/>
      <c r="E494" s="9"/>
      <c r="F494" s="9"/>
      <c r="G494" s="10"/>
      <c r="H494" s="11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7"/>
      <c r="B495" s="7"/>
      <c r="C495" s="5"/>
      <c r="D495" s="5"/>
      <c r="E495" s="9"/>
      <c r="F495" s="9"/>
      <c r="G495" s="10"/>
      <c r="H495" s="11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7"/>
      <c r="B496" s="7"/>
      <c r="C496" s="5"/>
      <c r="D496" s="5"/>
      <c r="E496" s="9"/>
      <c r="F496" s="9"/>
      <c r="G496" s="10"/>
      <c r="H496" s="11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7"/>
      <c r="B497" s="7"/>
      <c r="C497" s="5"/>
      <c r="D497" s="5"/>
      <c r="E497" s="9"/>
      <c r="F497" s="9"/>
      <c r="G497" s="10"/>
      <c r="H497" s="11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7"/>
      <c r="B498" s="7"/>
      <c r="C498" s="5"/>
      <c r="D498" s="5"/>
      <c r="E498" s="9"/>
      <c r="F498" s="9"/>
      <c r="G498" s="10"/>
      <c r="H498" s="11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7"/>
      <c r="B499" s="7"/>
      <c r="C499" s="5"/>
      <c r="D499" s="5"/>
      <c r="E499" s="9"/>
      <c r="F499" s="9"/>
      <c r="G499" s="10"/>
      <c r="H499" s="11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7"/>
      <c r="B500" s="7"/>
      <c r="C500" s="5"/>
      <c r="D500" s="5"/>
      <c r="E500" s="9"/>
      <c r="F500" s="9"/>
      <c r="G500" s="10"/>
      <c r="H500" s="11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7"/>
      <c r="B501" s="7"/>
      <c r="C501" s="5"/>
      <c r="D501" s="5"/>
      <c r="E501" s="9"/>
      <c r="F501" s="9"/>
      <c r="G501" s="10"/>
      <c r="H501" s="11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7"/>
      <c r="B502" s="7"/>
      <c r="C502" s="5"/>
      <c r="D502" s="5"/>
      <c r="E502" s="9"/>
      <c r="F502" s="9"/>
      <c r="G502" s="10"/>
      <c r="H502" s="11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7"/>
      <c r="B503" s="7"/>
      <c r="C503" s="5"/>
      <c r="D503" s="5"/>
      <c r="E503" s="9"/>
      <c r="F503" s="9"/>
      <c r="G503" s="10"/>
      <c r="H503" s="11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7"/>
      <c r="B504" s="7"/>
      <c r="C504" s="5"/>
      <c r="D504" s="5"/>
      <c r="E504" s="9"/>
      <c r="F504" s="9"/>
      <c r="G504" s="10"/>
      <c r="H504" s="11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7"/>
      <c r="B505" s="7"/>
      <c r="C505" s="5"/>
      <c r="D505" s="5"/>
      <c r="E505" s="9"/>
      <c r="F505" s="9"/>
      <c r="G505" s="10"/>
      <c r="H505" s="11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7"/>
      <c r="B506" s="7"/>
      <c r="C506" s="5"/>
      <c r="D506" s="5"/>
      <c r="E506" s="9"/>
      <c r="F506" s="9"/>
      <c r="G506" s="10"/>
      <c r="H506" s="11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7"/>
      <c r="B507" s="7"/>
      <c r="C507" s="5"/>
      <c r="D507" s="5"/>
      <c r="E507" s="9"/>
      <c r="F507" s="9"/>
      <c r="G507" s="10"/>
      <c r="H507" s="11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7"/>
      <c r="B508" s="7"/>
      <c r="C508" s="5"/>
      <c r="D508" s="5"/>
      <c r="E508" s="9"/>
      <c r="F508" s="9"/>
      <c r="G508" s="10"/>
      <c r="H508" s="11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7"/>
      <c r="B509" s="7"/>
      <c r="C509" s="5"/>
      <c r="D509" s="5"/>
      <c r="E509" s="9"/>
      <c r="F509" s="9"/>
      <c r="G509" s="10"/>
      <c r="H509" s="11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7"/>
      <c r="B510" s="7"/>
      <c r="C510" s="5"/>
      <c r="D510" s="5"/>
      <c r="E510" s="9"/>
      <c r="F510" s="9"/>
      <c r="G510" s="10"/>
      <c r="H510" s="11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7"/>
      <c r="B511" s="7"/>
      <c r="C511" s="5"/>
      <c r="D511" s="5"/>
      <c r="E511" s="9"/>
      <c r="F511" s="9"/>
      <c r="G511" s="10"/>
      <c r="H511" s="11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7"/>
      <c r="B512" s="7"/>
      <c r="C512" s="5"/>
      <c r="D512" s="5"/>
      <c r="E512" s="9"/>
      <c r="F512" s="9"/>
      <c r="G512" s="10"/>
      <c r="H512" s="11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7"/>
      <c r="B513" s="7"/>
      <c r="C513" s="5"/>
      <c r="D513" s="5"/>
      <c r="E513" s="9"/>
      <c r="F513" s="9"/>
      <c r="G513" s="10"/>
      <c r="H513" s="11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7"/>
      <c r="B514" s="7"/>
      <c r="C514" s="5"/>
      <c r="D514" s="5"/>
      <c r="E514" s="9"/>
      <c r="F514" s="9"/>
      <c r="G514" s="10"/>
      <c r="H514" s="11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7"/>
      <c r="B515" s="7"/>
      <c r="C515" s="5"/>
      <c r="D515" s="5"/>
      <c r="E515" s="9"/>
      <c r="F515" s="9"/>
      <c r="G515" s="10"/>
      <c r="H515" s="11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7"/>
      <c r="B516" s="7"/>
      <c r="C516" s="5"/>
      <c r="D516" s="5"/>
      <c r="E516" s="9"/>
      <c r="F516" s="9"/>
      <c r="G516" s="10"/>
      <c r="H516" s="11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7"/>
      <c r="B517" s="7"/>
      <c r="C517" s="5"/>
      <c r="D517" s="5"/>
      <c r="E517" s="9"/>
      <c r="F517" s="9"/>
      <c r="G517" s="10"/>
      <c r="H517" s="11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7"/>
      <c r="B518" s="7"/>
      <c r="C518" s="5"/>
      <c r="D518" s="5"/>
      <c r="E518" s="9"/>
      <c r="F518" s="9"/>
      <c r="G518" s="10"/>
      <c r="H518" s="11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7"/>
      <c r="B519" s="7"/>
      <c r="C519" s="5"/>
      <c r="D519" s="5"/>
      <c r="E519" s="9"/>
      <c r="F519" s="9"/>
      <c r="G519" s="10"/>
      <c r="H519" s="11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7"/>
      <c r="B520" s="7"/>
      <c r="C520" s="5"/>
      <c r="D520" s="5"/>
      <c r="E520" s="9"/>
      <c r="F520" s="9"/>
      <c r="G520" s="10"/>
      <c r="H520" s="11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7"/>
      <c r="B521" s="7"/>
      <c r="C521" s="5"/>
      <c r="D521" s="5"/>
      <c r="E521" s="9"/>
      <c r="F521" s="9"/>
      <c r="G521" s="10"/>
      <c r="H521" s="11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7"/>
      <c r="B522" s="7"/>
      <c r="C522" s="5"/>
      <c r="D522" s="5"/>
      <c r="E522" s="9"/>
      <c r="F522" s="9"/>
      <c r="G522" s="10"/>
      <c r="H522" s="11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7"/>
      <c r="B523" s="7"/>
      <c r="C523" s="5"/>
      <c r="D523" s="5"/>
      <c r="E523" s="9"/>
      <c r="F523" s="9"/>
      <c r="G523" s="10"/>
      <c r="H523" s="11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7"/>
      <c r="B524" s="7"/>
      <c r="C524" s="5"/>
      <c r="D524" s="5"/>
      <c r="E524" s="9"/>
      <c r="F524" s="9"/>
      <c r="G524" s="10"/>
      <c r="H524" s="11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7"/>
      <c r="B525" s="7"/>
      <c r="C525" s="5"/>
      <c r="D525" s="5"/>
      <c r="E525" s="9"/>
      <c r="F525" s="9"/>
      <c r="G525" s="10"/>
      <c r="H525" s="11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7"/>
      <c r="B526" s="7"/>
      <c r="C526" s="5"/>
      <c r="D526" s="5"/>
      <c r="E526" s="9"/>
      <c r="F526" s="9"/>
      <c r="G526" s="10"/>
      <c r="H526" s="11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7"/>
      <c r="B527" s="7"/>
      <c r="C527" s="5"/>
      <c r="D527" s="5"/>
      <c r="E527" s="9"/>
      <c r="F527" s="9"/>
      <c r="G527" s="10"/>
      <c r="H527" s="11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7"/>
      <c r="B528" s="7"/>
      <c r="C528" s="5"/>
      <c r="D528" s="5"/>
      <c r="E528" s="9"/>
      <c r="F528" s="9"/>
      <c r="G528" s="10"/>
      <c r="H528" s="11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7"/>
      <c r="B529" s="7"/>
      <c r="C529" s="5"/>
      <c r="D529" s="5"/>
      <c r="E529" s="9"/>
      <c r="F529" s="9"/>
      <c r="G529" s="10"/>
      <c r="H529" s="11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7"/>
      <c r="B530" s="7"/>
      <c r="C530" s="5"/>
      <c r="D530" s="5"/>
      <c r="E530" s="9"/>
      <c r="F530" s="9"/>
      <c r="G530" s="10"/>
      <c r="H530" s="11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7"/>
      <c r="B531" s="7"/>
      <c r="C531" s="5"/>
      <c r="D531" s="5"/>
      <c r="E531" s="9"/>
      <c r="F531" s="9"/>
      <c r="G531" s="10"/>
      <c r="H531" s="11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7"/>
      <c r="B532" s="7"/>
      <c r="C532" s="5"/>
      <c r="D532" s="5"/>
      <c r="E532" s="9"/>
      <c r="F532" s="9"/>
      <c r="G532" s="10"/>
      <c r="H532" s="11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7"/>
      <c r="B533" s="7"/>
      <c r="C533" s="5"/>
      <c r="D533" s="5"/>
      <c r="E533" s="9"/>
      <c r="F533" s="9"/>
      <c r="G533" s="10"/>
      <c r="H533" s="11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7"/>
      <c r="B534" s="7"/>
      <c r="C534" s="5"/>
      <c r="D534" s="5"/>
      <c r="E534" s="9"/>
      <c r="F534" s="9"/>
      <c r="G534" s="10"/>
      <c r="H534" s="11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7"/>
      <c r="B535" s="7"/>
      <c r="C535" s="5"/>
      <c r="D535" s="5"/>
      <c r="E535" s="9"/>
      <c r="F535" s="9"/>
      <c r="G535" s="10"/>
      <c r="H535" s="11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7"/>
      <c r="B536" s="7"/>
      <c r="C536" s="5"/>
      <c r="D536" s="5"/>
      <c r="E536" s="9"/>
      <c r="F536" s="9"/>
      <c r="G536" s="10"/>
      <c r="H536" s="11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7"/>
      <c r="B537" s="7"/>
      <c r="C537" s="5"/>
      <c r="D537" s="5"/>
      <c r="E537" s="9"/>
      <c r="F537" s="9"/>
      <c r="G537" s="10"/>
      <c r="H537" s="11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7"/>
      <c r="B538" s="7"/>
      <c r="C538" s="5"/>
      <c r="D538" s="5"/>
      <c r="E538" s="9"/>
      <c r="F538" s="9"/>
      <c r="G538" s="10"/>
      <c r="H538" s="11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7"/>
      <c r="B539" s="7"/>
      <c r="C539" s="5"/>
      <c r="D539" s="5"/>
      <c r="E539" s="9"/>
      <c r="F539" s="9"/>
      <c r="G539" s="10"/>
      <c r="H539" s="11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7"/>
      <c r="B540" s="7"/>
      <c r="C540" s="5"/>
      <c r="D540" s="5"/>
      <c r="E540" s="9"/>
      <c r="F540" s="9"/>
      <c r="G540" s="10"/>
      <c r="H540" s="11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7"/>
      <c r="B541" s="7"/>
      <c r="C541" s="5"/>
      <c r="D541" s="5"/>
      <c r="E541" s="9"/>
      <c r="F541" s="9"/>
      <c r="G541" s="10"/>
      <c r="H541" s="11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7"/>
      <c r="B542" s="7"/>
      <c r="C542" s="5"/>
      <c r="D542" s="5"/>
      <c r="E542" s="9"/>
      <c r="F542" s="9"/>
      <c r="G542" s="10"/>
      <c r="H542" s="11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7"/>
      <c r="B543" s="7"/>
      <c r="C543" s="5"/>
      <c r="D543" s="5"/>
      <c r="E543" s="9"/>
      <c r="F543" s="9"/>
      <c r="G543" s="10"/>
      <c r="H543" s="11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7"/>
      <c r="B544" s="7"/>
      <c r="C544" s="5"/>
      <c r="D544" s="5"/>
      <c r="E544" s="9"/>
      <c r="F544" s="9"/>
      <c r="G544" s="10"/>
      <c r="H544" s="11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7"/>
      <c r="B545" s="7"/>
      <c r="C545" s="5"/>
      <c r="D545" s="5"/>
      <c r="E545" s="9"/>
      <c r="F545" s="9"/>
      <c r="G545" s="10"/>
      <c r="H545" s="11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7"/>
      <c r="B546" s="7"/>
      <c r="C546" s="5"/>
      <c r="D546" s="5"/>
      <c r="E546" s="9"/>
      <c r="F546" s="9"/>
      <c r="G546" s="10"/>
      <c r="H546" s="11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7"/>
      <c r="B547" s="7"/>
      <c r="C547" s="5"/>
      <c r="D547" s="5"/>
      <c r="E547" s="9"/>
      <c r="F547" s="9"/>
      <c r="G547" s="10"/>
      <c r="H547" s="11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7"/>
      <c r="B548" s="7"/>
      <c r="C548" s="5"/>
      <c r="D548" s="5"/>
      <c r="E548" s="9"/>
      <c r="F548" s="9"/>
      <c r="G548" s="10"/>
      <c r="H548" s="11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7"/>
      <c r="B549" s="7"/>
      <c r="C549" s="5"/>
      <c r="D549" s="5"/>
      <c r="E549" s="9"/>
      <c r="F549" s="9"/>
      <c r="G549" s="10"/>
      <c r="H549" s="11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7"/>
      <c r="B550" s="7"/>
      <c r="C550" s="5"/>
      <c r="D550" s="5"/>
      <c r="E550" s="9"/>
      <c r="F550" s="9"/>
      <c r="G550" s="10"/>
      <c r="H550" s="11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7"/>
      <c r="B551" s="7"/>
      <c r="C551" s="5"/>
      <c r="D551" s="5"/>
      <c r="E551" s="9"/>
      <c r="F551" s="9"/>
      <c r="G551" s="10"/>
      <c r="H551" s="11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7"/>
      <c r="B552" s="7"/>
      <c r="C552" s="5"/>
      <c r="D552" s="5"/>
      <c r="E552" s="9"/>
      <c r="F552" s="9"/>
      <c r="G552" s="10"/>
      <c r="H552" s="11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7"/>
      <c r="B553" s="7"/>
      <c r="C553" s="5"/>
      <c r="D553" s="5"/>
      <c r="E553" s="9"/>
      <c r="F553" s="9"/>
      <c r="G553" s="10"/>
      <c r="H553" s="11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7"/>
      <c r="B554" s="7"/>
      <c r="C554" s="5"/>
      <c r="D554" s="5"/>
      <c r="E554" s="9"/>
      <c r="F554" s="9"/>
      <c r="G554" s="10"/>
      <c r="H554" s="11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7"/>
      <c r="B555" s="7"/>
      <c r="C555" s="5"/>
      <c r="D555" s="5"/>
      <c r="E555" s="9"/>
      <c r="F555" s="9"/>
      <c r="G555" s="10"/>
      <c r="H555" s="11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7"/>
      <c r="B556" s="7"/>
      <c r="C556" s="5"/>
      <c r="D556" s="5"/>
      <c r="E556" s="9"/>
      <c r="F556" s="9"/>
      <c r="G556" s="10"/>
      <c r="H556" s="11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7"/>
      <c r="B557" s="7"/>
      <c r="C557" s="5"/>
      <c r="D557" s="5"/>
      <c r="E557" s="9"/>
      <c r="F557" s="9"/>
      <c r="G557" s="10"/>
      <c r="H557" s="11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7"/>
      <c r="B558" s="7"/>
      <c r="C558" s="5"/>
      <c r="D558" s="5"/>
      <c r="E558" s="9"/>
      <c r="F558" s="9"/>
      <c r="G558" s="10"/>
      <c r="H558" s="11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7"/>
      <c r="B559" s="7"/>
      <c r="C559" s="5"/>
      <c r="D559" s="5"/>
      <c r="E559" s="9"/>
      <c r="F559" s="9"/>
      <c r="G559" s="10"/>
      <c r="H559" s="11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7"/>
      <c r="B560" s="7"/>
      <c r="C560" s="5"/>
      <c r="D560" s="5"/>
      <c r="E560" s="9"/>
      <c r="F560" s="9"/>
      <c r="G560" s="10"/>
      <c r="H560" s="11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7"/>
      <c r="B561" s="7"/>
      <c r="C561" s="5"/>
      <c r="D561" s="5"/>
      <c r="E561" s="9"/>
      <c r="F561" s="9"/>
      <c r="G561" s="10"/>
      <c r="H561" s="11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7"/>
      <c r="B562" s="7"/>
      <c r="C562" s="5"/>
      <c r="D562" s="5"/>
      <c r="E562" s="9"/>
      <c r="F562" s="9"/>
      <c r="G562" s="10"/>
      <c r="H562" s="11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7"/>
      <c r="B563" s="7"/>
      <c r="C563" s="5"/>
      <c r="D563" s="5"/>
      <c r="E563" s="9"/>
      <c r="F563" s="9"/>
      <c r="G563" s="10"/>
      <c r="H563" s="11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7"/>
      <c r="B564" s="7"/>
      <c r="C564" s="5"/>
      <c r="D564" s="5"/>
      <c r="E564" s="9"/>
      <c r="F564" s="9"/>
      <c r="G564" s="10"/>
      <c r="H564" s="11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7"/>
      <c r="B565" s="7"/>
      <c r="C565" s="5"/>
      <c r="D565" s="5"/>
      <c r="E565" s="9"/>
      <c r="F565" s="9"/>
      <c r="G565" s="10"/>
      <c r="H565" s="11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7"/>
      <c r="B566" s="7"/>
      <c r="C566" s="5"/>
      <c r="D566" s="5"/>
      <c r="E566" s="9"/>
      <c r="F566" s="9"/>
      <c r="G566" s="10"/>
      <c r="H566" s="11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7"/>
      <c r="B567" s="7"/>
      <c r="C567" s="5"/>
      <c r="D567" s="5"/>
      <c r="E567" s="9"/>
      <c r="F567" s="9"/>
      <c r="G567" s="10"/>
      <c r="H567" s="11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7"/>
      <c r="B568" s="7"/>
      <c r="C568" s="5"/>
      <c r="D568" s="5"/>
      <c r="E568" s="9"/>
      <c r="F568" s="9"/>
      <c r="G568" s="10"/>
      <c r="H568" s="11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7"/>
      <c r="B569" s="7"/>
      <c r="C569" s="5"/>
      <c r="D569" s="5"/>
      <c r="E569" s="9"/>
      <c r="F569" s="9"/>
      <c r="G569" s="10"/>
      <c r="H569" s="11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7"/>
      <c r="B570" s="7"/>
      <c r="C570" s="5"/>
      <c r="D570" s="5"/>
      <c r="E570" s="9"/>
      <c r="F570" s="9"/>
      <c r="G570" s="10"/>
      <c r="H570" s="11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7"/>
      <c r="B571" s="7"/>
      <c r="C571" s="5"/>
      <c r="D571" s="5"/>
      <c r="E571" s="9"/>
      <c r="F571" s="9"/>
      <c r="G571" s="10"/>
      <c r="H571" s="11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7"/>
      <c r="B572" s="7"/>
      <c r="C572" s="5"/>
      <c r="D572" s="5"/>
      <c r="E572" s="9"/>
      <c r="F572" s="9"/>
      <c r="G572" s="10"/>
      <c r="H572" s="11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7"/>
      <c r="B573" s="7"/>
      <c r="C573" s="5"/>
      <c r="D573" s="5"/>
      <c r="E573" s="9"/>
      <c r="F573" s="9"/>
      <c r="G573" s="10"/>
      <c r="H573" s="11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7"/>
      <c r="B574" s="7"/>
      <c r="C574" s="5"/>
      <c r="D574" s="5"/>
      <c r="E574" s="9"/>
      <c r="F574" s="9"/>
      <c r="G574" s="10"/>
      <c r="H574" s="11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7"/>
      <c r="B575" s="7"/>
      <c r="C575" s="5"/>
      <c r="D575" s="5"/>
      <c r="E575" s="9"/>
      <c r="F575" s="9"/>
      <c r="G575" s="10"/>
      <c r="H575" s="11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7"/>
      <c r="B576" s="7"/>
      <c r="C576" s="5"/>
      <c r="D576" s="5"/>
      <c r="E576" s="9"/>
      <c r="F576" s="9"/>
      <c r="G576" s="10"/>
      <c r="H576" s="11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7"/>
      <c r="B577" s="7"/>
      <c r="C577" s="5"/>
      <c r="D577" s="5"/>
      <c r="E577" s="9"/>
      <c r="F577" s="9"/>
      <c r="G577" s="10"/>
      <c r="H577" s="11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7"/>
      <c r="B578" s="7"/>
      <c r="C578" s="5"/>
      <c r="D578" s="5"/>
      <c r="E578" s="9"/>
      <c r="F578" s="9"/>
      <c r="G578" s="10"/>
      <c r="H578" s="11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7"/>
      <c r="B579" s="7"/>
      <c r="C579" s="5"/>
      <c r="D579" s="5"/>
      <c r="E579" s="9"/>
      <c r="F579" s="9"/>
      <c r="G579" s="10"/>
      <c r="H579" s="11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7"/>
      <c r="B580" s="7"/>
      <c r="C580" s="5"/>
      <c r="D580" s="5"/>
      <c r="E580" s="9"/>
      <c r="F580" s="9"/>
      <c r="G580" s="10"/>
      <c r="H580" s="11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7"/>
      <c r="B581" s="7"/>
      <c r="C581" s="5"/>
      <c r="D581" s="5"/>
      <c r="E581" s="9"/>
      <c r="F581" s="9"/>
      <c r="G581" s="10"/>
      <c r="H581" s="11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7"/>
      <c r="B582" s="7"/>
      <c r="C582" s="5"/>
      <c r="D582" s="5"/>
      <c r="E582" s="9"/>
      <c r="F582" s="9"/>
      <c r="G582" s="10"/>
      <c r="H582" s="11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7"/>
      <c r="B583" s="7"/>
      <c r="C583" s="5"/>
      <c r="D583" s="5"/>
      <c r="E583" s="9"/>
      <c r="F583" s="9"/>
      <c r="G583" s="10"/>
      <c r="H583" s="11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7"/>
      <c r="B584" s="7"/>
      <c r="C584" s="5"/>
      <c r="D584" s="5"/>
      <c r="E584" s="9"/>
      <c r="F584" s="9"/>
      <c r="G584" s="10"/>
      <c r="H584" s="11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7"/>
      <c r="B585" s="7"/>
      <c r="C585" s="5"/>
      <c r="D585" s="5"/>
      <c r="E585" s="9"/>
      <c r="F585" s="9"/>
      <c r="G585" s="10"/>
      <c r="H585" s="11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7"/>
      <c r="B586" s="7"/>
      <c r="C586" s="5"/>
      <c r="D586" s="5"/>
      <c r="E586" s="9"/>
      <c r="F586" s="9"/>
      <c r="G586" s="10"/>
      <c r="H586" s="11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7"/>
      <c r="B587" s="7"/>
      <c r="C587" s="5"/>
      <c r="D587" s="5"/>
      <c r="E587" s="9"/>
      <c r="F587" s="9"/>
      <c r="G587" s="10"/>
      <c r="H587" s="11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7"/>
      <c r="B588" s="7"/>
      <c r="C588" s="5"/>
      <c r="D588" s="5"/>
      <c r="E588" s="9"/>
      <c r="F588" s="9"/>
      <c r="G588" s="10"/>
      <c r="H588" s="11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7"/>
      <c r="B589" s="7"/>
      <c r="C589" s="5"/>
      <c r="D589" s="5"/>
      <c r="E589" s="9"/>
      <c r="F589" s="9"/>
      <c r="G589" s="10"/>
      <c r="H589" s="11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7"/>
      <c r="B590" s="7"/>
      <c r="C590" s="5"/>
      <c r="D590" s="5"/>
      <c r="E590" s="9"/>
      <c r="F590" s="9"/>
      <c r="G590" s="10"/>
      <c r="H590" s="11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7"/>
      <c r="B591" s="7"/>
      <c r="C591" s="5"/>
      <c r="D591" s="5"/>
      <c r="E591" s="9"/>
      <c r="F591" s="9"/>
      <c r="G591" s="10"/>
      <c r="H591" s="11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7"/>
      <c r="B592" s="7"/>
      <c r="C592" s="5"/>
      <c r="D592" s="5"/>
      <c r="E592" s="9"/>
      <c r="F592" s="9"/>
      <c r="G592" s="10"/>
      <c r="H592" s="11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7"/>
      <c r="B593" s="7"/>
      <c r="C593" s="5"/>
      <c r="D593" s="5"/>
      <c r="E593" s="9"/>
      <c r="F593" s="9"/>
      <c r="G593" s="10"/>
      <c r="H593" s="11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7"/>
      <c r="B594" s="7"/>
      <c r="C594" s="5"/>
      <c r="D594" s="5"/>
      <c r="E594" s="9"/>
      <c r="F594" s="9"/>
      <c r="G594" s="10"/>
      <c r="H594" s="11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7"/>
      <c r="B595" s="7"/>
      <c r="C595" s="5"/>
      <c r="D595" s="5"/>
      <c r="E595" s="9"/>
      <c r="F595" s="9"/>
      <c r="G595" s="10"/>
      <c r="H595" s="11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7"/>
      <c r="B596" s="7"/>
      <c r="C596" s="5"/>
      <c r="D596" s="5"/>
      <c r="E596" s="9"/>
      <c r="F596" s="9"/>
      <c r="G596" s="10"/>
      <c r="H596" s="11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7"/>
      <c r="B597" s="7"/>
      <c r="C597" s="5"/>
      <c r="D597" s="5"/>
      <c r="E597" s="9"/>
      <c r="F597" s="9"/>
      <c r="G597" s="10"/>
      <c r="H597" s="11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7"/>
      <c r="B598" s="7"/>
      <c r="C598" s="5"/>
      <c r="D598" s="5"/>
      <c r="E598" s="9"/>
      <c r="F598" s="9"/>
      <c r="G598" s="10"/>
      <c r="H598" s="11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7"/>
      <c r="B599" s="7"/>
      <c r="C599" s="5"/>
      <c r="D599" s="5"/>
      <c r="E599" s="9"/>
      <c r="F599" s="9"/>
      <c r="G599" s="10"/>
      <c r="H599" s="11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7"/>
      <c r="B600" s="7"/>
      <c r="C600" s="5"/>
      <c r="D600" s="5"/>
      <c r="E600" s="9"/>
      <c r="F600" s="9"/>
      <c r="G600" s="10"/>
      <c r="H600" s="11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7"/>
      <c r="B601" s="7"/>
      <c r="C601" s="5"/>
      <c r="D601" s="5"/>
      <c r="E601" s="9"/>
      <c r="F601" s="9"/>
      <c r="G601" s="10"/>
      <c r="H601" s="11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7"/>
      <c r="B602" s="7"/>
      <c r="C602" s="5"/>
      <c r="D602" s="5"/>
      <c r="E602" s="9"/>
      <c r="F602" s="9"/>
      <c r="G602" s="10"/>
      <c r="H602" s="11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7"/>
      <c r="B603" s="7"/>
      <c r="C603" s="5"/>
      <c r="D603" s="5"/>
      <c r="E603" s="9"/>
      <c r="F603" s="9"/>
      <c r="G603" s="10"/>
      <c r="H603" s="11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7"/>
      <c r="B604" s="7"/>
      <c r="C604" s="5"/>
      <c r="D604" s="5"/>
      <c r="E604" s="9"/>
      <c r="F604" s="9"/>
      <c r="G604" s="10"/>
      <c r="H604" s="11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7"/>
      <c r="B605" s="7"/>
      <c r="C605" s="5"/>
      <c r="D605" s="5"/>
      <c r="E605" s="9"/>
      <c r="F605" s="9"/>
      <c r="G605" s="10"/>
      <c r="H605" s="11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7"/>
      <c r="B606" s="7"/>
      <c r="C606" s="5"/>
      <c r="D606" s="5"/>
      <c r="E606" s="9"/>
      <c r="F606" s="9"/>
      <c r="G606" s="10"/>
      <c r="H606" s="11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7"/>
      <c r="B607" s="7"/>
      <c r="C607" s="5"/>
      <c r="D607" s="5"/>
      <c r="E607" s="9"/>
      <c r="F607" s="9"/>
      <c r="G607" s="10"/>
      <c r="H607" s="11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7"/>
      <c r="B608" s="7"/>
      <c r="C608" s="5"/>
      <c r="D608" s="5"/>
      <c r="E608" s="9"/>
      <c r="F608" s="9"/>
      <c r="G608" s="10"/>
      <c r="H608" s="11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7"/>
      <c r="B609" s="7"/>
      <c r="C609" s="5"/>
      <c r="D609" s="5"/>
      <c r="E609" s="9"/>
      <c r="F609" s="9"/>
      <c r="G609" s="10"/>
      <c r="H609" s="11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7"/>
      <c r="B610" s="7"/>
      <c r="C610" s="5"/>
      <c r="D610" s="5"/>
      <c r="E610" s="9"/>
      <c r="F610" s="9"/>
      <c r="G610" s="10"/>
      <c r="H610" s="11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7"/>
      <c r="B611" s="7"/>
      <c r="C611" s="5"/>
      <c r="D611" s="5"/>
      <c r="E611" s="9"/>
      <c r="F611" s="9"/>
      <c r="G611" s="10"/>
      <c r="H611" s="11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7"/>
      <c r="B612" s="7"/>
      <c r="C612" s="5"/>
      <c r="D612" s="5"/>
      <c r="E612" s="9"/>
      <c r="F612" s="9"/>
      <c r="G612" s="10"/>
      <c r="H612" s="11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7"/>
      <c r="B613" s="7"/>
      <c r="C613" s="5"/>
      <c r="D613" s="5"/>
      <c r="E613" s="9"/>
      <c r="F613" s="9"/>
      <c r="G613" s="10"/>
      <c r="H613" s="11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7"/>
      <c r="B614" s="7"/>
      <c r="C614" s="5"/>
      <c r="D614" s="5"/>
      <c r="E614" s="9"/>
      <c r="F614" s="9"/>
      <c r="G614" s="10"/>
      <c r="H614" s="11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7"/>
      <c r="B615" s="7"/>
      <c r="C615" s="5"/>
      <c r="D615" s="5"/>
      <c r="E615" s="9"/>
      <c r="F615" s="9"/>
      <c r="G615" s="10"/>
      <c r="H615" s="11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7"/>
      <c r="B616" s="7"/>
      <c r="C616" s="5"/>
      <c r="D616" s="5"/>
      <c r="E616" s="9"/>
      <c r="F616" s="9"/>
      <c r="G616" s="10"/>
      <c r="H616" s="11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7"/>
      <c r="B617" s="7"/>
      <c r="C617" s="5"/>
      <c r="D617" s="5"/>
      <c r="E617" s="9"/>
      <c r="F617" s="9"/>
      <c r="G617" s="10"/>
      <c r="H617" s="11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7"/>
      <c r="B618" s="7"/>
      <c r="C618" s="5"/>
      <c r="D618" s="5"/>
      <c r="E618" s="9"/>
      <c r="F618" s="9"/>
      <c r="G618" s="10"/>
      <c r="H618" s="11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7"/>
      <c r="B619" s="7"/>
      <c r="C619" s="5"/>
      <c r="D619" s="5"/>
      <c r="E619" s="9"/>
      <c r="F619" s="9"/>
      <c r="G619" s="10"/>
      <c r="H619" s="11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7"/>
      <c r="B620" s="7"/>
      <c r="C620" s="5"/>
      <c r="D620" s="5"/>
      <c r="E620" s="9"/>
      <c r="F620" s="9"/>
      <c r="G620" s="10"/>
      <c r="H620" s="11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7"/>
      <c r="B621" s="7"/>
      <c r="C621" s="5"/>
      <c r="D621" s="5"/>
      <c r="E621" s="9"/>
      <c r="F621" s="9"/>
      <c r="G621" s="10"/>
      <c r="H621" s="11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7"/>
      <c r="B622" s="7"/>
      <c r="C622" s="5"/>
      <c r="D622" s="5"/>
      <c r="E622" s="9"/>
      <c r="F622" s="9"/>
      <c r="G622" s="10"/>
      <c r="H622" s="11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7"/>
      <c r="B623" s="7"/>
      <c r="C623" s="5"/>
      <c r="D623" s="5"/>
      <c r="E623" s="9"/>
      <c r="F623" s="9"/>
      <c r="G623" s="10"/>
      <c r="H623" s="11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7"/>
      <c r="B624" s="7"/>
      <c r="C624" s="5"/>
      <c r="D624" s="5"/>
      <c r="E624" s="9"/>
      <c r="F624" s="9"/>
      <c r="G624" s="10"/>
      <c r="H624" s="11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7"/>
      <c r="B625" s="7"/>
      <c r="C625" s="5"/>
      <c r="D625" s="5"/>
      <c r="E625" s="9"/>
      <c r="F625" s="9"/>
      <c r="G625" s="10"/>
      <c r="H625" s="11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7"/>
      <c r="B626" s="7"/>
      <c r="C626" s="5"/>
      <c r="D626" s="5"/>
      <c r="E626" s="9"/>
      <c r="F626" s="9"/>
      <c r="G626" s="10"/>
      <c r="H626" s="11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7"/>
      <c r="B627" s="7"/>
      <c r="C627" s="5"/>
      <c r="D627" s="5"/>
      <c r="E627" s="9"/>
      <c r="F627" s="9"/>
      <c r="G627" s="10"/>
      <c r="H627" s="11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7"/>
      <c r="B628" s="7"/>
      <c r="C628" s="5"/>
      <c r="D628" s="5"/>
      <c r="E628" s="9"/>
      <c r="F628" s="9"/>
      <c r="G628" s="10"/>
      <c r="H628" s="11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7"/>
      <c r="B629" s="7"/>
      <c r="C629" s="5"/>
      <c r="D629" s="5"/>
      <c r="E629" s="9"/>
      <c r="F629" s="9"/>
      <c r="G629" s="10"/>
      <c r="H629" s="11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7"/>
      <c r="B630" s="7"/>
      <c r="C630" s="5"/>
      <c r="D630" s="5"/>
      <c r="E630" s="9"/>
      <c r="F630" s="9"/>
      <c r="G630" s="10"/>
      <c r="H630" s="11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7"/>
      <c r="B631" s="7"/>
      <c r="C631" s="5"/>
      <c r="D631" s="5"/>
      <c r="E631" s="9"/>
      <c r="F631" s="9"/>
      <c r="G631" s="10"/>
      <c r="H631" s="11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7"/>
      <c r="B632" s="7"/>
      <c r="C632" s="5"/>
      <c r="D632" s="5"/>
      <c r="E632" s="9"/>
      <c r="F632" s="9"/>
      <c r="G632" s="10"/>
      <c r="H632" s="11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7"/>
      <c r="B633" s="7"/>
      <c r="C633" s="5"/>
      <c r="D633" s="5"/>
      <c r="E633" s="9"/>
      <c r="F633" s="9"/>
      <c r="G633" s="10"/>
      <c r="H633" s="11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7"/>
      <c r="B634" s="7"/>
      <c r="C634" s="5"/>
      <c r="D634" s="5"/>
      <c r="E634" s="9"/>
      <c r="F634" s="9"/>
      <c r="G634" s="10"/>
      <c r="H634" s="11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7"/>
      <c r="B635" s="7"/>
      <c r="C635" s="5"/>
      <c r="D635" s="5"/>
      <c r="E635" s="9"/>
      <c r="F635" s="9"/>
      <c r="G635" s="10"/>
      <c r="H635" s="11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7"/>
      <c r="B636" s="7"/>
      <c r="C636" s="5"/>
      <c r="D636" s="5"/>
      <c r="E636" s="9"/>
      <c r="F636" s="9"/>
      <c r="G636" s="10"/>
      <c r="H636" s="11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7"/>
      <c r="B637" s="7"/>
      <c r="C637" s="5"/>
      <c r="D637" s="5"/>
      <c r="E637" s="9"/>
      <c r="F637" s="9"/>
      <c r="G637" s="10"/>
      <c r="H637" s="11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7"/>
      <c r="B638" s="7"/>
      <c r="C638" s="5"/>
      <c r="D638" s="5"/>
      <c r="E638" s="9"/>
      <c r="F638" s="9"/>
      <c r="G638" s="10"/>
      <c r="H638" s="11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7"/>
      <c r="B639" s="7"/>
      <c r="C639" s="5"/>
      <c r="D639" s="5"/>
      <c r="E639" s="9"/>
      <c r="F639" s="9"/>
      <c r="G639" s="10"/>
      <c r="H639" s="11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7"/>
      <c r="B640" s="7"/>
      <c r="C640" s="5"/>
      <c r="D640" s="5"/>
      <c r="E640" s="9"/>
      <c r="F640" s="9"/>
      <c r="G640" s="10"/>
      <c r="H640" s="11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7"/>
      <c r="B641" s="7"/>
      <c r="C641" s="5"/>
      <c r="D641" s="5"/>
      <c r="E641" s="9"/>
      <c r="F641" s="9"/>
      <c r="G641" s="10"/>
      <c r="H641" s="11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7"/>
      <c r="B642" s="7"/>
      <c r="C642" s="5"/>
      <c r="D642" s="5"/>
      <c r="E642" s="9"/>
      <c r="F642" s="9"/>
      <c r="G642" s="10"/>
      <c r="H642" s="11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7"/>
      <c r="B643" s="7"/>
      <c r="C643" s="5"/>
      <c r="D643" s="5"/>
      <c r="E643" s="9"/>
      <c r="F643" s="9"/>
      <c r="G643" s="10"/>
      <c r="H643" s="11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7"/>
      <c r="B644" s="7"/>
      <c r="C644" s="5"/>
      <c r="D644" s="5"/>
      <c r="E644" s="9"/>
      <c r="F644" s="9"/>
      <c r="G644" s="10"/>
      <c r="H644" s="11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7"/>
      <c r="B645" s="7"/>
      <c r="C645" s="5"/>
      <c r="D645" s="5"/>
      <c r="E645" s="9"/>
      <c r="F645" s="9"/>
      <c r="G645" s="10"/>
      <c r="H645" s="11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7"/>
      <c r="B646" s="7"/>
      <c r="C646" s="5"/>
      <c r="D646" s="5"/>
      <c r="E646" s="9"/>
      <c r="F646" s="9"/>
      <c r="G646" s="10"/>
      <c r="H646" s="11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7"/>
      <c r="B647" s="7"/>
      <c r="C647" s="5"/>
      <c r="D647" s="5"/>
      <c r="E647" s="9"/>
      <c r="F647" s="9"/>
      <c r="G647" s="10"/>
      <c r="H647" s="11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7"/>
      <c r="B648" s="7"/>
      <c r="C648" s="5"/>
      <c r="D648" s="5"/>
      <c r="E648" s="9"/>
      <c r="F648" s="9"/>
      <c r="G648" s="10"/>
      <c r="H648" s="11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7"/>
      <c r="B649" s="7"/>
      <c r="C649" s="5"/>
      <c r="D649" s="5"/>
      <c r="E649" s="9"/>
      <c r="F649" s="9"/>
      <c r="G649" s="10"/>
      <c r="H649" s="11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7"/>
      <c r="B650" s="7"/>
      <c r="C650" s="5"/>
      <c r="D650" s="5"/>
      <c r="E650" s="9"/>
      <c r="F650" s="9"/>
      <c r="G650" s="10"/>
      <c r="H650" s="11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7"/>
      <c r="B651" s="7"/>
      <c r="C651" s="5"/>
      <c r="D651" s="5"/>
      <c r="E651" s="9"/>
      <c r="F651" s="9"/>
      <c r="G651" s="10"/>
      <c r="H651" s="11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7"/>
      <c r="B652" s="7"/>
      <c r="C652" s="5"/>
      <c r="D652" s="5"/>
      <c r="E652" s="9"/>
      <c r="F652" s="9"/>
      <c r="G652" s="10"/>
      <c r="H652" s="11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7"/>
      <c r="B653" s="7"/>
      <c r="C653" s="5"/>
      <c r="D653" s="5"/>
      <c r="E653" s="9"/>
      <c r="F653" s="9"/>
      <c r="G653" s="10"/>
      <c r="H653" s="11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7"/>
      <c r="B654" s="7"/>
      <c r="C654" s="5"/>
      <c r="D654" s="5"/>
      <c r="E654" s="9"/>
      <c r="F654" s="9"/>
      <c r="G654" s="10"/>
      <c r="H654" s="11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7"/>
      <c r="B655" s="7"/>
      <c r="C655" s="5"/>
      <c r="D655" s="5"/>
      <c r="E655" s="9"/>
      <c r="F655" s="9"/>
      <c r="G655" s="10"/>
      <c r="H655" s="11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7"/>
      <c r="B656" s="7"/>
      <c r="C656" s="5"/>
      <c r="D656" s="5"/>
      <c r="E656" s="9"/>
      <c r="F656" s="9"/>
      <c r="G656" s="10"/>
      <c r="H656" s="11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7"/>
      <c r="B657" s="7"/>
      <c r="C657" s="5"/>
      <c r="D657" s="5"/>
      <c r="E657" s="9"/>
      <c r="F657" s="9"/>
      <c r="G657" s="10"/>
      <c r="H657" s="11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7"/>
      <c r="B658" s="7"/>
      <c r="C658" s="5"/>
      <c r="D658" s="5"/>
      <c r="E658" s="9"/>
      <c r="F658" s="9"/>
      <c r="G658" s="10"/>
      <c r="H658" s="11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7"/>
      <c r="B659" s="7"/>
      <c r="C659" s="5"/>
      <c r="D659" s="5"/>
      <c r="E659" s="9"/>
      <c r="F659" s="9"/>
      <c r="G659" s="10"/>
      <c r="H659" s="11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7"/>
      <c r="B660" s="7"/>
      <c r="C660" s="5"/>
      <c r="D660" s="5"/>
      <c r="E660" s="9"/>
      <c r="F660" s="9"/>
      <c r="G660" s="10"/>
      <c r="H660" s="11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7"/>
      <c r="B661" s="7"/>
      <c r="C661" s="5"/>
      <c r="D661" s="5"/>
      <c r="E661" s="9"/>
      <c r="F661" s="9"/>
      <c r="G661" s="10"/>
      <c r="H661" s="11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7"/>
      <c r="B662" s="7"/>
      <c r="C662" s="5"/>
      <c r="D662" s="5"/>
      <c r="E662" s="9"/>
      <c r="F662" s="9"/>
      <c r="G662" s="10"/>
      <c r="H662" s="11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7"/>
      <c r="B663" s="7"/>
      <c r="C663" s="5"/>
      <c r="D663" s="5"/>
      <c r="E663" s="9"/>
      <c r="F663" s="9"/>
      <c r="G663" s="10"/>
      <c r="H663" s="11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7"/>
      <c r="B664" s="7"/>
      <c r="C664" s="5"/>
      <c r="D664" s="5"/>
      <c r="E664" s="9"/>
      <c r="F664" s="9"/>
      <c r="G664" s="10"/>
      <c r="H664" s="11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7"/>
      <c r="B665" s="7"/>
      <c r="C665" s="5"/>
      <c r="D665" s="5"/>
      <c r="E665" s="9"/>
      <c r="F665" s="9"/>
      <c r="G665" s="10"/>
      <c r="H665" s="11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7"/>
      <c r="B666" s="7"/>
      <c r="C666" s="5"/>
      <c r="D666" s="5"/>
      <c r="E666" s="9"/>
      <c r="F666" s="9"/>
      <c r="G666" s="10"/>
      <c r="H666" s="11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7"/>
      <c r="B667" s="7"/>
      <c r="C667" s="5"/>
      <c r="D667" s="5"/>
      <c r="E667" s="9"/>
      <c r="F667" s="9"/>
      <c r="G667" s="10"/>
      <c r="H667" s="11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7"/>
      <c r="B668" s="7"/>
      <c r="C668" s="5"/>
      <c r="D668" s="5"/>
      <c r="E668" s="9"/>
      <c r="F668" s="9"/>
      <c r="G668" s="10"/>
      <c r="H668" s="11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7"/>
      <c r="B669" s="7"/>
      <c r="C669" s="5"/>
      <c r="D669" s="5"/>
      <c r="E669" s="9"/>
      <c r="F669" s="9"/>
      <c r="G669" s="10"/>
      <c r="H669" s="11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7"/>
      <c r="B670" s="7"/>
      <c r="C670" s="5"/>
      <c r="D670" s="5"/>
      <c r="E670" s="9"/>
      <c r="F670" s="9"/>
      <c r="G670" s="10"/>
      <c r="H670" s="11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7"/>
      <c r="B671" s="7"/>
      <c r="C671" s="5"/>
      <c r="D671" s="5"/>
      <c r="E671" s="9"/>
      <c r="F671" s="9"/>
      <c r="G671" s="10"/>
      <c r="H671" s="11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7"/>
      <c r="B672" s="7"/>
      <c r="C672" s="5"/>
      <c r="D672" s="5"/>
      <c r="E672" s="9"/>
      <c r="F672" s="9"/>
      <c r="G672" s="10"/>
      <c r="H672" s="11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7"/>
      <c r="B673" s="7"/>
      <c r="C673" s="5"/>
      <c r="D673" s="5"/>
      <c r="E673" s="9"/>
      <c r="F673" s="9"/>
      <c r="G673" s="10"/>
      <c r="H673" s="11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7"/>
      <c r="B674" s="7"/>
      <c r="C674" s="5"/>
      <c r="D674" s="5"/>
      <c r="E674" s="9"/>
      <c r="F674" s="9"/>
      <c r="G674" s="10"/>
      <c r="H674" s="11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7"/>
      <c r="B675" s="7"/>
      <c r="C675" s="5"/>
      <c r="D675" s="5"/>
      <c r="E675" s="9"/>
      <c r="F675" s="9"/>
      <c r="G675" s="10"/>
      <c r="H675" s="11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7"/>
      <c r="B676" s="7"/>
      <c r="C676" s="5"/>
      <c r="D676" s="5"/>
      <c r="E676" s="9"/>
      <c r="F676" s="9"/>
      <c r="G676" s="10"/>
      <c r="H676" s="11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7"/>
      <c r="B677" s="7"/>
      <c r="C677" s="5"/>
      <c r="D677" s="5"/>
      <c r="E677" s="9"/>
      <c r="F677" s="9"/>
      <c r="G677" s="10"/>
      <c r="H677" s="11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7"/>
      <c r="B678" s="7"/>
      <c r="C678" s="5"/>
      <c r="D678" s="5"/>
      <c r="E678" s="9"/>
      <c r="F678" s="9"/>
      <c r="G678" s="10"/>
      <c r="H678" s="11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7"/>
      <c r="B679" s="7"/>
      <c r="C679" s="5"/>
      <c r="D679" s="5"/>
      <c r="E679" s="9"/>
      <c r="F679" s="9"/>
      <c r="G679" s="10"/>
      <c r="H679" s="11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7"/>
      <c r="B680" s="7"/>
      <c r="C680" s="5"/>
      <c r="D680" s="5"/>
      <c r="E680" s="9"/>
      <c r="F680" s="9"/>
      <c r="G680" s="10"/>
      <c r="H680" s="11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7"/>
      <c r="B681" s="7"/>
      <c r="C681" s="5"/>
      <c r="D681" s="5"/>
      <c r="E681" s="9"/>
      <c r="F681" s="9"/>
      <c r="G681" s="10"/>
      <c r="H681" s="11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7"/>
      <c r="B682" s="7"/>
      <c r="C682" s="5"/>
      <c r="D682" s="5"/>
      <c r="E682" s="9"/>
      <c r="F682" s="9"/>
      <c r="G682" s="10"/>
      <c r="H682" s="11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7"/>
      <c r="B683" s="7"/>
      <c r="C683" s="5"/>
      <c r="D683" s="5"/>
      <c r="E683" s="9"/>
      <c r="F683" s="9"/>
      <c r="G683" s="10"/>
      <c r="H683" s="11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7"/>
      <c r="B684" s="7"/>
      <c r="C684" s="5"/>
      <c r="D684" s="5"/>
      <c r="E684" s="9"/>
      <c r="F684" s="9"/>
      <c r="G684" s="10"/>
      <c r="H684" s="11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7"/>
      <c r="B685" s="7"/>
      <c r="C685" s="5"/>
      <c r="D685" s="5"/>
      <c r="E685" s="9"/>
      <c r="F685" s="9"/>
      <c r="G685" s="10"/>
      <c r="H685" s="11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7"/>
      <c r="B686" s="7"/>
      <c r="C686" s="5"/>
      <c r="D686" s="5"/>
      <c r="E686" s="9"/>
      <c r="F686" s="9"/>
      <c r="G686" s="10"/>
      <c r="H686" s="11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7"/>
      <c r="B687" s="7"/>
      <c r="C687" s="5"/>
      <c r="D687" s="5"/>
      <c r="E687" s="9"/>
      <c r="F687" s="9"/>
      <c r="G687" s="10"/>
      <c r="H687" s="11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7"/>
      <c r="B688" s="7"/>
      <c r="C688" s="5"/>
      <c r="D688" s="5"/>
      <c r="E688" s="9"/>
      <c r="F688" s="9"/>
      <c r="G688" s="10"/>
      <c r="H688" s="11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7"/>
      <c r="B689" s="7"/>
      <c r="C689" s="5"/>
      <c r="D689" s="5"/>
      <c r="E689" s="9"/>
      <c r="F689" s="9"/>
      <c r="G689" s="10"/>
      <c r="H689" s="11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7"/>
      <c r="B690" s="7"/>
      <c r="C690" s="5"/>
      <c r="D690" s="5"/>
      <c r="E690" s="9"/>
      <c r="F690" s="9"/>
      <c r="G690" s="10"/>
      <c r="H690" s="11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7"/>
      <c r="B691" s="7"/>
      <c r="C691" s="5"/>
      <c r="D691" s="5"/>
      <c r="E691" s="9"/>
      <c r="F691" s="9"/>
      <c r="G691" s="10"/>
      <c r="H691" s="11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7"/>
      <c r="B692" s="7"/>
      <c r="C692" s="5"/>
      <c r="D692" s="5"/>
      <c r="E692" s="9"/>
      <c r="F692" s="9"/>
      <c r="G692" s="10"/>
      <c r="H692" s="11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7"/>
      <c r="B693" s="7"/>
      <c r="C693" s="5"/>
      <c r="D693" s="5"/>
      <c r="E693" s="9"/>
      <c r="F693" s="9"/>
      <c r="G693" s="10"/>
      <c r="H693" s="11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7"/>
      <c r="B694" s="7"/>
      <c r="C694" s="5"/>
      <c r="D694" s="5"/>
      <c r="E694" s="9"/>
      <c r="F694" s="9"/>
      <c r="G694" s="10"/>
      <c r="H694" s="11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7"/>
      <c r="B695" s="7"/>
      <c r="C695" s="5"/>
      <c r="D695" s="5"/>
      <c r="E695" s="9"/>
      <c r="F695" s="9"/>
      <c r="G695" s="10"/>
      <c r="H695" s="11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7"/>
      <c r="B696" s="7"/>
      <c r="C696" s="5"/>
      <c r="D696" s="5"/>
      <c r="E696" s="9"/>
      <c r="F696" s="9"/>
      <c r="G696" s="10"/>
      <c r="H696" s="11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7"/>
      <c r="B697" s="7"/>
      <c r="C697" s="5"/>
      <c r="D697" s="5"/>
      <c r="E697" s="9"/>
      <c r="F697" s="9"/>
      <c r="G697" s="10"/>
      <c r="H697" s="11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7"/>
      <c r="B698" s="7"/>
      <c r="C698" s="5"/>
      <c r="D698" s="5"/>
      <c r="E698" s="9"/>
      <c r="F698" s="9"/>
      <c r="G698" s="10"/>
      <c r="H698" s="11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7"/>
      <c r="B699" s="7"/>
      <c r="C699" s="5"/>
      <c r="D699" s="5"/>
      <c r="E699" s="9"/>
      <c r="F699" s="9"/>
      <c r="G699" s="10"/>
      <c r="H699" s="11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7"/>
      <c r="B700" s="7"/>
      <c r="C700" s="5"/>
      <c r="D700" s="5"/>
      <c r="E700" s="9"/>
      <c r="F700" s="9"/>
      <c r="G700" s="10"/>
      <c r="H700" s="11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7"/>
      <c r="B701" s="7"/>
      <c r="C701" s="5"/>
      <c r="D701" s="5"/>
      <c r="E701" s="9"/>
      <c r="F701" s="9"/>
      <c r="G701" s="10"/>
      <c r="H701" s="11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7"/>
      <c r="B702" s="7"/>
      <c r="C702" s="5"/>
      <c r="D702" s="5"/>
      <c r="E702" s="9"/>
      <c r="F702" s="9"/>
      <c r="G702" s="10"/>
      <c r="H702" s="11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7"/>
      <c r="B703" s="7"/>
      <c r="C703" s="5"/>
      <c r="D703" s="5"/>
      <c r="E703" s="9"/>
      <c r="F703" s="9"/>
      <c r="G703" s="10"/>
      <c r="H703" s="11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7"/>
      <c r="B704" s="7"/>
      <c r="C704" s="5"/>
      <c r="D704" s="5"/>
      <c r="E704" s="9"/>
      <c r="F704" s="9"/>
      <c r="G704" s="10"/>
      <c r="H704" s="11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7"/>
      <c r="B705" s="7"/>
      <c r="C705" s="5"/>
      <c r="D705" s="5"/>
      <c r="E705" s="9"/>
      <c r="F705" s="9"/>
      <c r="G705" s="10"/>
      <c r="H705" s="11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7"/>
      <c r="B706" s="7"/>
      <c r="C706" s="5"/>
      <c r="D706" s="5"/>
      <c r="E706" s="9"/>
      <c r="F706" s="9"/>
      <c r="G706" s="10"/>
      <c r="H706" s="11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7"/>
      <c r="B707" s="7"/>
      <c r="C707" s="5"/>
      <c r="D707" s="5"/>
      <c r="E707" s="9"/>
      <c r="F707" s="9"/>
      <c r="G707" s="10"/>
      <c r="H707" s="11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7"/>
      <c r="B708" s="7"/>
      <c r="C708" s="5"/>
      <c r="D708" s="5"/>
      <c r="E708" s="9"/>
      <c r="F708" s="9"/>
      <c r="G708" s="10"/>
      <c r="H708" s="11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7"/>
      <c r="B709" s="7"/>
      <c r="C709" s="5"/>
      <c r="D709" s="5"/>
      <c r="E709" s="9"/>
      <c r="F709" s="9"/>
      <c r="G709" s="10"/>
      <c r="H709" s="11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7"/>
      <c r="B710" s="7"/>
      <c r="C710" s="5"/>
      <c r="D710" s="5"/>
      <c r="E710" s="9"/>
      <c r="F710" s="9"/>
      <c r="G710" s="10"/>
      <c r="H710" s="11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7"/>
      <c r="B711" s="7"/>
      <c r="C711" s="5"/>
      <c r="D711" s="5"/>
      <c r="E711" s="9"/>
      <c r="F711" s="9"/>
      <c r="G711" s="10"/>
      <c r="H711" s="11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7"/>
      <c r="B712" s="7"/>
      <c r="C712" s="5"/>
      <c r="D712" s="5"/>
      <c r="E712" s="9"/>
      <c r="F712" s="9"/>
      <c r="G712" s="10"/>
      <c r="H712" s="11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7"/>
      <c r="B713" s="7"/>
      <c r="C713" s="5"/>
      <c r="D713" s="5"/>
      <c r="E713" s="9"/>
      <c r="F713" s="9"/>
      <c r="G713" s="10"/>
      <c r="H713" s="11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7"/>
      <c r="B714" s="7"/>
      <c r="C714" s="5"/>
      <c r="D714" s="5"/>
      <c r="E714" s="9"/>
      <c r="F714" s="9"/>
      <c r="G714" s="10"/>
      <c r="H714" s="11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7"/>
      <c r="B715" s="7"/>
      <c r="C715" s="5"/>
      <c r="D715" s="5"/>
      <c r="E715" s="9"/>
      <c r="F715" s="9"/>
      <c r="G715" s="10"/>
      <c r="H715" s="11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7"/>
      <c r="B716" s="7"/>
      <c r="C716" s="5"/>
      <c r="D716" s="5"/>
      <c r="E716" s="9"/>
      <c r="F716" s="9"/>
      <c r="G716" s="10"/>
      <c r="H716" s="11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7"/>
      <c r="B717" s="7"/>
      <c r="C717" s="5"/>
      <c r="D717" s="5"/>
      <c r="E717" s="9"/>
      <c r="F717" s="9"/>
      <c r="G717" s="10"/>
      <c r="H717" s="11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7"/>
      <c r="B718" s="7"/>
      <c r="C718" s="5"/>
      <c r="D718" s="5"/>
      <c r="E718" s="9"/>
      <c r="F718" s="9"/>
      <c r="G718" s="10"/>
      <c r="H718" s="11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7"/>
      <c r="B719" s="7"/>
      <c r="C719" s="5"/>
      <c r="D719" s="5"/>
      <c r="E719" s="9"/>
      <c r="F719" s="9"/>
      <c r="G719" s="10"/>
      <c r="H719" s="11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7"/>
      <c r="B720" s="7"/>
      <c r="C720" s="5"/>
      <c r="D720" s="5"/>
      <c r="E720" s="9"/>
      <c r="F720" s="9"/>
      <c r="G720" s="10"/>
      <c r="H720" s="11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7"/>
      <c r="B721" s="7"/>
      <c r="C721" s="5"/>
      <c r="D721" s="5"/>
      <c r="E721" s="9"/>
      <c r="F721" s="9"/>
      <c r="G721" s="10"/>
      <c r="H721" s="11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7"/>
      <c r="B722" s="7"/>
      <c r="C722" s="5"/>
      <c r="D722" s="5"/>
      <c r="E722" s="9"/>
      <c r="F722" s="9"/>
      <c r="G722" s="10"/>
      <c r="H722" s="11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7"/>
      <c r="B723" s="7"/>
      <c r="C723" s="5"/>
      <c r="D723" s="5"/>
      <c r="E723" s="9"/>
      <c r="F723" s="9"/>
      <c r="G723" s="10"/>
      <c r="H723" s="11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7"/>
      <c r="B724" s="7"/>
      <c r="C724" s="5"/>
      <c r="D724" s="5"/>
      <c r="E724" s="9"/>
      <c r="F724" s="9"/>
      <c r="G724" s="10"/>
      <c r="H724" s="11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7"/>
      <c r="B725" s="7"/>
      <c r="C725" s="5"/>
      <c r="D725" s="5"/>
      <c r="E725" s="9"/>
      <c r="F725" s="9"/>
      <c r="G725" s="10"/>
      <c r="H725" s="11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7"/>
      <c r="B726" s="7"/>
      <c r="C726" s="5"/>
      <c r="D726" s="5"/>
      <c r="E726" s="9"/>
      <c r="F726" s="9"/>
      <c r="G726" s="10"/>
      <c r="H726" s="11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7"/>
      <c r="B727" s="7"/>
      <c r="C727" s="5"/>
      <c r="D727" s="5"/>
      <c r="E727" s="9"/>
      <c r="F727" s="9"/>
      <c r="G727" s="10"/>
      <c r="H727" s="11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7"/>
      <c r="B728" s="7"/>
      <c r="C728" s="5"/>
      <c r="D728" s="5"/>
      <c r="E728" s="9"/>
      <c r="F728" s="9"/>
      <c r="G728" s="10"/>
      <c r="H728" s="11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7"/>
      <c r="B729" s="7"/>
      <c r="C729" s="5"/>
      <c r="D729" s="5"/>
      <c r="E729" s="9"/>
      <c r="F729" s="9"/>
      <c r="G729" s="10"/>
      <c r="H729" s="11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7"/>
      <c r="B730" s="7"/>
      <c r="C730" s="5"/>
      <c r="D730" s="5"/>
      <c r="E730" s="9"/>
      <c r="F730" s="9"/>
      <c r="G730" s="10"/>
      <c r="H730" s="11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7"/>
      <c r="B731" s="7"/>
      <c r="C731" s="5"/>
      <c r="D731" s="5"/>
      <c r="E731" s="9"/>
      <c r="F731" s="9"/>
      <c r="G731" s="10"/>
      <c r="H731" s="11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7"/>
      <c r="B732" s="7"/>
      <c r="C732" s="5"/>
      <c r="D732" s="5"/>
      <c r="E732" s="9"/>
      <c r="F732" s="9"/>
      <c r="G732" s="10"/>
      <c r="H732" s="11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7"/>
      <c r="B733" s="7"/>
      <c r="C733" s="5"/>
      <c r="D733" s="5"/>
      <c r="E733" s="9"/>
      <c r="F733" s="9"/>
      <c r="G733" s="10"/>
      <c r="H733" s="11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7"/>
      <c r="B734" s="7"/>
      <c r="C734" s="5"/>
      <c r="D734" s="5"/>
      <c r="E734" s="9"/>
      <c r="F734" s="9"/>
      <c r="G734" s="10"/>
      <c r="H734" s="11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7"/>
      <c r="B735" s="7"/>
      <c r="C735" s="5"/>
      <c r="D735" s="5"/>
      <c r="E735" s="9"/>
      <c r="F735" s="9"/>
      <c r="G735" s="10"/>
      <c r="H735" s="11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7"/>
      <c r="B736" s="7"/>
      <c r="C736" s="5"/>
      <c r="D736" s="5"/>
      <c r="E736" s="9"/>
      <c r="F736" s="9"/>
      <c r="G736" s="10"/>
      <c r="H736" s="11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7"/>
      <c r="B737" s="7"/>
      <c r="C737" s="5"/>
      <c r="D737" s="5"/>
      <c r="E737" s="9"/>
      <c r="F737" s="9"/>
      <c r="G737" s="10"/>
      <c r="H737" s="11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7"/>
      <c r="B738" s="7"/>
      <c r="C738" s="5"/>
      <c r="D738" s="5"/>
      <c r="E738" s="9"/>
      <c r="F738" s="9"/>
      <c r="G738" s="10"/>
      <c r="H738" s="11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7"/>
      <c r="B739" s="7"/>
      <c r="C739" s="5"/>
      <c r="D739" s="5"/>
      <c r="E739" s="9"/>
      <c r="F739" s="9"/>
      <c r="G739" s="10"/>
      <c r="H739" s="11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7"/>
      <c r="B740" s="7"/>
      <c r="C740" s="5"/>
      <c r="D740" s="5"/>
      <c r="E740" s="9"/>
      <c r="F740" s="9"/>
      <c r="G740" s="10"/>
      <c r="H740" s="11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7"/>
      <c r="B741" s="7"/>
      <c r="C741" s="5"/>
      <c r="D741" s="5"/>
      <c r="E741" s="9"/>
      <c r="F741" s="9"/>
      <c r="G741" s="10"/>
      <c r="H741" s="11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7"/>
      <c r="B742" s="7"/>
      <c r="C742" s="5"/>
      <c r="D742" s="5"/>
      <c r="E742" s="9"/>
      <c r="F742" s="9"/>
      <c r="G742" s="10"/>
      <c r="H742" s="11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7"/>
      <c r="B743" s="7"/>
      <c r="C743" s="5"/>
      <c r="D743" s="5"/>
      <c r="E743" s="9"/>
      <c r="F743" s="9"/>
      <c r="G743" s="10"/>
      <c r="H743" s="11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7"/>
      <c r="B744" s="7"/>
      <c r="C744" s="5"/>
      <c r="D744" s="5"/>
      <c r="E744" s="9"/>
      <c r="F744" s="9"/>
      <c r="G744" s="10"/>
      <c r="H744" s="11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7"/>
      <c r="B745" s="7"/>
      <c r="C745" s="5"/>
      <c r="D745" s="5"/>
      <c r="E745" s="9"/>
      <c r="F745" s="9"/>
      <c r="G745" s="10"/>
      <c r="H745" s="11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7"/>
      <c r="B746" s="7"/>
      <c r="C746" s="5"/>
      <c r="D746" s="5"/>
      <c r="E746" s="9"/>
      <c r="F746" s="9"/>
      <c r="G746" s="10"/>
      <c r="H746" s="11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7"/>
      <c r="B747" s="7"/>
      <c r="C747" s="5"/>
      <c r="D747" s="5"/>
      <c r="E747" s="9"/>
      <c r="F747" s="9"/>
      <c r="G747" s="10"/>
      <c r="H747" s="11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7"/>
      <c r="B748" s="7"/>
      <c r="C748" s="5"/>
      <c r="D748" s="5"/>
      <c r="E748" s="9"/>
      <c r="F748" s="9"/>
      <c r="G748" s="10"/>
      <c r="H748" s="11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7"/>
      <c r="B749" s="7"/>
      <c r="C749" s="5"/>
      <c r="D749" s="5"/>
      <c r="E749" s="9"/>
      <c r="F749" s="9"/>
      <c r="G749" s="10"/>
      <c r="H749" s="11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7"/>
      <c r="B750" s="7"/>
      <c r="C750" s="5"/>
      <c r="D750" s="5"/>
      <c r="E750" s="9"/>
      <c r="F750" s="9"/>
      <c r="G750" s="10"/>
      <c r="H750" s="11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7"/>
      <c r="B751" s="7"/>
      <c r="C751" s="5"/>
      <c r="D751" s="5"/>
      <c r="E751" s="9"/>
      <c r="F751" s="9"/>
      <c r="G751" s="10"/>
      <c r="H751" s="11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7"/>
      <c r="B752" s="7"/>
      <c r="C752" s="5"/>
      <c r="D752" s="5"/>
      <c r="E752" s="9"/>
      <c r="F752" s="9"/>
      <c r="G752" s="10"/>
      <c r="H752" s="11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7"/>
      <c r="B753" s="7"/>
      <c r="C753" s="5"/>
      <c r="D753" s="5"/>
      <c r="E753" s="9"/>
      <c r="F753" s="9"/>
      <c r="G753" s="10"/>
      <c r="H753" s="11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7"/>
      <c r="B754" s="7"/>
      <c r="C754" s="5"/>
      <c r="D754" s="5"/>
      <c r="E754" s="9"/>
      <c r="F754" s="9"/>
      <c r="G754" s="10"/>
      <c r="H754" s="11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7"/>
      <c r="B755" s="7"/>
      <c r="C755" s="5"/>
      <c r="D755" s="5"/>
      <c r="E755" s="9"/>
      <c r="F755" s="9"/>
      <c r="G755" s="10"/>
      <c r="H755" s="11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7"/>
      <c r="B756" s="7"/>
      <c r="C756" s="5"/>
      <c r="D756" s="5"/>
      <c r="E756" s="9"/>
      <c r="F756" s="9"/>
      <c r="G756" s="10"/>
      <c r="H756" s="11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7"/>
      <c r="B757" s="7"/>
      <c r="C757" s="5"/>
      <c r="D757" s="5"/>
      <c r="E757" s="9"/>
      <c r="F757" s="9"/>
      <c r="G757" s="10"/>
      <c r="H757" s="11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7"/>
      <c r="B758" s="7"/>
      <c r="C758" s="5"/>
      <c r="D758" s="5"/>
      <c r="E758" s="9"/>
      <c r="F758" s="9"/>
      <c r="G758" s="10"/>
      <c r="H758" s="11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7"/>
      <c r="B759" s="7"/>
      <c r="C759" s="5"/>
      <c r="D759" s="5"/>
      <c r="E759" s="9"/>
      <c r="F759" s="9"/>
      <c r="G759" s="10"/>
      <c r="H759" s="11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7"/>
      <c r="B760" s="7"/>
      <c r="C760" s="5"/>
      <c r="D760" s="5"/>
      <c r="E760" s="9"/>
      <c r="F760" s="9"/>
      <c r="G760" s="10"/>
      <c r="H760" s="11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7"/>
      <c r="B761" s="7"/>
      <c r="C761" s="5"/>
      <c r="D761" s="5"/>
      <c r="E761" s="9"/>
      <c r="F761" s="9"/>
      <c r="G761" s="10"/>
      <c r="H761" s="11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7"/>
      <c r="B762" s="7"/>
      <c r="C762" s="5"/>
      <c r="D762" s="5"/>
      <c r="E762" s="9"/>
      <c r="F762" s="9"/>
      <c r="G762" s="10"/>
      <c r="H762" s="11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7"/>
      <c r="B763" s="7"/>
      <c r="C763" s="5"/>
      <c r="D763" s="5"/>
      <c r="E763" s="9"/>
      <c r="F763" s="9"/>
      <c r="G763" s="10"/>
      <c r="H763" s="11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7"/>
      <c r="B764" s="7"/>
      <c r="C764" s="5"/>
      <c r="D764" s="5"/>
      <c r="E764" s="9"/>
      <c r="F764" s="9"/>
      <c r="G764" s="10"/>
      <c r="H764" s="11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7"/>
      <c r="B765" s="7"/>
      <c r="C765" s="5"/>
      <c r="D765" s="5"/>
      <c r="E765" s="9"/>
      <c r="F765" s="9"/>
      <c r="G765" s="10"/>
      <c r="H765" s="11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7"/>
      <c r="B766" s="7"/>
      <c r="C766" s="5"/>
      <c r="D766" s="5"/>
      <c r="E766" s="9"/>
      <c r="F766" s="9"/>
      <c r="G766" s="10"/>
      <c r="H766" s="11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7"/>
      <c r="B767" s="7"/>
      <c r="C767" s="5"/>
      <c r="D767" s="5"/>
      <c r="E767" s="9"/>
      <c r="F767" s="9"/>
      <c r="G767" s="10"/>
      <c r="H767" s="11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7"/>
      <c r="B768" s="7"/>
      <c r="C768" s="5"/>
      <c r="D768" s="5"/>
      <c r="E768" s="9"/>
      <c r="F768" s="9"/>
      <c r="G768" s="10"/>
      <c r="H768" s="11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7"/>
      <c r="B769" s="7"/>
      <c r="C769" s="5"/>
      <c r="D769" s="5"/>
      <c r="E769" s="9"/>
      <c r="F769" s="9"/>
      <c r="G769" s="10"/>
      <c r="H769" s="11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7"/>
      <c r="B770" s="7"/>
      <c r="C770" s="5"/>
      <c r="D770" s="5"/>
      <c r="E770" s="9"/>
      <c r="F770" s="9"/>
      <c r="G770" s="10"/>
      <c r="H770" s="11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7"/>
      <c r="B771" s="7"/>
      <c r="C771" s="5"/>
      <c r="D771" s="5"/>
      <c r="E771" s="9"/>
      <c r="F771" s="9"/>
      <c r="G771" s="10"/>
      <c r="H771" s="11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7"/>
      <c r="B772" s="7"/>
      <c r="C772" s="5"/>
      <c r="D772" s="5"/>
      <c r="E772" s="9"/>
      <c r="F772" s="9"/>
      <c r="G772" s="10"/>
      <c r="H772" s="11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7"/>
      <c r="B773" s="7"/>
      <c r="C773" s="5"/>
      <c r="D773" s="5"/>
      <c r="E773" s="9"/>
      <c r="F773" s="9"/>
      <c r="G773" s="10"/>
      <c r="H773" s="11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7"/>
      <c r="B774" s="7"/>
      <c r="C774" s="5"/>
      <c r="D774" s="5"/>
      <c r="E774" s="9"/>
      <c r="F774" s="9"/>
      <c r="G774" s="10"/>
      <c r="H774" s="11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7"/>
      <c r="B775" s="7"/>
      <c r="C775" s="5"/>
      <c r="D775" s="5"/>
      <c r="E775" s="9"/>
      <c r="F775" s="9"/>
      <c r="G775" s="10"/>
      <c r="H775" s="11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7"/>
      <c r="B776" s="7"/>
      <c r="C776" s="5"/>
      <c r="D776" s="5"/>
      <c r="E776" s="9"/>
      <c r="F776" s="9"/>
      <c r="G776" s="10"/>
      <c r="H776" s="11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7"/>
      <c r="B777" s="7"/>
      <c r="C777" s="5"/>
      <c r="D777" s="5"/>
      <c r="E777" s="9"/>
      <c r="F777" s="9"/>
      <c r="G777" s="10"/>
      <c r="H777" s="11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7"/>
      <c r="B778" s="7"/>
      <c r="C778" s="5"/>
      <c r="D778" s="5"/>
      <c r="E778" s="9"/>
      <c r="F778" s="9"/>
      <c r="G778" s="10"/>
      <c r="H778" s="11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7"/>
      <c r="B779" s="7"/>
      <c r="C779" s="5"/>
      <c r="D779" s="5"/>
      <c r="E779" s="9"/>
      <c r="F779" s="9"/>
      <c r="G779" s="10"/>
      <c r="H779" s="11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7"/>
      <c r="B780" s="7"/>
      <c r="C780" s="5"/>
      <c r="D780" s="5"/>
      <c r="E780" s="9"/>
      <c r="F780" s="9"/>
      <c r="G780" s="10"/>
      <c r="H780" s="11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7"/>
      <c r="B781" s="7"/>
      <c r="C781" s="5"/>
      <c r="D781" s="5"/>
      <c r="E781" s="9"/>
      <c r="F781" s="9"/>
      <c r="G781" s="10"/>
      <c r="H781" s="11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7"/>
      <c r="B782" s="7"/>
      <c r="C782" s="5"/>
      <c r="D782" s="5"/>
      <c r="E782" s="9"/>
      <c r="F782" s="9"/>
      <c r="G782" s="10"/>
      <c r="H782" s="11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7"/>
      <c r="B783" s="7"/>
      <c r="C783" s="5"/>
      <c r="D783" s="5"/>
      <c r="E783" s="9"/>
      <c r="F783" s="9"/>
      <c r="G783" s="10"/>
      <c r="H783" s="11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7"/>
      <c r="B784" s="7"/>
      <c r="C784" s="5"/>
      <c r="D784" s="5"/>
      <c r="E784" s="9"/>
      <c r="F784" s="9"/>
      <c r="G784" s="10"/>
      <c r="H784" s="11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7"/>
      <c r="B785" s="7"/>
      <c r="C785" s="5"/>
      <c r="D785" s="5"/>
      <c r="E785" s="9"/>
      <c r="F785" s="9"/>
      <c r="G785" s="10"/>
      <c r="H785" s="11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7"/>
      <c r="B786" s="7"/>
      <c r="C786" s="5"/>
      <c r="D786" s="5"/>
      <c r="E786" s="9"/>
      <c r="F786" s="9"/>
      <c r="G786" s="10"/>
      <c r="H786" s="11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7"/>
      <c r="B787" s="7"/>
      <c r="C787" s="5"/>
      <c r="D787" s="5"/>
      <c r="E787" s="9"/>
      <c r="F787" s="9"/>
      <c r="G787" s="10"/>
      <c r="H787" s="11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7"/>
      <c r="B788" s="7"/>
      <c r="C788" s="5"/>
      <c r="D788" s="5"/>
      <c r="E788" s="9"/>
      <c r="F788" s="9"/>
      <c r="G788" s="10"/>
      <c r="H788" s="11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7"/>
      <c r="B789" s="7"/>
      <c r="C789" s="5"/>
      <c r="D789" s="5"/>
      <c r="E789" s="9"/>
      <c r="F789" s="9"/>
      <c r="G789" s="10"/>
      <c r="H789" s="11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7"/>
      <c r="B790" s="7"/>
      <c r="C790" s="5"/>
      <c r="D790" s="5"/>
      <c r="E790" s="9"/>
      <c r="F790" s="9"/>
      <c r="G790" s="10"/>
      <c r="H790" s="11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7"/>
      <c r="B791" s="7"/>
      <c r="C791" s="5"/>
      <c r="D791" s="5"/>
      <c r="E791" s="9"/>
      <c r="F791" s="9"/>
      <c r="G791" s="10"/>
      <c r="H791" s="11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7"/>
      <c r="B792" s="7"/>
      <c r="C792" s="5"/>
      <c r="D792" s="5"/>
      <c r="E792" s="9"/>
      <c r="F792" s="9"/>
      <c r="G792" s="10"/>
      <c r="H792" s="11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7"/>
      <c r="B793" s="7"/>
      <c r="C793" s="5"/>
      <c r="D793" s="5"/>
      <c r="E793" s="9"/>
      <c r="F793" s="9"/>
      <c r="G793" s="10"/>
      <c r="H793" s="11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7"/>
      <c r="B794" s="7"/>
      <c r="C794" s="5"/>
      <c r="D794" s="5"/>
      <c r="E794" s="9"/>
      <c r="F794" s="9"/>
      <c r="G794" s="10"/>
      <c r="H794" s="11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7"/>
      <c r="B795" s="7"/>
      <c r="C795" s="5"/>
      <c r="D795" s="5"/>
      <c r="E795" s="9"/>
      <c r="F795" s="9"/>
      <c r="G795" s="10"/>
      <c r="H795" s="11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7"/>
      <c r="B796" s="7"/>
      <c r="C796" s="5"/>
      <c r="D796" s="5"/>
      <c r="E796" s="9"/>
      <c r="F796" s="9"/>
      <c r="G796" s="10"/>
      <c r="H796" s="11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7"/>
      <c r="B797" s="7"/>
      <c r="C797" s="5"/>
      <c r="D797" s="5"/>
      <c r="E797" s="9"/>
      <c r="F797" s="9"/>
      <c r="G797" s="10"/>
      <c r="H797" s="11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7"/>
      <c r="B798" s="7"/>
      <c r="C798" s="5"/>
      <c r="D798" s="5"/>
      <c r="E798" s="9"/>
      <c r="F798" s="9"/>
      <c r="G798" s="10"/>
      <c r="H798" s="11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7"/>
      <c r="B799" s="7"/>
      <c r="C799" s="5"/>
      <c r="D799" s="5"/>
      <c r="E799" s="9"/>
      <c r="F799" s="9"/>
      <c r="G799" s="10"/>
      <c r="H799" s="11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7"/>
      <c r="B800" s="7"/>
      <c r="C800" s="5"/>
      <c r="D800" s="5"/>
      <c r="E800" s="9"/>
      <c r="F800" s="9"/>
      <c r="G800" s="10"/>
      <c r="H800" s="11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7"/>
      <c r="B801" s="7"/>
      <c r="C801" s="5"/>
      <c r="D801" s="5"/>
      <c r="E801" s="9"/>
      <c r="F801" s="9"/>
      <c r="G801" s="10"/>
      <c r="H801" s="11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7"/>
      <c r="B802" s="7"/>
      <c r="C802" s="5"/>
      <c r="D802" s="5"/>
      <c r="E802" s="9"/>
      <c r="F802" s="9"/>
      <c r="G802" s="10"/>
      <c r="H802" s="11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7"/>
      <c r="B803" s="7"/>
      <c r="C803" s="5"/>
      <c r="D803" s="5"/>
      <c r="E803" s="9"/>
      <c r="F803" s="9"/>
      <c r="G803" s="10"/>
      <c r="H803" s="11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7"/>
      <c r="B804" s="7"/>
      <c r="C804" s="5"/>
      <c r="D804" s="5"/>
      <c r="E804" s="9"/>
      <c r="F804" s="9"/>
      <c r="G804" s="10"/>
      <c r="H804" s="11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7"/>
      <c r="B805" s="7"/>
      <c r="C805" s="5"/>
      <c r="D805" s="5"/>
      <c r="E805" s="9"/>
      <c r="F805" s="9"/>
      <c r="G805" s="10"/>
      <c r="H805" s="11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7"/>
      <c r="B806" s="7"/>
      <c r="C806" s="5"/>
      <c r="D806" s="5"/>
      <c r="E806" s="9"/>
      <c r="F806" s="9"/>
      <c r="G806" s="10"/>
      <c r="H806" s="11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7"/>
      <c r="B807" s="7"/>
      <c r="C807" s="5"/>
      <c r="D807" s="5"/>
      <c r="E807" s="9"/>
      <c r="F807" s="9"/>
      <c r="G807" s="10"/>
      <c r="H807" s="11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7"/>
      <c r="B808" s="7"/>
      <c r="C808" s="5"/>
      <c r="D808" s="5"/>
      <c r="E808" s="9"/>
      <c r="F808" s="9"/>
      <c r="G808" s="10"/>
      <c r="H808" s="11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7"/>
      <c r="B809" s="7"/>
      <c r="C809" s="5"/>
      <c r="D809" s="5"/>
      <c r="E809" s="9"/>
      <c r="F809" s="9"/>
      <c r="G809" s="10"/>
      <c r="H809" s="11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7"/>
      <c r="B810" s="7"/>
      <c r="C810" s="5"/>
      <c r="D810" s="5"/>
      <c r="E810" s="9"/>
      <c r="F810" s="9"/>
      <c r="G810" s="10"/>
      <c r="H810" s="11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7"/>
      <c r="B811" s="7"/>
      <c r="C811" s="5"/>
      <c r="D811" s="5"/>
      <c r="E811" s="9"/>
      <c r="F811" s="9"/>
      <c r="G811" s="10"/>
      <c r="H811" s="11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7"/>
      <c r="B812" s="7"/>
      <c r="C812" s="5"/>
      <c r="D812" s="5"/>
      <c r="E812" s="9"/>
      <c r="F812" s="9"/>
      <c r="G812" s="10"/>
      <c r="H812" s="11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7"/>
      <c r="B813" s="7"/>
      <c r="C813" s="5"/>
      <c r="D813" s="5"/>
      <c r="E813" s="9"/>
      <c r="F813" s="9"/>
      <c r="G813" s="10"/>
      <c r="H813" s="11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7"/>
      <c r="B814" s="7"/>
      <c r="C814" s="5"/>
      <c r="D814" s="5"/>
      <c r="E814" s="9"/>
      <c r="F814" s="9"/>
      <c r="G814" s="10"/>
      <c r="H814" s="11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7"/>
      <c r="B815" s="7"/>
      <c r="C815" s="5"/>
      <c r="D815" s="5"/>
      <c r="E815" s="9"/>
      <c r="F815" s="9"/>
      <c r="G815" s="10"/>
      <c r="H815" s="11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7"/>
      <c r="B816" s="7"/>
      <c r="C816" s="5"/>
      <c r="D816" s="5"/>
      <c r="E816" s="9"/>
      <c r="F816" s="9"/>
      <c r="G816" s="10"/>
      <c r="H816" s="11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7"/>
      <c r="B817" s="7"/>
      <c r="C817" s="5"/>
      <c r="D817" s="5"/>
      <c r="E817" s="9"/>
      <c r="F817" s="9"/>
      <c r="G817" s="10"/>
      <c r="H817" s="11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7"/>
      <c r="B818" s="7"/>
      <c r="C818" s="5"/>
      <c r="D818" s="5"/>
      <c r="E818" s="9"/>
      <c r="F818" s="9"/>
      <c r="G818" s="10"/>
      <c r="H818" s="11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7"/>
      <c r="B819" s="7"/>
      <c r="C819" s="5"/>
      <c r="D819" s="5"/>
      <c r="E819" s="9"/>
      <c r="F819" s="9"/>
      <c r="G819" s="10"/>
      <c r="H819" s="11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7"/>
      <c r="B820" s="7"/>
      <c r="C820" s="5"/>
      <c r="D820" s="5"/>
      <c r="E820" s="9"/>
      <c r="F820" s="9"/>
      <c r="G820" s="10"/>
      <c r="H820" s="11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7"/>
      <c r="B821" s="7"/>
      <c r="C821" s="5"/>
      <c r="D821" s="5"/>
      <c r="E821" s="9"/>
      <c r="F821" s="9"/>
      <c r="G821" s="10"/>
      <c r="H821" s="11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7"/>
      <c r="B822" s="7"/>
      <c r="C822" s="5"/>
      <c r="D822" s="5"/>
      <c r="E822" s="9"/>
      <c r="F822" s="9"/>
      <c r="G822" s="10"/>
      <c r="H822" s="11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7"/>
      <c r="B823" s="7"/>
      <c r="C823" s="5"/>
      <c r="D823" s="5"/>
      <c r="E823" s="9"/>
      <c r="F823" s="9"/>
      <c r="G823" s="10"/>
      <c r="H823" s="11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7"/>
      <c r="B824" s="7"/>
      <c r="C824" s="5"/>
      <c r="D824" s="5"/>
      <c r="E824" s="9"/>
      <c r="F824" s="9"/>
      <c r="G824" s="10"/>
      <c r="H824" s="11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7"/>
      <c r="B825" s="7"/>
      <c r="C825" s="5"/>
      <c r="D825" s="5"/>
      <c r="E825" s="9"/>
      <c r="F825" s="9"/>
      <c r="G825" s="10"/>
      <c r="H825" s="11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7"/>
      <c r="B826" s="7"/>
      <c r="C826" s="5"/>
      <c r="D826" s="5"/>
      <c r="E826" s="9"/>
      <c r="F826" s="9"/>
      <c r="G826" s="10"/>
      <c r="H826" s="11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7"/>
      <c r="B827" s="7"/>
      <c r="C827" s="5"/>
      <c r="D827" s="5"/>
      <c r="E827" s="9"/>
      <c r="F827" s="9"/>
      <c r="G827" s="10"/>
      <c r="H827" s="11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7"/>
      <c r="B828" s="7"/>
      <c r="C828" s="5"/>
      <c r="D828" s="5"/>
      <c r="E828" s="9"/>
      <c r="F828" s="9"/>
      <c r="G828" s="10"/>
      <c r="H828" s="11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7"/>
      <c r="B829" s="7"/>
      <c r="C829" s="5"/>
      <c r="D829" s="5"/>
      <c r="E829" s="9"/>
      <c r="F829" s="9"/>
      <c r="G829" s="10"/>
      <c r="H829" s="11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7"/>
      <c r="B830" s="7"/>
      <c r="C830" s="5"/>
      <c r="D830" s="5"/>
      <c r="E830" s="9"/>
      <c r="F830" s="9"/>
      <c r="G830" s="10"/>
      <c r="H830" s="11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7"/>
      <c r="B831" s="7"/>
      <c r="C831" s="5"/>
      <c r="D831" s="5"/>
      <c r="E831" s="9"/>
      <c r="F831" s="9"/>
      <c r="G831" s="10"/>
      <c r="H831" s="11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7"/>
      <c r="B832" s="7"/>
      <c r="C832" s="5"/>
      <c r="D832" s="5"/>
      <c r="E832" s="9"/>
      <c r="F832" s="9"/>
      <c r="G832" s="10"/>
      <c r="H832" s="11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7"/>
      <c r="B833" s="7"/>
      <c r="C833" s="5"/>
      <c r="D833" s="5"/>
      <c r="E833" s="9"/>
      <c r="F833" s="9"/>
      <c r="G833" s="10"/>
      <c r="H833" s="11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7"/>
      <c r="B834" s="7"/>
      <c r="C834" s="5"/>
      <c r="D834" s="5"/>
      <c r="E834" s="9"/>
      <c r="F834" s="9"/>
      <c r="G834" s="10"/>
      <c r="H834" s="11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7"/>
      <c r="B835" s="7"/>
      <c r="C835" s="5"/>
      <c r="D835" s="5"/>
      <c r="E835" s="9"/>
      <c r="F835" s="9"/>
      <c r="G835" s="10"/>
      <c r="H835" s="11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7"/>
      <c r="B836" s="7"/>
      <c r="C836" s="5"/>
      <c r="D836" s="5"/>
      <c r="E836" s="9"/>
      <c r="F836" s="9"/>
      <c r="G836" s="10"/>
      <c r="H836" s="11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7"/>
      <c r="B837" s="7"/>
      <c r="C837" s="5"/>
      <c r="D837" s="5"/>
      <c r="E837" s="9"/>
      <c r="F837" s="9"/>
      <c r="G837" s="10"/>
      <c r="H837" s="11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7"/>
      <c r="B838" s="7"/>
      <c r="C838" s="5"/>
      <c r="D838" s="5"/>
      <c r="E838" s="9"/>
      <c r="F838" s="9"/>
      <c r="G838" s="10"/>
      <c r="H838" s="11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7"/>
      <c r="B839" s="7"/>
      <c r="C839" s="5"/>
      <c r="D839" s="5"/>
      <c r="E839" s="9"/>
      <c r="F839" s="9"/>
      <c r="G839" s="10"/>
      <c r="H839" s="11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7"/>
      <c r="B840" s="7"/>
      <c r="C840" s="5"/>
      <c r="D840" s="5"/>
      <c r="E840" s="9"/>
      <c r="F840" s="9"/>
      <c r="G840" s="10"/>
      <c r="H840" s="11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7"/>
      <c r="B841" s="7"/>
      <c r="C841" s="5"/>
      <c r="D841" s="5"/>
      <c r="E841" s="9"/>
      <c r="F841" s="9"/>
      <c r="G841" s="10"/>
      <c r="H841" s="11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7"/>
      <c r="B842" s="7"/>
      <c r="C842" s="5"/>
      <c r="D842" s="5"/>
      <c r="E842" s="9"/>
      <c r="F842" s="9"/>
      <c r="G842" s="10"/>
      <c r="H842" s="11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7"/>
      <c r="B843" s="7"/>
      <c r="C843" s="5"/>
      <c r="D843" s="5"/>
      <c r="E843" s="9"/>
      <c r="F843" s="9"/>
      <c r="G843" s="10"/>
      <c r="H843" s="11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7"/>
      <c r="B844" s="7"/>
      <c r="C844" s="5"/>
      <c r="D844" s="5"/>
      <c r="E844" s="9"/>
      <c r="F844" s="9"/>
      <c r="G844" s="10"/>
      <c r="H844" s="11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7"/>
      <c r="B845" s="7"/>
      <c r="C845" s="5"/>
      <c r="D845" s="5"/>
      <c r="E845" s="9"/>
      <c r="F845" s="9"/>
      <c r="G845" s="10"/>
      <c r="H845" s="11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7"/>
      <c r="B846" s="7"/>
      <c r="C846" s="5"/>
      <c r="D846" s="5"/>
      <c r="E846" s="9"/>
      <c r="F846" s="9"/>
      <c r="G846" s="10"/>
      <c r="H846" s="11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7"/>
      <c r="B847" s="7"/>
      <c r="C847" s="5"/>
      <c r="D847" s="5"/>
      <c r="E847" s="9"/>
      <c r="F847" s="9"/>
      <c r="G847" s="10"/>
      <c r="H847" s="11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7"/>
      <c r="B848" s="7"/>
      <c r="C848" s="5"/>
      <c r="D848" s="5"/>
      <c r="E848" s="9"/>
      <c r="F848" s="9"/>
      <c r="G848" s="10"/>
      <c r="H848" s="11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7"/>
      <c r="B849" s="7"/>
      <c r="C849" s="5"/>
      <c r="D849" s="5"/>
      <c r="E849" s="9"/>
      <c r="F849" s="9"/>
      <c r="G849" s="10"/>
      <c r="H849" s="11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7"/>
      <c r="B850" s="7"/>
      <c r="C850" s="5"/>
      <c r="D850" s="5"/>
      <c r="E850" s="9"/>
      <c r="F850" s="9"/>
      <c r="G850" s="10"/>
      <c r="H850" s="11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7"/>
      <c r="B851" s="7"/>
      <c r="C851" s="5"/>
      <c r="D851" s="5"/>
      <c r="E851" s="9"/>
      <c r="F851" s="9"/>
      <c r="G851" s="10"/>
      <c r="H851" s="11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7"/>
      <c r="B852" s="7"/>
      <c r="C852" s="5"/>
      <c r="D852" s="5"/>
      <c r="E852" s="9"/>
      <c r="F852" s="9"/>
      <c r="G852" s="10"/>
      <c r="H852" s="11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7"/>
      <c r="B853" s="7"/>
      <c r="C853" s="5"/>
      <c r="D853" s="5"/>
      <c r="E853" s="9"/>
      <c r="F853" s="9"/>
      <c r="G853" s="10"/>
      <c r="H853" s="11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7"/>
      <c r="B854" s="7"/>
      <c r="C854" s="5"/>
      <c r="D854" s="5"/>
      <c r="E854" s="9"/>
      <c r="F854" s="9"/>
      <c r="G854" s="10"/>
      <c r="H854" s="11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7"/>
      <c r="B855" s="7"/>
      <c r="C855" s="5"/>
      <c r="D855" s="5"/>
      <c r="E855" s="9"/>
      <c r="F855" s="9"/>
      <c r="G855" s="10"/>
      <c r="H855" s="11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7"/>
      <c r="B856" s="7"/>
      <c r="C856" s="5"/>
      <c r="D856" s="5"/>
      <c r="E856" s="9"/>
      <c r="F856" s="9"/>
      <c r="G856" s="10"/>
      <c r="H856" s="11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7"/>
      <c r="B857" s="7"/>
      <c r="C857" s="5"/>
      <c r="D857" s="5"/>
      <c r="E857" s="9"/>
      <c r="F857" s="9"/>
      <c r="G857" s="10"/>
      <c r="H857" s="11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7"/>
      <c r="B858" s="7"/>
      <c r="C858" s="5"/>
      <c r="D858" s="5"/>
      <c r="E858" s="9"/>
      <c r="F858" s="9"/>
      <c r="G858" s="10"/>
      <c r="H858" s="11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7"/>
      <c r="B859" s="7"/>
      <c r="C859" s="5"/>
      <c r="D859" s="5"/>
      <c r="E859" s="9"/>
      <c r="F859" s="9"/>
      <c r="G859" s="10"/>
      <c r="H859" s="11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7"/>
      <c r="B860" s="7"/>
      <c r="C860" s="5"/>
      <c r="D860" s="5"/>
      <c r="E860" s="9"/>
      <c r="F860" s="9"/>
      <c r="G860" s="10"/>
      <c r="H860" s="11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7"/>
      <c r="B861" s="7"/>
      <c r="C861" s="5"/>
      <c r="D861" s="5"/>
      <c r="E861" s="9"/>
      <c r="F861" s="9"/>
      <c r="G861" s="10"/>
      <c r="H861" s="11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7"/>
      <c r="B862" s="7"/>
      <c r="C862" s="5"/>
      <c r="D862" s="5"/>
      <c r="E862" s="9"/>
      <c r="F862" s="9"/>
      <c r="G862" s="10"/>
      <c r="H862" s="11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7"/>
      <c r="B863" s="7"/>
      <c r="C863" s="5"/>
      <c r="D863" s="5"/>
      <c r="E863" s="9"/>
      <c r="F863" s="9"/>
      <c r="G863" s="10"/>
      <c r="H863" s="11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7"/>
      <c r="B864" s="7"/>
      <c r="C864" s="5"/>
      <c r="D864" s="5"/>
      <c r="E864" s="9"/>
      <c r="F864" s="9"/>
      <c r="G864" s="10"/>
      <c r="H864" s="11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7"/>
      <c r="B865" s="7"/>
      <c r="C865" s="5"/>
      <c r="D865" s="5"/>
      <c r="E865" s="9"/>
      <c r="F865" s="9"/>
      <c r="G865" s="10"/>
      <c r="H865" s="11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7"/>
      <c r="B866" s="7"/>
      <c r="C866" s="5"/>
      <c r="D866" s="5"/>
      <c r="E866" s="9"/>
      <c r="F866" s="9"/>
      <c r="G866" s="10"/>
      <c r="H866" s="11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7"/>
      <c r="B867" s="7"/>
      <c r="C867" s="5"/>
      <c r="D867" s="5"/>
      <c r="E867" s="9"/>
      <c r="F867" s="9"/>
      <c r="G867" s="10"/>
      <c r="H867" s="11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7"/>
      <c r="B868" s="7"/>
      <c r="C868" s="5"/>
      <c r="D868" s="5"/>
      <c r="E868" s="9"/>
      <c r="F868" s="9"/>
      <c r="G868" s="10"/>
      <c r="H868" s="11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7"/>
      <c r="B869" s="7"/>
      <c r="C869" s="5"/>
      <c r="D869" s="5"/>
      <c r="E869" s="9"/>
      <c r="F869" s="9"/>
      <c r="G869" s="10"/>
      <c r="H869" s="11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7"/>
      <c r="B870" s="7"/>
      <c r="C870" s="5"/>
      <c r="D870" s="5"/>
      <c r="E870" s="9"/>
      <c r="F870" s="9"/>
      <c r="G870" s="10"/>
      <c r="H870" s="11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7"/>
      <c r="B871" s="7"/>
      <c r="C871" s="5"/>
      <c r="D871" s="5"/>
      <c r="E871" s="9"/>
      <c r="F871" s="9"/>
      <c r="G871" s="10"/>
      <c r="H871" s="11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7"/>
      <c r="B872" s="7"/>
      <c r="C872" s="5"/>
      <c r="D872" s="5"/>
      <c r="E872" s="9"/>
      <c r="F872" s="9"/>
      <c r="G872" s="10"/>
      <c r="H872" s="11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7"/>
      <c r="B873" s="7"/>
      <c r="C873" s="5"/>
      <c r="D873" s="5"/>
      <c r="E873" s="9"/>
      <c r="F873" s="9"/>
      <c r="G873" s="10"/>
      <c r="H873" s="11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7"/>
      <c r="B874" s="7"/>
      <c r="C874" s="5"/>
      <c r="D874" s="5"/>
      <c r="E874" s="9"/>
      <c r="F874" s="9"/>
      <c r="G874" s="10"/>
      <c r="H874" s="11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7"/>
      <c r="B875" s="7"/>
      <c r="C875" s="5"/>
      <c r="D875" s="5"/>
      <c r="E875" s="9"/>
      <c r="F875" s="9"/>
      <c r="G875" s="10"/>
      <c r="H875" s="11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7"/>
      <c r="B876" s="7"/>
      <c r="C876" s="5"/>
      <c r="D876" s="5"/>
      <c r="E876" s="9"/>
      <c r="F876" s="9"/>
      <c r="G876" s="10"/>
      <c r="H876" s="11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7"/>
      <c r="B877" s="7"/>
      <c r="C877" s="5"/>
      <c r="D877" s="5"/>
      <c r="E877" s="9"/>
      <c r="F877" s="9"/>
      <c r="G877" s="10"/>
      <c r="H877" s="11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7"/>
      <c r="B878" s="7"/>
      <c r="C878" s="5"/>
      <c r="D878" s="5"/>
      <c r="E878" s="9"/>
      <c r="F878" s="9"/>
      <c r="G878" s="10"/>
      <c r="H878" s="11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7"/>
      <c r="B879" s="7"/>
      <c r="C879" s="5"/>
      <c r="D879" s="5"/>
      <c r="E879" s="9"/>
      <c r="F879" s="9"/>
      <c r="G879" s="10"/>
      <c r="H879" s="11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7"/>
      <c r="B880" s="7"/>
      <c r="C880" s="5"/>
      <c r="D880" s="5"/>
      <c r="E880" s="9"/>
      <c r="F880" s="9"/>
      <c r="G880" s="10"/>
      <c r="H880" s="11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7"/>
      <c r="B881" s="7"/>
      <c r="C881" s="5"/>
      <c r="D881" s="5"/>
      <c r="E881" s="9"/>
      <c r="F881" s="9"/>
      <c r="G881" s="10"/>
      <c r="H881" s="11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7"/>
      <c r="B882" s="7"/>
      <c r="C882" s="5"/>
      <c r="D882" s="5"/>
      <c r="E882" s="9"/>
      <c r="F882" s="9"/>
      <c r="G882" s="10"/>
      <c r="H882" s="11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7"/>
      <c r="B883" s="7"/>
      <c r="C883" s="5"/>
      <c r="D883" s="5"/>
      <c r="E883" s="9"/>
      <c r="F883" s="9"/>
      <c r="G883" s="10"/>
      <c r="H883" s="11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7"/>
      <c r="B884" s="7"/>
      <c r="C884" s="5"/>
      <c r="D884" s="5"/>
      <c r="E884" s="9"/>
      <c r="F884" s="9"/>
      <c r="G884" s="10"/>
      <c r="H884" s="11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7"/>
      <c r="B885" s="7"/>
      <c r="C885" s="5"/>
      <c r="D885" s="5"/>
      <c r="E885" s="9"/>
      <c r="F885" s="9"/>
      <c r="G885" s="10"/>
      <c r="H885" s="11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7"/>
      <c r="B886" s="7"/>
      <c r="C886" s="5"/>
      <c r="D886" s="5"/>
      <c r="E886" s="9"/>
      <c r="F886" s="9"/>
      <c r="G886" s="10"/>
      <c r="H886" s="11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7"/>
      <c r="B887" s="7"/>
      <c r="C887" s="5"/>
      <c r="D887" s="5"/>
      <c r="E887" s="9"/>
      <c r="F887" s="9"/>
      <c r="G887" s="10"/>
      <c r="H887" s="11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7"/>
      <c r="B888" s="7"/>
      <c r="C888" s="5"/>
      <c r="D888" s="5"/>
      <c r="E888" s="9"/>
      <c r="F888" s="9"/>
      <c r="G888" s="10"/>
      <c r="H888" s="11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7"/>
      <c r="B889" s="7"/>
      <c r="C889" s="5"/>
      <c r="D889" s="5"/>
      <c r="E889" s="9"/>
      <c r="F889" s="9"/>
      <c r="G889" s="10"/>
      <c r="H889" s="11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7"/>
      <c r="B890" s="7"/>
      <c r="C890" s="5"/>
      <c r="D890" s="5"/>
      <c r="E890" s="9"/>
      <c r="F890" s="9"/>
      <c r="G890" s="10"/>
      <c r="H890" s="11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7"/>
      <c r="B891" s="7"/>
      <c r="C891" s="5"/>
      <c r="D891" s="5"/>
      <c r="E891" s="9"/>
      <c r="F891" s="9"/>
      <c r="G891" s="10"/>
      <c r="H891" s="11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7"/>
      <c r="B892" s="7"/>
      <c r="C892" s="5"/>
      <c r="D892" s="5"/>
      <c r="E892" s="9"/>
      <c r="F892" s="9"/>
      <c r="G892" s="10"/>
      <c r="H892" s="11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7"/>
      <c r="B893" s="7"/>
      <c r="C893" s="5"/>
      <c r="D893" s="5"/>
      <c r="E893" s="9"/>
      <c r="F893" s="9"/>
      <c r="G893" s="10"/>
      <c r="H893" s="11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7"/>
      <c r="B894" s="7"/>
      <c r="C894" s="5"/>
      <c r="D894" s="5"/>
      <c r="E894" s="9"/>
      <c r="F894" s="9"/>
      <c r="G894" s="10"/>
      <c r="H894" s="11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7"/>
      <c r="B895" s="7"/>
      <c r="C895" s="5"/>
      <c r="D895" s="5"/>
      <c r="E895" s="9"/>
      <c r="F895" s="9"/>
      <c r="G895" s="10"/>
      <c r="H895" s="11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7"/>
      <c r="B896" s="7"/>
      <c r="C896" s="5"/>
      <c r="D896" s="5"/>
      <c r="E896" s="9"/>
      <c r="F896" s="9"/>
      <c r="G896" s="10"/>
      <c r="H896" s="11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7"/>
      <c r="B897" s="7"/>
      <c r="C897" s="5"/>
      <c r="D897" s="5"/>
      <c r="E897" s="9"/>
      <c r="F897" s="9"/>
      <c r="G897" s="10"/>
      <c r="H897" s="11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7"/>
      <c r="B898" s="7"/>
      <c r="C898" s="5"/>
      <c r="D898" s="5"/>
      <c r="E898" s="9"/>
      <c r="F898" s="9"/>
      <c r="G898" s="10"/>
      <c r="H898" s="11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7"/>
      <c r="B899" s="7"/>
      <c r="C899" s="5"/>
      <c r="D899" s="5"/>
      <c r="E899" s="9"/>
      <c r="F899" s="9"/>
      <c r="G899" s="10"/>
      <c r="H899" s="11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7"/>
      <c r="B900" s="7"/>
      <c r="C900" s="5"/>
      <c r="D900" s="5"/>
      <c r="E900" s="9"/>
      <c r="F900" s="9"/>
      <c r="G900" s="10"/>
      <c r="H900" s="11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7"/>
      <c r="B901" s="7"/>
      <c r="C901" s="5"/>
      <c r="D901" s="5"/>
      <c r="E901" s="9"/>
      <c r="F901" s="9"/>
      <c r="G901" s="10"/>
      <c r="H901" s="11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7"/>
      <c r="B902" s="7"/>
      <c r="C902" s="5"/>
      <c r="D902" s="5"/>
      <c r="E902" s="9"/>
      <c r="F902" s="9"/>
      <c r="G902" s="10"/>
      <c r="H902" s="11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7"/>
      <c r="B903" s="7"/>
      <c r="C903" s="5"/>
      <c r="D903" s="5"/>
      <c r="E903" s="9"/>
      <c r="F903" s="9"/>
      <c r="G903" s="10"/>
      <c r="H903" s="11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7"/>
      <c r="B904" s="7"/>
      <c r="C904" s="5"/>
      <c r="D904" s="5"/>
      <c r="E904" s="9"/>
      <c r="F904" s="9"/>
      <c r="G904" s="10"/>
      <c r="H904" s="11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7"/>
      <c r="B905" s="7"/>
      <c r="C905" s="5"/>
      <c r="D905" s="5"/>
      <c r="E905" s="9"/>
      <c r="F905" s="9"/>
      <c r="G905" s="10"/>
      <c r="H905" s="11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7"/>
      <c r="B906" s="7"/>
      <c r="C906" s="5"/>
      <c r="D906" s="5"/>
      <c r="E906" s="9"/>
      <c r="F906" s="9"/>
      <c r="G906" s="10"/>
      <c r="H906" s="11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7"/>
      <c r="B907" s="7"/>
      <c r="C907" s="5"/>
      <c r="D907" s="5"/>
      <c r="E907" s="9"/>
      <c r="F907" s="9"/>
      <c r="G907" s="10"/>
      <c r="H907" s="11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7"/>
      <c r="B908" s="7"/>
      <c r="C908" s="5"/>
      <c r="D908" s="5"/>
      <c r="E908" s="9"/>
      <c r="F908" s="9"/>
      <c r="G908" s="10"/>
      <c r="H908" s="11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7"/>
      <c r="B909" s="7"/>
      <c r="C909" s="5"/>
      <c r="D909" s="5"/>
      <c r="E909" s="9"/>
      <c r="F909" s="9"/>
      <c r="G909" s="10"/>
      <c r="H909" s="11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7"/>
      <c r="B910" s="7"/>
      <c r="C910" s="5"/>
      <c r="D910" s="5"/>
      <c r="E910" s="9"/>
      <c r="F910" s="9"/>
      <c r="G910" s="10"/>
      <c r="H910" s="11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7"/>
      <c r="B911" s="7"/>
      <c r="C911" s="5"/>
      <c r="D911" s="5"/>
      <c r="E911" s="9"/>
      <c r="F911" s="9"/>
      <c r="G911" s="10"/>
      <c r="H911" s="11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7"/>
      <c r="B912" s="7"/>
      <c r="C912" s="5"/>
      <c r="D912" s="5"/>
      <c r="E912" s="9"/>
      <c r="F912" s="9"/>
      <c r="G912" s="10"/>
      <c r="H912" s="11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7"/>
      <c r="B913" s="7"/>
      <c r="C913" s="5"/>
      <c r="D913" s="5"/>
      <c r="E913" s="9"/>
      <c r="F913" s="9"/>
      <c r="G913" s="10"/>
      <c r="H913" s="11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7"/>
      <c r="B914" s="7"/>
      <c r="C914" s="5"/>
      <c r="D914" s="5"/>
      <c r="E914" s="9"/>
      <c r="F914" s="9"/>
      <c r="G914" s="10"/>
      <c r="H914" s="11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7"/>
      <c r="B915" s="7"/>
      <c r="C915" s="5"/>
      <c r="D915" s="5"/>
      <c r="E915" s="9"/>
      <c r="F915" s="9"/>
      <c r="G915" s="10"/>
      <c r="H915" s="11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7"/>
      <c r="B916" s="7"/>
      <c r="C916" s="5"/>
      <c r="D916" s="5"/>
      <c r="E916" s="9"/>
      <c r="F916" s="9"/>
      <c r="G916" s="10"/>
      <c r="H916" s="11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7"/>
      <c r="B917" s="7"/>
      <c r="C917" s="5"/>
      <c r="D917" s="5"/>
      <c r="E917" s="9"/>
      <c r="F917" s="9"/>
      <c r="G917" s="10"/>
      <c r="H917" s="11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7"/>
      <c r="B918" s="7"/>
      <c r="C918" s="5"/>
      <c r="D918" s="5"/>
      <c r="E918" s="9"/>
      <c r="F918" s="9"/>
      <c r="G918" s="10"/>
      <c r="H918" s="11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7"/>
      <c r="B919" s="7"/>
      <c r="C919" s="5"/>
      <c r="D919" s="5"/>
      <c r="E919" s="9"/>
      <c r="F919" s="9"/>
      <c r="G919" s="10"/>
      <c r="H919" s="11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7"/>
      <c r="B920" s="7"/>
      <c r="C920" s="5"/>
      <c r="D920" s="5"/>
      <c r="E920" s="9"/>
      <c r="F920" s="9"/>
      <c r="G920" s="10"/>
      <c r="H920" s="11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7"/>
      <c r="B921" s="7"/>
      <c r="C921" s="5"/>
      <c r="D921" s="5"/>
      <c r="E921" s="9"/>
      <c r="F921" s="9"/>
      <c r="G921" s="10"/>
      <c r="H921" s="11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7"/>
      <c r="B922" s="7"/>
      <c r="C922" s="5"/>
      <c r="D922" s="5"/>
      <c r="E922" s="9"/>
      <c r="F922" s="9"/>
      <c r="G922" s="10"/>
      <c r="H922" s="11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7"/>
      <c r="B923" s="7"/>
      <c r="C923" s="5"/>
      <c r="D923" s="5"/>
      <c r="E923" s="9"/>
      <c r="F923" s="9"/>
      <c r="G923" s="10"/>
      <c r="H923" s="11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7"/>
      <c r="B924" s="7"/>
      <c r="C924" s="5"/>
      <c r="D924" s="5"/>
      <c r="E924" s="9"/>
      <c r="F924" s="9"/>
      <c r="G924" s="10"/>
      <c r="H924" s="11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7"/>
      <c r="B925" s="7"/>
      <c r="C925" s="5"/>
      <c r="D925" s="5"/>
      <c r="E925" s="9"/>
      <c r="F925" s="9"/>
      <c r="G925" s="10"/>
      <c r="H925" s="11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7"/>
      <c r="B926" s="7"/>
      <c r="C926" s="5"/>
      <c r="D926" s="5"/>
      <c r="E926" s="9"/>
      <c r="F926" s="9"/>
      <c r="G926" s="10"/>
      <c r="H926" s="11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7"/>
      <c r="B927" s="7"/>
      <c r="C927" s="5"/>
      <c r="D927" s="5"/>
      <c r="E927" s="9"/>
      <c r="F927" s="9"/>
      <c r="G927" s="10"/>
      <c r="H927" s="11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7"/>
      <c r="B928" s="7"/>
      <c r="C928" s="5"/>
      <c r="D928" s="5"/>
      <c r="E928" s="9"/>
      <c r="F928" s="9"/>
      <c r="G928" s="10"/>
      <c r="H928" s="11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7"/>
      <c r="B929" s="7"/>
      <c r="C929" s="5"/>
      <c r="D929" s="5"/>
      <c r="E929" s="9"/>
      <c r="F929" s="9"/>
      <c r="G929" s="10"/>
      <c r="H929" s="11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7"/>
      <c r="B930" s="7"/>
      <c r="C930" s="5"/>
      <c r="D930" s="5"/>
      <c r="E930" s="9"/>
      <c r="F930" s="9"/>
      <c r="G930" s="10"/>
      <c r="H930" s="11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7"/>
      <c r="B931" s="7"/>
      <c r="C931" s="5"/>
      <c r="D931" s="5"/>
      <c r="E931" s="9"/>
      <c r="F931" s="9"/>
      <c r="G931" s="10"/>
      <c r="H931" s="11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7"/>
      <c r="B932" s="7"/>
      <c r="C932" s="5"/>
      <c r="D932" s="5"/>
      <c r="E932" s="9"/>
      <c r="F932" s="9"/>
      <c r="G932" s="10"/>
      <c r="H932" s="11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7"/>
      <c r="B933" s="7"/>
      <c r="C933" s="5"/>
      <c r="D933" s="5"/>
      <c r="E933" s="9"/>
      <c r="F933" s="9"/>
      <c r="G933" s="10"/>
      <c r="H933" s="11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7"/>
      <c r="B934" s="7"/>
      <c r="C934" s="5"/>
      <c r="D934" s="5"/>
      <c r="E934" s="9"/>
      <c r="F934" s="9"/>
      <c r="G934" s="10"/>
      <c r="H934" s="11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7"/>
      <c r="B935" s="7"/>
      <c r="C935" s="5"/>
      <c r="D935" s="5"/>
      <c r="E935" s="9"/>
      <c r="F935" s="9"/>
      <c r="G935" s="10"/>
      <c r="H935" s="11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7"/>
      <c r="B936" s="7"/>
      <c r="C936" s="5"/>
      <c r="D936" s="5"/>
      <c r="E936" s="9"/>
      <c r="F936" s="9"/>
      <c r="G936" s="10"/>
      <c r="H936" s="11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7"/>
      <c r="B937" s="7"/>
      <c r="C937" s="5"/>
      <c r="D937" s="5"/>
      <c r="E937" s="9"/>
      <c r="F937" s="9"/>
      <c r="G937" s="10"/>
      <c r="H937" s="11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7"/>
      <c r="B938" s="7"/>
      <c r="C938" s="5"/>
      <c r="D938" s="5"/>
      <c r="E938" s="9"/>
      <c r="F938" s="9"/>
      <c r="G938" s="10"/>
      <c r="H938" s="11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7"/>
      <c r="B939" s="7"/>
      <c r="C939" s="5"/>
      <c r="D939" s="5"/>
      <c r="E939" s="9"/>
      <c r="F939" s="9"/>
      <c r="G939" s="10"/>
      <c r="H939" s="11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7"/>
      <c r="B940" s="7"/>
      <c r="C940" s="5"/>
      <c r="D940" s="5"/>
      <c r="E940" s="9"/>
      <c r="F940" s="9"/>
      <c r="G940" s="10"/>
      <c r="H940" s="11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7"/>
      <c r="B941" s="7"/>
      <c r="C941" s="5"/>
      <c r="D941" s="5"/>
      <c r="E941" s="9"/>
      <c r="F941" s="9"/>
      <c r="G941" s="10"/>
      <c r="H941" s="11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7"/>
      <c r="B942" s="7"/>
      <c r="C942" s="5"/>
      <c r="D942" s="5"/>
      <c r="E942" s="9"/>
      <c r="F942" s="9"/>
      <c r="G942" s="10"/>
      <c r="H942" s="11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7"/>
      <c r="B943" s="7"/>
      <c r="C943" s="5"/>
      <c r="D943" s="5"/>
      <c r="E943" s="9"/>
      <c r="F943" s="9"/>
      <c r="G943" s="10"/>
      <c r="H943" s="11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7"/>
      <c r="B944" s="7"/>
      <c r="C944" s="5"/>
      <c r="D944" s="5"/>
      <c r="E944" s="9"/>
      <c r="F944" s="9"/>
      <c r="G944" s="10"/>
      <c r="H944" s="11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7"/>
      <c r="B945" s="7"/>
      <c r="C945" s="5"/>
      <c r="D945" s="5"/>
      <c r="E945" s="9"/>
      <c r="F945" s="9"/>
      <c r="G945" s="10"/>
      <c r="H945" s="11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7"/>
      <c r="B946" s="7"/>
      <c r="C946" s="5"/>
      <c r="D946" s="5"/>
      <c r="E946" s="9"/>
      <c r="F946" s="9"/>
      <c r="G946" s="10"/>
      <c r="H946" s="11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7"/>
      <c r="B947" s="7"/>
      <c r="C947" s="5"/>
      <c r="D947" s="5"/>
      <c r="E947" s="9"/>
      <c r="F947" s="9"/>
      <c r="G947" s="10"/>
      <c r="H947" s="11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7"/>
      <c r="B948" s="7"/>
      <c r="C948" s="5"/>
      <c r="D948" s="5"/>
      <c r="E948" s="9"/>
      <c r="F948" s="9"/>
      <c r="G948" s="10"/>
      <c r="H948" s="11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7"/>
      <c r="B949" s="7"/>
      <c r="C949" s="5"/>
      <c r="D949" s="5"/>
      <c r="E949" s="9"/>
      <c r="F949" s="9"/>
      <c r="G949" s="10"/>
      <c r="H949" s="11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7"/>
      <c r="B950" s="7"/>
      <c r="C950" s="5"/>
      <c r="D950" s="5"/>
      <c r="E950" s="9"/>
      <c r="F950" s="9"/>
      <c r="G950" s="10"/>
      <c r="H950" s="11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7"/>
      <c r="B951" s="7"/>
      <c r="C951" s="5"/>
      <c r="D951" s="5"/>
      <c r="E951" s="9"/>
      <c r="F951" s="9"/>
      <c r="G951" s="10"/>
      <c r="H951" s="11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7"/>
      <c r="B952" s="7"/>
      <c r="C952" s="5"/>
      <c r="D952" s="5"/>
      <c r="E952" s="9"/>
      <c r="F952" s="9"/>
      <c r="G952" s="10"/>
      <c r="H952" s="11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7"/>
      <c r="B953" s="7"/>
      <c r="C953" s="5"/>
      <c r="D953" s="5"/>
      <c r="E953" s="9"/>
      <c r="F953" s="9"/>
      <c r="G953" s="10"/>
      <c r="H953" s="11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7"/>
      <c r="B954" s="7"/>
      <c r="C954" s="5"/>
      <c r="D954" s="5"/>
      <c r="E954" s="9"/>
      <c r="F954" s="9"/>
      <c r="G954" s="10"/>
      <c r="H954" s="11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7"/>
      <c r="B955" s="7"/>
      <c r="C955" s="5"/>
      <c r="D955" s="5"/>
      <c r="E955" s="9"/>
      <c r="F955" s="9"/>
      <c r="G955" s="10"/>
      <c r="H955" s="11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7"/>
      <c r="B956" s="7"/>
      <c r="C956" s="5"/>
      <c r="D956" s="5"/>
      <c r="E956" s="9"/>
      <c r="F956" s="9"/>
      <c r="G956" s="10"/>
      <c r="H956" s="11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7"/>
      <c r="B957" s="7"/>
      <c r="C957" s="5"/>
      <c r="D957" s="5"/>
      <c r="E957" s="9"/>
      <c r="F957" s="9"/>
      <c r="G957" s="10"/>
      <c r="H957" s="11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7"/>
      <c r="B958" s="7"/>
      <c r="C958" s="5"/>
      <c r="D958" s="5"/>
      <c r="E958" s="9"/>
      <c r="F958" s="9"/>
      <c r="G958" s="10"/>
      <c r="H958" s="11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7"/>
      <c r="B959" s="7"/>
      <c r="C959" s="5"/>
      <c r="D959" s="5"/>
      <c r="E959" s="9"/>
      <c r="F959" s="9"/>
      <c r="G959" s="10"/>
      <c r="H959" s="11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7"/>
      <c r="B960" s="7"/>
      <c r="C960" s="5"/>
      <c r="D960" s="5"/>
      <c r="E960" s="9"/>
      <c r="F960" s="9"/>
      <c r="G960" s="10"/>
      <c r="H960" s="11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7"/>
      <c r="B961" s="7"/>
      <c r="C961" s="5"/>
      <c r="D961" s="5"/>
      <c r="E961" s="9"/>
      <c r="F961" s="9"/>
      <c r="G961" s="10"/>
      <c r="H961" s="11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7"/>
      <c r="B962" s="7"/>
      <c r="C962" s="5"/>
      <c r="D962" s="5"/>
      <c r="E962" s="9"/>
      <c r="F962" s="9"/>
      <c r="G962" s="10"/>
      <c r="H962" s="11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7"/>
      <c r="B963" s="7"/>
      <c r="C963" s="5"/>
      <c r="D963" s="5"/>
      <c r="E963" s="9"/>
      <c r="F963" s="9"/>
      <c r="G963" s="10"/>
      <c r="H963" s="11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7"/>
      <c r="B964" s="7"/>
      <c r="C964" s="5"/>
      <c r="D964" s="5"/>
      <c r="E964" s="9"/>
      <c r="F964" s="9"/>
      <c r="G964" s="10"/>
      <c r="H964" s="11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7"/>
      <c r="B965" s="7"/>
      <c r="C965" s="5"/>
      <c r="D965" s="5"/>
      <c r="E965" s="9"/>
      <c r="F965" s="9"/>
      <c r="G965" s="10"/>
      <c r="H965" s="11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7"/>
      <c r="B966" s="7"/>
      <c r="C966" s="5"/>
      <c r="D966" s="5"/>
      <c r="E966" s="9"/>
      <c r="F966" s="9"/>
      <c r="G966" s="10"/>
      <c r="H966" s="11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7"/>
      <c r="B967" s="7"/>
      <c r="C967" s="5"/>
      <c r="D967" s="5"/>
      <c r="E967" s="9"/>
      <c r="F967" s="9"/>
      <c r="G967" s="10"/>
      <c r="H967" s="11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7"/>
      <c r="B968" s="7"/>
      <c r="C968" s="5"/>
      <c r="D968" s="5"/>
      <c r="E968" s="9"/>
      <c r="F968" s="9"/>
      <c r="G968" s="10"/>
      <c r="H968" s="11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7"/>
      <c r="B969" s="7"/>
      <c r="C969" s="5"/>
      <c r="D969" s="5"/>
      <c r="E969" s="9"/>
      <c r="F969" s="9"/>
      <c r="G969" s="10"/>
      <c r="H969" s="11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7"/>
      <c r="B970" s="7"/>
      <c r="C970" s="5"/>
      <c r="D970" s="5"/>
      <c r="E970" s="9"/>
      <c r="F970" s="9"/>
      <c r="G970" s="10"/>
      <c r="H970" s="11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7"/>
      <c r="B971" s="7"/>
      <c r="C971" s="5"/>
      <c r="D971" s="5"/>
      <c r="E971" s="9"/>
      <c r="F971" s="9"/>
      <c r="G971" s="10"/>
      <c r="H971" s="11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7"/>
      <c r="B972" s="7"/>
      <c r="C972" s="5"/>
      <c r="D972" s="5"/>
      <c r="E972" s="9"/>
      <c r="F972" s="9"/>
      <c r="G972" s="10"/>
      <c r="H972" s="11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7"/>
      <c r="B973" s="7"/>
      <c r="C973" s="5"/>
      <c r="D973" s="5"/>
      <c r="E973" s="9"/>
      <c r="F973" s="9"/>
      <c r="G973" s="10"/>
      <c r="H973" s="11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7"/>
      <c r="B974" s="7"/>
      <c r="C974" s="5"/>
      <c r="D974" s="5"/>
      <c r="E974" s="9"/>
      <c r="F974" s="9"/>
      <c r="G974" s="10"/>
      <c r="H974" s="11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7"/>
      <c r="B975" s="7"/>
      <c r="C975" s="5"/>
      <c r="D975" s="5"/>
      <c r="E975" s="9"/>
      <c r="F975" s="9"/>
      <c r="G975" s="10"/>
      <c r="H975" s="11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7"/>
      <c r="B976" s="7"/>
      <c r="C976" s="5"/>
      <c r="D976" s="5"/>
      <c r="E976" s="9"/>
      <c r="F976" s="9"/>
      <c r="G976" s="10"/>
      <c r="H976" s="11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7"/>
      <c r="B977" s="7"/>
      <c r="C977" s="5"/>
      <c r="D977" s="5"/>
      <c r="E977" s="9"/>
      <c r="F977" s="9"/>
      <c r="G977" s="10"/>
      <c r="H977" s="11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7"/>
      <c r="B978" s="7"/>
      <c r="C978" s="5"/>
      <c r="D978" s="5"/>
      <c r="E978" s="9"/>
      <c r="F978" s="9"/>
      <c r="G978" s="10"/>
      <c r="H978" s="11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7"/>
      <c r="B979" s="7"/>
      <c r="C979" s="5"/>
      <c r="D979" s="5"/>
      <c r="E979" s="9"/>
      <c r="F979" s="9"/>
      <c r="G979" s="10"/>
      <c r="H979" s="11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7"/>
      <c r="B980" s="7"/>
      <c r="C980" s="5"/>
      <c r="D980" s="5"/>
      <c r="E980" s="9"/>
      <c r="F980" s="9"/>
      <c r="G980" s="10"/>
      <c r="H980" s="11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7"/>
      <c r="B981" s="7"/>
      <c r="C981" s="5"/>
      <c r="D981" s="5"/>
      <c r="E981" s="9"/>
      <c r="F981" s="9"/>
      <c r="G981" s="10"/>
      <c r="H981" s="11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7"/>
      <c r="B982" s="7"/>
      <c r="C982" s="5"/>
      <c r="D982" s="5"/>
      <c r="E982" s="9"/>
      <c r="F982" s="9"/>
      <c r="G982" s="10"/>
      <c r="H982" s="11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7"/>
      <c r="B983" s="7"/>
      <c r="C983" s="5"/>
      <c r="D983" s="5"/>
      <c r="E983" s="9"/>
      <c r="F983" s="9"/>
      <c r="G983" s="10"/>
      <c r="H983" s="11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7"/>
      <c r="B984" s="7"/>
      <c r="C984" s="5"/>
      <c r="D984" s="5"/>
      <c r="E984" s="9"/>
      <c r="F984" s="9"/>
      <c r="G984" s="10"/>
      <c r="H984" s="11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7"/>
      <c r="B985" s="7"/>
      <c r="C985" s="5"/>
      <c r="D985" s="5"/>
      <c r="E985" s="9"/>
      <c r="F985" s="9"/>
      <c r="G985" s="10"/>
      <c r="H985" s="11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7"/>
      <c r="B986" s="7"/>
      <c r="C986" s="5"/>
      <c r="D986" s="5"/>
      <c r="E986" s="9"/>
      <c r="F986" s="9"/>
      <c r="G986" s="10"/>
      <c r="H986" s="11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7"/>
      <c r="B987" s="7"/>
      <c r="C987" s="5"/>
      <c r="D987" s="5"/>
      <c r="E987" s="9"/>
      <c r="F987" s="9"/>
      <c r="G987" s="10"/>
      <c r="H987" s="11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7"/>
      <c r="B988" s="7"/>
      <c r="C988" s="5"/>
      <c r="D988" s="5"/>
      <c r="E988" s="9"/>
      <c r="F988" s="9"/>
      <c r="G988" s="10"/>
      <c r="H988" s="11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7"/>
      <c r="B989" s="7"/>
      <c r="C989" s="5"/>
      <c r="D989" s="5"/>
      <c r="E989" s="9"/>
      <c r="F989" s="9"/>
      <c r="G989" s="10"/>
      <c r="H989" s="11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7"/>
      <c r="B990" s="7"/>
      <c r="C990" s="5"/>
      <c r="D990" s="5"/>
      <c r="E990" s="9"/>
      <c r="F990" s="9"/>
      <c r="G990" s="10"/>
      <c r="H990" s="11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7"/>
      <c r="B991" s="7"/>
      <c r="C991" s="5"/>
      <c r="D991" s="5"/>
      <c r="E991" s="9"/>
      <c r="F991" s="9"/>
      <c r="G991" s="10"/>
      <c r="H991" s="11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7"/>
      <c r="B992" s="7"/>
      <c r="C992" s="5"/>
      <c r="D992" s="5"/>
      <c r="E992" s="9"/>
      <c r="F992" s="9"/>
      <c r="G992" s="10"/>
      <c r="H992" s="11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7"/>
      <c r="B993" s="7"/>
      <c r="C993" s="5"/>
      <c r="D993" s="5"/>
      <c r="E993" s="9"/>
      <c r="F993" s="9"/>
      <c r="G993" s="10"/>
      <c r="H993" s="11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7"/>
      <c r="B994" s="7"/>
      <c r="C994" s="5"/>
      <c r="D994" s="5"/>
      <c r="E994" s="9"/>
      <c r="F994" s="9"/>
      <c r="G994" s="10"/>
      <c r="H994" s="11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7"/>
      <c r="B995" s="7"/>
      <c r="C995" s="5"/>
      <c r="D995" s="5"/>
      <c r="E995" s="9"/>
      <c r="F995" s="9"/>
      <c r="G995" s="10"/>
      <c r="H995" s="11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7"/>
      <c r="B996" s="7"/>
      <c r="C996" s="5"/>
      <c r="D996" s="5"/>
      <c r="E996" s="9"/>
      <c r="F996" s="9"/>
      <c r="G996" s="10"/>
      <c r="H996" s="11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7"/>
      <c r="B997" s="7"/>
      <c r="C997" s="5"/>
      <c r="D997" s="5"/>
      <c r="E997" s="9"/>
      <c r="F997" s="9"/>
      <c r="G997" s="10"/>
      <c r="H997" s="11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7"/>
      <c r="B998" s="7"/>
      <c r="C998" s="5"/>
      <c r="D998" s="5"/>
      <c r="E998" s="9"/>
      <c r="F998" s="9"/>
      <c r="G998" s="10"/>
      <c r="H998" s="11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7"/>
      <c r="B999" s="7"/>
      <c r="C999" s="5"/>
      <c r="D999" s="5"/>
      <c r="E999" s="9"/>
      <c r="F999" s="9"/>
      <c r="G999" s="10"/>
      <c r="H999" s="11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7"/>
      <c r="B1000" s="7"/>
      <c r="C1000" s="5"/>
      <c r="D1000" s="5"/>
      <c r="E1000" s="9"/>
      <c r="F1000" s="9"/>
      <c r="G1000" s="10"/>
      <c r="H1000" s="11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6:$H$37">
    <sortState ref="A6:H37">
      <sortCondition descending="1" ref="F6:F37"/>
    </sortState>
  </autoFilter>
  <mergeCells count="4">
    <mergeCell ref="A1:H1"/>
    <mergeCell ref="A2:H2"/>
    <mergeCell ref="A5:H5"/>
    <mergeCell ref="A41:B41"/>
  </mergeCells>
  <printOptions/>
  <pageMargins bottom="0.75" footer="0.0" header="0.0" left="0.7" right="0.2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6.57"/>
    <col customWidth="1" min="2" max="2" width="24.71"/>
    <col customWidth="1" min="3" max="3" width="11.71"/>
    <col customWidth="1" min="4" max="4" width="3.71"/>
    <col customWidth="1" min="5" max="7" width="11.29"/>
    <col customWidth="1" min="8" max="8" width="16.71"/>
    <col customWidth="1" min="9" max="11" width="9.14"/>
    <col customWidth="1" min="12" max="26" width="8.71"/>
  </cols>
  <sheetData>
    <row r="1" ht="16.5" customHeight="1">
      <c r="A1" s="2" t="s">
        <v>0</v>
      </c>
      <c r="B1" s="3"/>
      <c r="C1" s="3"/>
      <c r="D1" s="3"/>
      <c r="E1" s="3"/>
      <c r="F1" s="3"/>
      <c r="G1" s="3"/>
      <c r="H1" s="4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6" t="s">
        <v>2</v>
      </c>
      <c r="B2" s="3"/>
      <c r="C2" s="3"/>
      <c r="D2" s="3"/>
      <c r="E2" s="3"/>
      <c r="F2" s="3"/>
      <c r="G2" s="3"/>
      <c r="H2" s="4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7"/>
      <c r="B3" s="7"/>
      <c r="C3" s="5"/>
      <c r="D3" s="5"/>
      <c r="E3" s="9"/>
      <c r="F3" s="9"/>
      <c r="G3" s="10"/>
      <c r="H3" s="11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7"/>
      <c r="B4" s="7"/>
      <c r="C4" s="5"/>
      <c r="D4" s="5"/>
      <c r="E4" s="9"/>
      <c r="F4" s="9"/>
      <c r="G4" s="10"/>
      <c r="H4" s="11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9.0" customHeight="1">
      <c r="A5" s="128"/>
      <c r="B5" s="129"/>
      <c r="C5" s="129"/>
      <c r="D5" s="129"/>
      <c r="E5" s="129"/>
      <c r="F5" s="129"/>
      <c r="G5" s="129"/>
      <c r="H5" s="131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143" t="s">
        <v>3</v>
      </c>
      <c r="B6" s="143" t="s">
        <v>4</v>
      </c>
      <c r="C6" s="144" t="s">
        <v>5</v>
      </c>
      <c r="D6" s="144" t="s">
        <v>115</v>
      </c>
      <c r="E6" s="147" t="s">
        <v>116</v>
      </c>
      <c r="F6" s="147" t="s">
        <v>178</v>
      </c>
      <c r="G6" s="147" t="s">
        <v>118</v>
      </c>
      <c r="H6" s="143" t="s">
        <v>119</v>
      </c>
      <c r="I6" s="19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4.75" customHeight="1">
      <c r="A7" s="148" t="s">
        <v>14</v>
      </c>
      <c r="B7" s="149" t="s">
        <v>144</v>
      </c>
      <c r="C7" s="150">
        <v>45791.0</v>
      </c>
      <c r="D7" s="151">
        <v>30.0</v>
      </c>
      <c r="E7" s="152">
        <v>145000.0</v>
      </c>
      <c r="F7" s="152">
        <f>E7/30*D7</f>
        <v>145000</v>
      </c>
      <c r="G7" s="214">
        <f>F7-100000-10000-35000</f>
        <v>0</v>
      </c>
      <c r="H7" s="154" t="s">
        <v>17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4.75" customHeight="1">
      <c r="A8" s="148" t="s">
        <v>18</v>
      </c>
      <c r="B8" s="149" t="s">
        <v>168</v>
      </c>
      <c r="C8" s="150">
        <v>45704.0</v>
      </c>
      <c r="D8" s="151">
        <v>30.0</v>
      </c>
      <c r="E8" s="152">
        <v>130000.0</v>
      </c>
      <c r="F8" s="152">
        <f t="shared" ref="F8:F9" si="1">E8/30*D8-1250</f>
        <v>128750</v>
      </c>
      <c r="G8" s="214">
        <f>F8-5000-1000-10000-32750-20000-60000</f>
        <v>0</v>
      </c>
      <c r="H8" s="156" t="s">
        <v>84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4.75" customHeight="1">
      <c r="A9" s="148" t="s">
        <v>22</v>
      </c>
      <c r="B9" s="149" t="s">
        <v>169</v>
      </c>
      <c r="C9" s="150">
        <v>45792.0</v>
      </c>
      <c r="D9" s="151">
        <f>30-2-1</f>
        <v>27</v>
      </c>
      <c r="E9" s="152">
        <v>85000.0</v>
      </c>
      <c r="F9" s="152">
        <f t="shared" si="1"/>
        <v>75250</v>
      </c>
      <c r="G9" s="214">
        <f>F9-5000-10250-10000-50000</f>
        <v>0</v>
      </c>
      <c r="H9" s="154" t="s">
        <v>21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4.75" customHeight="1">
      <c r="A10" s="148" t="s">
        <v>25</v>
      </c>
      <c r="B10" s="149" t="s">
        <v>28</v>
      </c>
      <c r="C10" s="150">
        <v>45792.0</v>
      </c>
      <c r="D10" s="151">
        <v>30.0</v>
      </c>
      <c r="E10" s="152">
        <v>50000.0</v>
      </c>
      <c r="F10" s="152">
        <f>E10/30*D10-1150</f>
        <v>48850</v>
      </c>
      <c r="G10" s="214">
        <f>F10-6850-2000-40000</f>
        <v>0</v>
      </c>
      <c r="H10" s="154" t="s">
        <v>32</v>
      </c>
      <c r="I10" s="5"/>
      <c r="J10" s="5"/>
      <c r="K10" s="51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4.75" customHeight="1">
      <c r="A11" s="148" t="s">
        <v>27</v>
      </c>
      <c r="B11" s="159" t="s">
        <v>120</v>
      </c>
      <c r="C11" s="150">
        <v>45710.0</v>
      </c>
      <c r="D11" s="151">
        <v>30.0</v>
      </c>
      <c r="E11" s="152">
        <v>50000.0</v>
      </c>
      <c r="F11" s="152">
        <f>E11/30*D11-950</f>
        <v>49050</v>
      </c>
      <c r="G11" s="214">
        <f>F11-2000-5000-2000-20000-20050</f>
        <v>0</v>
      </c>
      <c r="H11" s="154" t="s">
        <v>40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4.75" customHeight="1">
      <c r="A12" s="148" t="s">
        <v>49</v>
      </c>
      <c r="B12" s="161" t="s">
        <v>33</v>
      </c>
      <c r="C12" s="150">
        <v>45871.0</v>
      </c>
      <c r="D12" s="151">
        <v>30.0</v>
      </c>
      <c r="E12" s="162">
        <v>50000.0</v>
      </c>
      <c r="F12" s="152">
        <f>E12/30*D12-1150</f>
        <v>48850</v>
      </c>
      <c r="G12" s="214">
        <f>F12-3500-5000-12000-28350</f>
        <v>0</v>
      </c>
      <c r="H12" s="154" t="s">
        <v>32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4.75" customHeight="1">
      <c r="A13" s="148" t="s">
        <v>30</v>
      </c>
      <c r="B13" s="149" t="s">
        <v>81</v>
      </c>
      <c r="C13" s="163">
        <v>45783.0</v>
      </c>
      <c r="D13" s="151">
        <v>30.0</v>
      </c>
      <c r="E13" s="152">
        <v>40000.0</v>
      </c>
      <c r="F13" s="152">
        <f>E13/30*D13</f>
        <v>40000</v>
      </c>
      <c r="G13" s="214">
        <f>F13-20000-20000</f>
        <v>0</v>
      </c>
      <c r="H13" s="154" t="s">
        <v>40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4.75" customHeight="1">
      <c r="A14" s="148" t="s">
        <v>57</v>
      </c>
      <c r="B14" s="161" t="s">
        <v>121</v>
      </c>
      <c r="C14" s="150">
        <v>45890.0</v>
      </c>
      <c r="D14" s="151">
        <v>30.0</v>
      </c>
      <c r="E14" s="162">
        <v>30000.0</v>
      </c>
      <c r="F14" s="152">
        <f>E14/30*D14-850</f>
        <v>29150</v>
      </c>
      <c r="G14" s="214">
        <f>F14-2000-15000-10000-2150</f>
        <v>0</v>
      </c>
      <c r="H14" s="164" t="s">
        <v>36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4.75" customHeight="1">
      <c r="A15" s="148" t="s">
        <v>51</v>
      </c>
      <c r="B15" s="161" t="s">
        <v>31</v>
      </c>
      <c r="C15" s="150">
        <v>45871.0</v>
      </c>
      <c r="D15" s="151">
        <v>30.0</v>
      </c>
      <c r="E15" s="162">
        <v>30000.0</v>
      </c>
      <c r="F15" s="152">
        <f>E15/30*D15-700</f>
        <v>29300</v>
      </c>
      <c r="G15" s="214">
        <f>F15-2000-27300</f>
        <v>0</v>
      </c>
      <c r="H15" s="154" t="s">
        <v>32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4.75" customHeight="1">
      <c r="A16" s="148" t="s">
        <v>44</v>
      </c>
      <c r="B16" s="161" t="s">
        <v>122</v>
      </c>
      <c r="C16" s="163">
        <v>45859.0</v>
      </c>
      <c r="D16" s="151">
        <v>30.0</v>
      </c>
      <c r="E16" s="152">
        <v>25000.0</v>
      </c>
      <c r="F16" s="152">
        <f>E16/30*D16-1050</f>
        <v>23950</v>
      </c>
      <c r="G16" s="214">
        <f>F16-3000-10950-10000</f>
        <v>0</v>
      </c>
      <c r="H16" s="154" t="s">
        <v>43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4.75" customHeight="1">
      <c r="A17" s="148" t="s">
        <v>60</v>
      </c>
      <c r="B17" s="161" t="s">
        <v>163</v>
      </c>
      <c r="C17" s="150">
        <v>45879.0</v>
      </c>
      <c r="D17" s="151">
        <f>30-1</f>
        <v>29</v>
      </c>
      <c r="E17" s="162">
        <v>25000.0</v>
      </c>
      <c r="F17" s="152">
        <f>E17/30*D17-800</f>
        <v>23366.66667</v>
      </c>
      <c r="G17" s="214">
        <f>F17-4000-9367-5000-5000</f>
        <v>-0.3333333333</v>
      </c>
      <c r="H17" s="164" t="s">
        <v>36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4.75" customHeight="1">
      <c r="A18" s="148" t="s">
        <v>65</v>
      </c>
      <c r="B18" s="161" t="s">
        <v>35</v>
      </c>
      <c r="C18" s="150">
        <v>45886.0</v>
      </c>
      <c r="D18" s="151">
        <f>30-5+3</f>
        <v>28</v>
      </c>
      <c r="E18" s="162">
        <v>25000.0</v>
      </c>
      <c r="F18" s="152">
        <f>E18/30*D18-850</f>
        <v>22483.33333</v>
      </c>
      <c r="G18" s="214">
        <f>F18-4000-18483</f>
        <v>0.3333333333</v>
      </c>
      <c r="H18" s="164" t="s">
        <v>36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4.75" customHeight="1">
      <c r="A19" s="148" t="s">
        <v>68</v>
      </c>
      <c r="B19" s="161" t="s">
        <v>179</v>
      </c>
      <c r="C19" s="150">
        <v>45889.0</v>
      </c>
      <c r="D19" s="151">
        <f>30-23</f>
        <v>7</v>
      </c>
      <c r="E19" s="162">
        <v>25000.0</v>
      </c>
      <c r="F19" s="152">
        <f>E19/30*D19-200</f>
        <v>5633.333333</v>
      </c>
      <c r="G19" s="166">
        <f>F19</f>
        <v>5633.333333</v>
      </c>
      <c r="H19" s="164" t="s">
        <v>36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4.75" customHeight="1">
      <c r="A20" s="148" t="s">
        <v>41</v>
      </c>
      <c r="B20" s="149" t="s">
        <v>123</v>
      </c>
      <c r="C20" s="163">
        <v>45840.0</v>
      </c>
      <c r="D20" s="151">
        <f>30-1</f>
        <v>29</v>
      </c>
      <c r="E20" s="152">
        <v>22000.0</v>
      </c>
      <c r="F20" s="152">
        <f t="shared" ref="F20:F21" si="2">E20/30*D20-1100</f>
        <v>20166.66667</v>
      </c>
      <c r="G20" s="214">
        <f>F20-10167-10000</f>
        <v>-0.3333333333</v>
      </c>
      <c r="H20" s="154" t="s">
        <v>43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4.75" customHeight="1">
      <c r="A21" s="148" t="s">
        <v>34</v>
      </c>
      <c r="B21" s="159" t="s">
        <v>38</v>
      </c>
      <c r="C21" s="163">
        <v>45787.0</v>
      </c>
      <c r="D21" s="151">
        <v>30.0</v>
      </c>
      <c r="E21" s="152">
        <v>20000.0</v>
      </c>
      <c r="F21" s="152">
        <f t="shared" si="2"/>
        <v>18900</v>
      </c>
      <c r="G21" s="214">
        <f>F21-2000-16900</f>
        <v>0</v>
      </c>
      <c r="H21" s="154" t="s">
        <v>43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4.75" customHeight="1">
      <c r="A22" s="148" t="s">
        <v>37</v>
      </c>
      <c r="B22" s="159" t="s">
        <v>42</v>
      </c>
      <c r="C22" s="163">
        <v>45823.0</v>
      </c>
      <c r="D22" s="151">
        <v>30.0</v>
      </c>
      <c r="E22" s="152">
        <v>20000.0</v>
      </c>
      <c r="F22" s="152">
        <f>E22/30*D22-1050</f>
        <v>18950</v>
      </c>
      <c r="G22" s="214">
        <f>F22-2000-3000-13950</f>
        <v>0</v>
      </c>
      <c r="H22" s="154" t="s">
        <v>43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4.75" customHeight="1">
      <c r="A23" s="148" t="s">
        <v>53</v>
      </c>
      <c r="B23" s="161" t="s">
        <v>170</v>
      </c>
      <c r="C23" s="150">
        <v>45871.0</v>
      </c>
      <c r="D23" s="151">
        <f>30-3-1</f>
        <v>26</v>
      </c>
      <c r="E23" s="162">
        <v>20000.0</v>
      </c>
      <c r="F23" s="152">
        <f>E23/30*D23-1000</f>
        <v>16333.33333</v>
      </c>
      <c r="G23" s="214">
        <f>F23-2000-3000-5000-6333</f>
        <v>0.3333333333</v>
      </c>
      <c r="H23" s="164" t="s">
        <v>36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4.75" customHeight="1">
      <c r="A24" s="148" t="s">
        <v>55</v>
      </c>
      <c r="B24" s="149" t="s">
        <v>124</v>
      </c>
      <c r="C24" s="150">
        <v>45879.0</v>
      </c>
      <c r="D24" s="151">
        <f>30-4-1</f>
        <v>25</v>
      </c>
      <c r="E24" s="162">
        <v>20000.0</v>
      </c>
      <c r="F24" s="152">
        <f>E24/30*D24-850</f>
        <v>15816.66667</v>
      </c>
      <c r="G24" s="214">
        <f>F24-4000-3000-8817</f>
        <v>-0.3333333333</v>
      </c>
      <c r="H24" s="154" t="s">
        <v>43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4.75" customHeight="1">
      <c r="A25" s="148" t="s">
        <v>62</v>
      </c>
      <c r="B25" s="215" t="s">
        <v>180</v>
      </c>
      <c r="C25" s="150">
        <v>45901.0</v>
      </c>
      <c r="D25" s="151">
        <f>30-15</f>
        <v>15</v>
      </c>
      <c r="E25" s="162">
        <v>20000.0</v>
      </c>
      <c r="F25" s="152">
        <f>E25/30*D25-450</f>
        <v>9550</v>
      </c>
      <c r="G25" s="166">
        <f>F25</f>
        <v>9550</v>
      </c>
      <c r="H25" s="164" t="s">
        <v>36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4.75" customHeight="1">
      <c r="A26" s="148" t="s">
        <v>64</v>
      </c>
      <c r="B26" s="215" t="s">
        <v>171</v>
      </c>
      <c r="C26" s="150">
        <v>45901.0</v>
      </c>
      <c r="D26" s="151">
        <f>30-3+3</f>
        <v>30</v>
      </c>
      <c r="E26" s="162">
        <v>20000.0</v>
      </c>
      <c r="F26" s="152">
        <f>E26/30*D26</f>
        <v>20000</v>
      </c>
      <c r="G26" s="214">
        <f>F26-20000</f>
        <v>0</v>
      </c>
      <c r="H26" s="164" t="s">
        <v>36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4.75" customHeight="1">
      <c r="A27" s="148" t="s">
        <v>70</v>
      </c>
      <c r="B27" s="215" t="s">
        <v>126</v>
      </c>
      <c r="C27" s="150">
        <v>45901.0</v>
      </c>
      <c r="D27" s="151">
        <f>30-4-3</f>
        <v>23</v>
      </c>
      <c r="E27" s="162">
        <v>20000.0</v>
      </c>
      <c r="F27" s="152">
        <f>E27/30*D27-900</f>
        <v>14433.33333</v>
      </c>
      <c r="G27" s="214">
        <f>F27-2000-5000-5000-2433</f>
        <v>0.3333333333</v>
      </c>
      <c r="H27" s="154" t="s">
        <v>43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4.75" customHeight="1">
      <c r="A28" s="148" t="s">
        <v>72</v>
      </c>
      <c r="B28" s="149" t="s">
        <v>181</v>
      </c>
      <c r="C28" s="150">
        <v>45916.0</v>
      </c>
      <c r="D28" s="151">
        <f>30-10</f>
        <v>20</v>
      </c>
      <c r="E28" s="162">
        <v>20000.0</v>
      </c>
      <c r="F28" s="152">
        <f>E28/30*D28-600</f>
        <v>12733.33333</v>
      </c>
      <c r="G28" s="166">
        <f>F28</f>
        <v>12733.33333</v>
      </c>
      <c r="H28" s="164" t="s">
        <v>36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4.75" customHeight="1">
      <c r="A29" s="148" t="s">
        <v>75</v>
      </c>
      <c r="B29" s="161" t="s">
        <v>87</v>
      </c>
      <c r="C29" s="150">
        <v>45934.0</v>
      </c>
      <c r="D29" s="187">
        <v>30.0</v>
      </c>
      <c r="E29" s="162">
        <v>20000.0</v>
      </c>
      <c r="F29" s="152">
        <f>E29/30*D29-250</f>
        <v>19750</v>
      </c>
      <c r="G29" s="214">
        <f>F29-2000-17750</f>
        <v>0</v>
      </c>
      <c r="H29" s="154" t="s">
        <v>43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4.75" customHeight="1">
      <c r="A30" s="148" t="s">
        <v>89</v>
      </c>
      <c r="B30" s="149" t="s">
        <v>125</v>
      </c>
      <c r="C30" s="150">
        <v>45943.0</v>
      </c>
      <c r="D30" s="187">
        <v>30.0</v>
      </c>
      <c r="E30" s="162">
        <v>20000.0</v>
      </c>
      <c r="F30" s="152">
        <f>E30/30*D30-1150</f>
        <v>18850</v>
      </c>
      <c r="G30" s="214">
        <f>F30-10000-8850</f>
        <v>0</v>
      </c>
      <c r="H30" s="154" t="s">
        <v>43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4.75" customHeight="1">
      <c r="A31" s="148" t="s">
        <v>47</v>
      </c>
      <c r="B31" s="161" t="s">
        <v>172</v>
      </c>
      <c r="C31" s="163">
        <v>45859.0</v>
      </c>
      <c r="D31" s="151">
        <f>30-4</f>
        <v>26</v>
      </c>
      <c r="E31" s="152">
        <v>18000.0</v>
      </c>
      <c r="F31" s="152">
        <f>E31/30*D31-1050</f>
        <v>14550</v>
      </c>
      <c r="G31" s="214">
        <f>F31-2000-12550</f>
        <v>0</v>
      </c>
      <c r="H31" s="154" t="s">
        <v>43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24.75" customHeight="1">
      <c r="A32" s="148" t="s">
        <v>104</v>
      </c>
      <c r="B32" s="169" t="s">
        <v>173</v>
      </c>
      <c r="C32" s="206">
        <v>45973.0</v>
      </c>
      <c r="D32" s="151">
        <f>19-2</f>
        <v>17</v>
      </c>
      <c r="E32" s="172">
        <v>20000.0</v>
      </c>
      <c r="F32" s="152">
        <f>E32/30*D32-500</f>
        <v>10833.33333</v>
      </c>
      <c r="G32" s="214">
        <f>F32-2000-8833</f>
        <v>0.3333333333</v>
      </c>
      <c r="H32" s="154" t="s">
        <v>43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24.75" customHeight="1">
      <c r="A33" s="148" t="s">
        <v>91</v>
      </c>
      <c r="B33" s="169" t="s">
        <v>174</v>
      </c>
      <c r="C33" s="206">
        <v>45971.0</v>
      </c>
      <c r="D33" s="151">
        <f>21-1</f>
        <v>20</v>
      </c>
      <c r="E33" s="172">
        <v>20000.0</v>
      </c>
      <c r="F33" s="152">
        <f>E33/30*D33-600</f>
        <v>12733.33333</v>
      </c>
      <c r="G33" s="214">
        <f>F33-12733</f>
        <v>0.3333333333</v>
      </c>
      <c r="H33" s="154" t="s">
        <v>43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24.75" customHeight="1">
      <c r="A34" s="148" t="s">
        <v>93</v>
      </c>
      <c r="B34" s="169" t="s">
        <v>127</v>
      </c>
      <c r="C34" s="206">
        <v>45971.0</v>
      </c>
      <c r="D34" s="151">
        <f>21</f>
        <v>21</v>
      </c>
      <c r="E34" s="172">
        <v>20000.0</v>
      </c>
      <c r="F34" s="152">
        <f>E34/30*D34-550</f>
        <v>13450</v>
      </c>
      <c r="G34" s="214">
        <f>F34-13450</f>
        <v>0</v>
      </c>
      <c r="H34" s="154" t="s">
        <v>43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24.75" customHeight="1">
      <c r="A35" s="148" t="s">
        <v>97</v>
      </c>
      <c r="B35" s="169" t="s">
        <v>175</v>
      </c>
      <c r="C35" s="206">
        <v>45971.0</v>
      </c>
      <c r="D35" s="151">
        <f>21-3+3</f>
        <v>21</v>
      </c>
      <c r="E35" s="172">
        <v>40000.0</v>
      </c>
      <c r="F35" s="152">
        <f>E35/30*D35</f>
        <v>28000</v>
      </c>
      <c r="G35" s="214">
        <f>F35-5000-15000-8000</f>
        <v>0</v>
      </c>
      <c r="H35" s="154" t="s">
        <v>129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24.75" customHeight="1">
      <c r="A36" s="148" t="s">
        <v>99</v>
      </c>
      <c r="B36" s="169" t="s">
        <v>176</v>
      </c>
      <c r="C36" s="206">
        <v>45972.0</v>
      </c>
      <c r="D36" s="151">
        <f>20</f>
        <v>20</v>
      </c>
      <c r="E36" s="172">
        <v>35000.0</v>
      </c>
      <c r="F36" s="152">
        <f>E36/30*D36-650</f>
        <v>22683.33333</v>
      </c>
      <c r="G36" s="214">
        <f>F36-2000-3000-17683</f>
        <v>0.3333333333</v>
      </c>
      <c r="H36" s="154" t="s">
        <v>40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4.75" customHeight="1">
      <c r="A37" s="148" t="s">
        <v>100</v>
      </c>
      <c r="B37" s="169" t="s">
        <v>50</v>
      </c>
      <c r="C37" s="206">
        <v>45972.0</v>
      </c>
      <c r="D37" s="151">
        <f>20-1</f>
        <v>19</v>
      </c>
      <c r="E37" s="172">
        <v>20000.0</v>
      </c>
      <c r="F37" s="152">
        <f>E37/30*D37-450</f>
        <v>12216.66667</v>
      </c>
      <c r="G37" s="214">
        <f>F37-2000-10217</f>
        <v>-0.3333333333</v>
      </c>
      <c r="H37" s="154" t="s">
        <v>43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24.75" customHeight="1">
      <c r="A38" s="148" t="s">
        <v>101</v>
      </c>
      <c r="B38" s="169" t="s">
        <v>177</v>
      </c>
      <c r="C38" s="206">
        <v>45973.0</v>
      </c>
      <c r="D38" s="151">
        <f>19-1-1</f>
        <v>17</v>
      </c>
      <c r="E38" s="172">
        <v>25000.0</v>
      </c>
      <c r="F38" s="152">
        <f>E38/30*D38</f>
        <v>14166.66667</v>
      </c>
      <c r="G38" s="214">
        <f>F38-10000-4167</f>
        <v>-0.3333333333</v>
      </c>
      <c r="H38" s="164" t="s">
        <v>36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4.75" customHeight="1">
      <c r="A39" s="154"/>
      <c r="B39" s="149"/>
      <c r="C39" s="163"/>
      <c r="D39" s="187"/>
      <c r="E39" s="162"/>
      <c r="F39" s="152"/>
      <c r="G39" s="213"/>
      <c r="H39" s="164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4.75" customHeight="1">
      <c r="A40" s="154"/>
      <c r="B40" s="216" t="s">
        <v>23</v>
      </c>
      <c r="C40" s="217"/>
      <c r="D40" s="218"/>
      <c r="E40" s="219"/>
      <c r="F40" s="219"/>
      <c r="G40" s="220"/>
      <c r="H40" s="164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24.75" customHeight="1">
      <c r="A41" s="211"/>
      <c r="B41" s="161" t="s">
        <v>166</v>
      </c>
      <c r="C41" s="163"/>
      <c r="D41" s="151"/>
      <c r="E41" s="212">
        <v>44000.0</v>
      </c>
      <c r="F41" s="212">
        <v>44000.0</v>
      </c>
      <c r="G41" s="213"/>
      <c r="H41" s="154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24.75" customHeight="1">
      <c r="A42" s="189" t="s">
        <v>78</v>
      </c>
      <c r="B42" s="190"/>
      <c r="C42" s="191"/>
      <c r="D42" s="191"/>
      <c r="E42" s="221">
        <f t="shared" ref="E42:G42" si="3">SUM(E7:E41)</f>
        <v>1174000</v>
      </c>
      <c r="F42" s="221">
        <f t="shared" si="3"/>
        <v>1027750</v>
      </c>
      <c r="G42" s="152">
        <f t="shared" si="3"/>
        <v>27917</v>
      </c>
      <c r="H42" s="154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120"/>
      <c r="B43" s="120"/>
      <c r="C43" s="121"/>
      <c r="D43" s="121"/>
      <c r="E43" s="122"/>
      <c r="F43" s="122"/>
      <c r="G43" s="123"/>
      <c r="H43" s="11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120"/>
      <c r="B44" s="120"/>
      <c r="C44" s="121"/>
      <c r="D44" s="121"/>
      <c r="E44" s="122"/>
      <c r="F44" s="122"/>
      <c r="G44" s="123"/>
      <c r="H44" s="11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120"/>
      <c r="B45" s="120"/>
      <c r="C45" s="121"/>
      <c r="D45" s="121"/>
      <c r="E45" s="122"/>
      <c r="F45" s="122"/>
      <c r="G45" s="123"/>
      <c r="H45" s="11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120"/>
      <c r="B46" s="120"/>
      <c r="C46" s="121"/>
      <c r="D46" s="121"/>
      <c r="E46" s="122"/>
      <c r="F46" s="122"/>
      <c r="G46" s="123"/>
      <c r="H46" s="11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120"/>
      <c r="B47" s="120"/>
      <c r="C47" s="121"/>
      <c r="D47" s="121"/>
      <c r="E47" s="122"/>
      <c r="F47" s="122"/>
      <c r="G47" s="123"/>
      <c r="H47" s="11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120"/>
      <c r="B48" s="120"/>
      <c r="C48" s="121"/>
      <c r="D48" s="121"/>
      <c r="E48" s="122"/>
      <c r="F48" s="122"/>
      <c r="G48" s="123"/>
      <c r="H48" s="11"/>
      <c r="I48" s="5"/>
      <c r="J48" s="5"/>
      <c r="K48" s="5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6.5" customHeight="1">
      <c r="A49" s="120"/>
      <c r="B49" s="120"/>
      <c r="C49" s="121"/>
      <c r="D49" s="121"/>
      <c r="E49" s="122"/>
      <c r="F49" s="122"/>
      <c r="G49" s="123"/>
      <c r="H49" s="11"/>
      <c r="I49" s="5"/>
      <c r="J49" s="5"/>
      <c r="K49" s="5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6.5" customHeight="1">
      <c r="A50" s="120"/>
      <c r="B50" s="120"/>
      <c r="C50" s="121"/>
      <c r="D50" s="121"/>
      <c r="E50" s="122"/>
      <c r="F50" s="122"/>
      <c r="G50" s="123"/>
      <c r="H50" s="11"/>
      <c r="I50" s="5"/>
      <c r="J50" s="5"/>
      <c r="K50" s="5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6.5" customHeight="1">
      <c r="A51" s="120"/>
      <c r="B51" s="120"/>
      <c r="C51" s="121"/>
      <c r="D51" s="121"/>
      <c r="E51" s="122"/>
      <c r="F51" s="122"/>
      <c r="G51" s="123"/>
      <c r="H51" s="11"/>
      <c r="I51" s="5"/>
      <c r="J51" s="5"/>
      <c r="K51" s="5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6.5" customHeight="1">
      <c r="A52" s="120"/>
      <c r="B52" s="120"/>
      <c r="C52" s="121"/>
      <c r="D52" s="121"/>
      <c r="E52" s="122"/>
      <c r="F52" s="122"/>
      <c r="G52" s="123"/>
      <c r="H52" s="11"/>
      <c r="I52" s="5"/>
      <c r="J52" s="5"/>
      <c r="K52" s="5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6.5" customHeight="1">
      <c r="A53" s="7"/>
      <c r="B53" s="7"/>
      <c r="C53" s="5"/>
      <c r="D53" s="5"/>
      <c r="E53" s="9"/>
      <c r="F53" s="9"/>
      <c r="G53" s="10"/>
      <c r="H53" s="11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7"/>
      <c r="B54" s="7"/>
      <c r="C54" s="5"/>
      <c r="D54" s="5"/>
      <c r="E54" s="9"/>
      <c r="F54" s="9"/>
      <c r="G54" s="10"/>
      <c r="H54" s="11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7"/>
      <c r="B55" s="7"/>
      <c r="C55" s="5"/>
      <c r="D55" s="5"/>
      <c r="E55" s="9"/>
      <c r="F55" s="9"/>
      <c r="G55" s="10"/>
      <c r="H55" s="11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6.5" customHeight="1">
      <c r="A56" s="7"/>
      <c r="B56" s="7"/>
      <c r="C56" s="5"/>
      <c r="D56" s="5"/>
      <c r="E56" s="9"/>
      <c r="F56" s="9"/>
      <c r="G56" s="10"/>
      <c r="H56" s="11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6.5" customHeight="1">
      <c r="A57" s="7"/>
      <c r="B57" s="7"/>
      <c r="C57" s="5"/>
      <c r="D57" s="5"/>
      <c r="E57" s="9"/>
      <c r="F57" s="9"/>
      <c r="G57" s="10"/>
      <c r="H57" s="11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7"/>
      <c r="B58" s="7"/>
      <c r="C58" s="5"/>
      <c r="D58" s="5"/>
      <c r="E58" s="9"/>
      <c r="F58" s="9"/>
      <c r="G58" s="10"/>
      <c r="H58" s="11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7"/>
      <c r="B59" s="7"/>
      <c r="C59" s="5"/>
      <c r="D59" s="5"/>
      <c r="E59" s="9"/>
      <c r="F59" s="9"/>
      <c r="G59" s="10"/>
      <c r="H59" s="11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7"/>
      <c r="B60" s="7"/>
      <c r="C60" s="5"/>
      <c r="D60" s="5"/>
      <c r="E60" s="9"/>
      <c r="F60" s="9"/>
      <c r="G60" s="10"/>
      <c r="H60" s="11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7"/>
      <c r="B61" s="7"/>
      <c r="C61" s="5"/>
      <c r="D61" s="5"/>
      <c r="E61" s="9"/>
      <c r="F61" s="9"/>
      <c r="G61" s="10"/>
      <c r="H61" s="11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7"/>
      <c r="B62" s="7"/>
      <c r="C62" s="5"/>
      <c r="D62" s="5"/>
      <c r="E62" s="9"/>
      <c r="F62" s="9"/>
      <c r="G62" s="10"/>
      <c r="H62" s="11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7"/>
      <c r="B63" s="7"/>
      <c r="C63" s="5"/>
      <c r="D63" s="5"/>
      <c r="E63" s="9"/>
      <c r="F63" s="9"/>
      <c r="G63" s="10"/>
      <c r="H63" s="11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7"/>
      <c r="B64" s="7"/>
      <c r="C64" s="5"/>
      <c r="D64" s="5"/>
      <c r="E64" s="9"/>
      <c r="F64" s="9"/>
      <c r="G64" s="10"/>
      <c r="H64" s="11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7"/>
      <c r="B65" s="7"/>
      <c r="C65" s="5"/>
      <c r="D65" s="5"/>
      <c r="E65" s="9"/>
      <c r="F65" s="9"/>
      <c r="G65" s="10"/>
      <c r="H65" s="11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7"/>
      <c r="B66" s="7"/>
      <c r="C66" s="5"/>
      <c r="D66" s="5"/>
      <c r="E66" s="9"/>
      <c r="F66" s="9"/>
      <c r="G66" s="10"/>
      <c r="H66" s="11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7"/>
      <c r="B67" s="7"/>
      <c r="C67" s="5"/>
      <c r="D67" s="5"/>
      <c r="E67" s="9"/>
      <c r="F67" s="9"/>
      <c r="G67" s="10"/>
      <c r="H67" s="11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7"/>
      <c r="B68" s="7"/>
      <c r="C68" s="5"/>
      <c r="D68" s="5"/>
      <c r="E68" s="9"/>
      <c r="F68" s="9"/>
      <c r="G68" s="10"/>
      <c r="H68" s="11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7"/>
      <c r="B69" s="7"/>
      <c r="C69" s="5"/>
      <c r="D69" s="5"/>
      <c r="E69" s="9"/>
      <c r="F69" s="9"/>
      <c r="G69" s="10"/>
      <c r="H69" s="11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7"/>
      <c r="B70" s="7"/>
      <c r="C70" s="5"/>
      <c r="D70" s="5"/>
      <c r="E70" s="9"/>
      <c r="F70" s="9"/>
      <c r="G70" s="10"/>
      <c r="H70" s="11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7"/>
      <c r="B71" s="7"/>
      <c r="C71" s="5"/>
      <c r="D71" s="5"/>
      <c r="E71" s="9"/>
      <c r="F71" s="9"/>
      <c r="G71" s="10"/>
      <c r="H71" s="11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7"/>
      <c r="B72" s="7"/>
      <c r="C72" s="5"/>
      <c r="D72" s="5"/>
      <c r="E72" s="9"/>
      <c r="F72" s="9"/>
      <c r="G72" s="10"/>
      <c r="H72" s="11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7"/>
      <c r="B73" s="7"/>
      <c r="C73" s="5"/>
      <c r="D73" s="5"/>
      <c r="E73" s="9"/>
      <c r="F73" s="9"/>
      <c r="G73" s="10"/>
      <c r="H73" s="11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7"/>
      <c r="B74" s="7"/>
      <c r="C74" s="5"/>
      <c r="D74" s="5"/>
      <c r="E74" s="9"/>
      <c r="F74" s="9"/>
      <c r="G74" s="10"/>
      <c r="H74" s="11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7"/>
      <c r="B75" s="7"/>
      <c r="C75" s="5"/>
      <c r="D75" s="5"/>
      <c r="E75" s="9"/>
      <c r="F75" s="9"/>
      <c r="G75" s="10"/>
      <c r="H75" s="11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7"/>
      <c r="B76" s="7"/>
      <c r="C76" s="5"/>
      <c r="D76" s="5"/>
      <c r="E76" s="9"/>
      <c r="F76" s="9"/>
      <c r="G76" s="10"/>
      <c r="H76" s="11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7"/>
      <c r="B77" s="7"/>
      <c r="C77" s="5"/>
      <c r="D77" s="5"/>
      <c r="E77" s="9"/>
      <c r="F77" s="9"/>
      <c r="G77" s="10"/>
      <c r="H77" s="11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7"/>
      <c r="B78" s="7"/>
      <c r="C78" s="5"/>
      <c r="D78" s="5"/>
      <c r="E78" s="9"/>
      <c r="F78" s="9"/>
      <c r="G78" s="10"/>
      <c r="H78" s="11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7"/>
      <c r="B79" s="7"/>
      <c r="C79" s="5"/>
      <c r="D79" s="5"/>
      <c r="E79" s="9"/>
      <c r="F79" s="9"/>
      <c r="G79" s="10"/>
      <c r="H79" s="11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7"/>
      <c r="B80" s="7"/>
      <c r="C80" s="5"/>
      <c r="D80" s="5"/>
      <c r="E80" s="9"/>
      <c r="F80" s="9"/>
      <c r="G80" s="10"/>
      <c r="H80" s="11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7"/>
      <c r="B81" s="7"/>
      <c r="C81" s="5"/>
      <c r="D81" s="5"/>
      <c r="E81" s="9"/>
      <c r="F81" s="9"/>
      <c r="G81" s="10"/>
      <c r="H81" s="11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7"/>
      <c r="B82" s="7"/>
      <c r="C82" s="5"/>
      <c r="D82" s="5"/>
      <c r="E82" s="9"/>
      <c r="F82" s="9"/>
      <c r="G82" s="10"/>
      <c r="H82" s="11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7"/>
      <c r="B83" s="7"/>
      <c r="C83" s="5"/>
      <c r="D83" s="5"/>
      <c r="E83" s="9"/>
      <c r="F83" s="9"/>
      <c r="G83" s="10"/>
      <c r="H83" s="11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7"/>
      <c r="B84" s="7"/>
      <c r="C84" s="5"/>
      <c r="D84" s="5"/>
      <c r="E84" s="9"/>
      <c r="F84" s="9"/>
      <c r="G84" s="10"/>
      <c r="H84" s="11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7"/>
      <c r="B85" s="7"/>
      <c r="C85" s="5"/>
      <c r="D85" s="5"/>
      <c r="E85" s="9"/>
      <c r="F85" s="9"/>
      <c r="G85" s="10"/>
      <c r="H85" s="11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7"/>
      <c r="B86" s="7"/>
      <c r="C86" s="5"/>
      <c r="D86" s="5"/>
      <c r="E86" s="9"/>
      <c r="F86" s="9"/>
      <c r="G86" s="10"/>
      <c r="H86" s="11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7"/>
      <c r="B87" s="7"/>
      <c r="C87" s="5"/>
      <c r="D87" s="5"/>
      <c r="E87" s="9"/>
      <c r="F87" s="9"/>
      <c r="G87" s="10"/>
      <c r="H87" s="11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7"/>
      <c r="B88" s="7"/>
      <c r="C88" s="5"/>
      <c r="D88" s="5"/>
      <c r="E88" s="9"/>
      <c r="F88" s="9"/>
      <c r="G88" s="10"/>
      <c r="H88" s="11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7"/>
      <c r="B89" s="7"/>
      <c r="C89" s="5"/>
      <c r="D89" s="5"/>
      <c r="E89" s="9"/>
      <c r="F89" s="9"/>
      <c r="G89" s="10"/>
      <c r="H89" s="11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7"/>
      <c r="B90" s="7"/>
      <c r="C90" s="5"/>
      <c r="D90" s="5"/>
      <c r="E90" s="9"/>
      <c r="F90" s="9"/>
      <c r="G90" s="10"/>
      <c r="H90" s="11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7"/>
      <c r="B91" s="7"/>
      <c r="C91" s="5"/>
      <c r="D91" s="5"/>
      <c r="E91" s="9"/>
      <c r="F91" s="9"/>
      <c r="G91" s="10"/>
      <c r="H91" s="11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7"/>
      <c r="B92" s="7"/>
      <c r="C92" s="5"/>
      <c r="D92" s="5"/>
      <c r="E92" s="9"/>
      <c r="F92" s="9"/>
      <c r="G92" s="10"/>
      <c r="H92" s="11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7"/>
      <c r="B93" s="7"/>
      <c r="C93" s="5"/>
      <c r="D93" s="5"/>
      <c r="E93" s="9"/>
      <c r="F93" s="9"/>
      <c r="G93" s="10"/>
      <c r="H93" s="11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7"/>
      <c r="B94" s="7"/>
      <c r="C94" s="5"/>
      <c r="D94" s="5"/>
      <c r="E94" s="9"/>
      <c r="F94" s="9"/>
      <c r="G94" s="10"/>
      <c r="H94" s="11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7"/>
      <c r="B95" s="7"/>
      <c r="C95" s="5"/>
      <c r="D95" s="5"/>
      <c r="E95" s="9"/>
      <c r="F95" s="9"/>
      <c r="G95" s="10"/>
      <c r="H95" s="11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7"/>
      <c r="B96" s="7"/>
      <c r="C96" s="5"/>
      <c r="D96" s="5"/>
      <c r="E96" s="9"/>
      <c r="F96" s="9"/>
      <c r="G96" s="10"/>
      <c r="H96" s="11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7"/>
      <c r="B97" s="7"/>
      <c r="C97" s="5"/>
      <c r="D97" s="5"/>
      <c r="E97" s="9"/>
      <c r="F97" s="9"/>
      <c r="G97" s="10"/>
      <c r="H97" s="11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7"/>
      <c r="B98" s="7"/>
      <c r="C98" s="5"/>
      <c r="D98" s="5"/>
      <c r="E98" s="9"/>
      <c r="F98" s="9"/>
      <c r="G98" s="10"/>
      <c r="H98" s="11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7"/>
      <c r="B99" s="7"/>
      <c r="C99" s="5"/>
      <c r="D99" s="5"/>
      <c r="E99" s="9"/>
      <c r="F99" s="9"/>
      <c r="G99" s="10"/>
      <c r="H99" s="11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7"/>
      <c r="B100" s="7"/>
      <c r="C100" s="5"/>
      <c r="D100" s="5"/>
      <c r="E100" s="9"/>
      <c r="F100" s="9"/>
      <c r="G100" s="10"/>
      <c r="H100" s="11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7"/>
      <c r="B101" s="7"/>
      <c r="C101" s="5"/>
      <c r="D101" s="5"/>
      <c r="E101" s="9"/>
      <c r="F101" s="9"/>
      <c r="G101" s="10"/>
      <c r="H101" s="11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7"/>
      <c r="B102" s="7"/>
      <c r="C102" s="5"/>
      <c r="D102" s="5"/>
      <c r="E102" s="9"/>
      <c r="F102" s="9"/>
      <c r="G102" s="10"/>
      <c r="H102" s="11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7"/>
      <c r="B103" s="7"/>
      <c r="C103" s="5"/>
      <c r="D103" s="5"/>
      <c r="E103" s="9"/>
      <c r="F103" s="9"/>
      <c r="G103" s="10"/>
      <c r="H103" s="11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7"/>
      <c r="B104" s="7"/>
      <c r="C104" s="5"/>
      <c r="D104" s="5"/>
      <c r="E104" s="9"/>
      <c r="F104" s="9"/>
      <c r="G104" s="10"/>
      <c r="H104" s="11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7"/>
      <c r="B105" s="7"/>
      <c r="C105" s="5"/>
      <c r="D105" s="5"/>
      <c r="E105" s="9"/>
      <c r="F105" s="9"/>
      <c r="G105" s="10"/>
      <c r="H105" s="11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7"/>
      <c r="B106" s="7"/>
      <c r="C106" s="5"/>
      <c r="D106" s="5"/>
      <c r="E106" s="9"/>
      <c r="F106" s="9"/>
      <c r="G106" s="10"/>
      <c r="H106" s="11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7"/>
      <c r="B107" s="7"/>
      <c r="C107" s="5"/>
      <c r="D107" s="5"/>
      <c r="E107" s="9"/>
      <c r="F107" s="9"/>
      <c r="G107" s="10"/>
      <c r="H107" s="11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7"/>
      <c r="B108" s="7"/>
      <c r="C108" s="5"/>
      <c r="D108" s="5"/>
      <c r="E108" s="9"/>
      <c r="F108" s="9"/>
      <c r="G108" s="10"/>
      <c r="H108" s="11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7"/>
      <c r="B109" s="7"/>
      <c r="C109" s="5"/>
      <c r="D109" s="5"/>
      <c r="E109" s="9"/>
      <c r="F109" s="9"/>
      <c r="G109" s="10"/>
      <c r="H109" s="11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7"/>
      <c r="B110" s="7"/>
      <c r="C110" s="5"/>
      <c r="D110" s="5"/>
      <c r="E110" s="9"/>
      <c r="F110" s="9"/>
      <c r="G110" s="10"/>
      <c r="H110" s="11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7"/>
      <c r="B111" s="7"/>
      <c r="C111" s="5"/>
      <c r="D111" s="5"/>
      <c r="E111" s="9"/>
      <c r="F111" s="9"/>
      <c r="G111" s="10"/>
      <c r="H111" s="11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7"/>
      <c r="B112" s="7"/>
      <c r="C112" s="5"/>
      <c r="D112" s="5"/>
      <c r="E112" s="9"/>
      <c r="F112" s="9"/>
      <c r="G112" s="10"/>
      <c r="H112" s="11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7"/>
      <c r="B113" s="7"/>
      <c r="C113" s="5"/>
      <c r="D113" s="5"/>
      <c r="E113" s="9"/>
      <c r="F113" s="9"/>
      <c r="G113" s="10"/>
      <c r="H113" s="11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7"/>
      <c r="B114" s="7"/>
      <c r="C114" s="5"/>
      <c r="D114" s="5"/>
      <c r="E114" s="9"/>
      <c r="F114" s="9"/>
      <c r="G114" s="10"/>
      <c r="H114" s="11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7"/>
      <c r="B115" s="7"/>
      <c r="C115" s="5"/>
      <c r="D115" s="5"/>
      <c r="E115" s="9"/>
      <c r="F115" s="9"/>
      <c r="G115" s="10"/>
      <c r="H115" s="11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7"/>
      <c r="B116" s="7"/>
      <c r="C116" s="5"/>
      <c r="D116" s="5"/>
      <c r="E116" s="9"/>
      <c r="F116" s="9"/>
      <c r="G116" s="10"/>
      <c r="H116" s="11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7"/>
      <c r="B117" s="7"/>
      <c r="C117" s="5"/>
      <c r="D117" s="5"/>
      <c r="E117" s="9"/>
      <c r="F117" s="9"/>
      <c r="G117" s="10"/>
      <c r="H117" s="11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7"/>
      <c r="B118" s="7"/>
      <c r="C118" s="5"/>
      <c r="D118" s="5"/>
      <c r="E118" s="9"/>
      <c r="F118" s="9"/>
      <c r="G118" s="10"/>
      <c r="H118" s="11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7"/>
      <c r="B119" s="7"/>
      <c r="C119" s="5"/>
      <c r="D119" s="5"/>
      <c r="E119" s="9"/>
      <c r="F119" s="9"/>
      <c r="G119" s="10"/>
      <c r="H119" s="11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7"/>
      <c r="B120" s="7"/>
      <c r="C120" s="5"/>
      <c r="D120" s="5"/>
      <c r="E120" s="9"/>
      <c r="F120" s="9"/>
      <c r="G120" s="10"/>
      <c r="H120" s="11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7"/>
      <c r="B121" s="7"/>
      <c r="C121" s="5"/>
      <c r="D121" s="5"/>
      <c r="E121" s="9"/>
      <c r="F121" s="9"/>
      <c r="G121" s="10"/>
      <c r="H121" s="11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7"/>
      <c r="B122" s="7"/>
      <c r="C122" s="5"/>
      <c r="D122" s="5"/>
      <c r="E122" s="9"/>
      <c r="F122" s="9"/>
      <c r="G122" s="10"/>
      <c r="H122" s="11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7"/>
      <c r="B123" s="7"/>
      <c r="C123" s="5"/>
      <c r="D123" s="5"/>
      <c r="E123" s="9"/>
      <c r="F123" s="9"/>
      <c r="G123" s="10"/>
      <c r="H123" s="11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7"/>
      <c r="B124" s="7"/>
      <c r="C124" s="5"/>
      <c r="D124" s="5"/>
      <c r="E124" s="9"/>
      <c r="F124" s="9"/>
      <c r="G124" s="10"/>
      <c r="H124" s="11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7"/>
      <c r="B125" s="7"/>
      <c r="C125" s="5"/>
      <c r="D125" s="5"/>
      <c r="E125" s="9"/>
      <c r="F125" s="9"/>
      <c r="G125" s="10"/>
      <c r="H125" s="11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7"/>
      <c r="B126" s="7"/>
      <c r="C126" s="5"/>
      <c r="D126" s="5"/>
      <c r="E126" s="9"/>
      <c r="F126" s="9"/>
      <c r="G126" s="10"/>
      <c r="H126" s="11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7"/>
      <c r="B127" s="7"/>
      <c r="C127" s="5"/>
      <c r="D127" s="5"/>
      <c r="E127" s="9"/>
      <c r="F127" s="9"/>
      <c r="G127" s="10"/>
      <c r="H127" s="11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7"/>
      <c r="B128" s="7"/>
      <c r="C128" s="5"/>
      <c r="D128" s="5"/>
      <c r="E128" s="9"/>
      <c r="F128" s="9"/>
      <c r="G128" s="10"/>
      <c r="H128" s="11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7"/>
      <c r="B129" s="7"/>
      <c r="C129" s="5"/>
      <c r="D129" s="5"/>
      <c r="E129" s="9"/>
      <c r="F129" s="9"/>
      <c r="G129" s="10"/>
      <c r="H129" s="11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7"/>
      <c r="B130" s="7"/>
      <c r="C130" s="5"/>
      <c r="D130" s="5"/>
      <c r="E130" s="9"/>
      <c r="F130" s="9"/>
      <c r="G130" s="10"/>
      <c r="H130" s="11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7"/>
      <c r="B131" s="7"/>
      <c r="C131" s="5"/>
      <c r="D131" s="5"/>
      <c r="E131" s="9"/>
      <c r="F131" s="9"/>
      <c r="G131" s="10"/>
      <c r="H131" s="11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7"/>
      <c r="B132" s="7"/>
      <c r="C132" s="5"/>
      <c r="D132" s="5"/>
      <c r="E132" s="9"/>
      <c r="F132" s="9"/>
      <c r="G132" s="10"/>
      <c r="H132" s="11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7"/>
      <c r="B133" s="7"/>
      <c r="C133" s="5"/>
      <c r="D133" s="5"/>
      <c r="E133" s="9"/>
      <c r="F133" s="9"/>
      <c r="G133" s="10"/>
      <c r="H133" s="11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7"/>
      <c r="B134" s="7"/>
      <c r="C134" s="5"/>
      <c r="D134" s="5"/>
      <c r="E134" s="9"/>
      <c r="F134" s="9"/>
      <c r="G134" s="10"/>
      <c r="H134" s="11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7"/>
      <c r="B135" s="7"/>
      <c r="C135" s="5"/>
      <c r="D135" s="5"/>
      <c r="E135" s="9"/>
      <c r="F135" s="9"/>
      <c r="G135" s="10"/>
      <c r="H135" s="11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7"/>
      <c r="B136" s="7"/>
      <c r="C136" s="5"/>
      <c r="D136" s="5"/>
      <c r="E136" s="9"/>
      <c r="F136" s="9"/>
      <c r="G136" s="10"/>
      <c r="H136" s="11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7"/>
      <c r="B137" s="7"/>
      <c r="C137" s="5"/>
      <c r="D137" s="5"/>
      <c r="E137" s="9"/>
      <c r="F137" s="9"/>
      <c r="G137" s="10"/>
      <c r="H137" s="11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7"/>
      <c r="B138" s="7"/>
      <c r="C138" s="5"/>
      <c r="D138" s="5"/>
      <c r="E138" s="9"/>
      <c r="F138" s="9"/>
      <c r="G138" s="10"/>
      <c r="H138" s="11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7"/>
      <c r="B139" s="7"/>
      <c r="C139" s="5"/>
      <c r="D139" s="5"/>
      <c r="E139" s="9"/>
      <c r="F139" s="9"/>
      <c r="G139" s="10"/>
      <c r="H139" s="11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7"/>
      <c r="B140" s="7"/>
      <c r="C140" s="5"/>
      <c r="D140" s="5"/>
      <c r="E140" s="9"/>
      <c r="F140" s="9"/>
      <c r="G140" s="10"/>
      <c r="H140" s="11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7"/>
      <c r="B141" s="7"/>
      <c r="C141" s="5"/>
      <c r="D141" s="5"/>
      <c r="E141" s="9"/>
      <c r="F141" s="9"/>
      <c r="G141" s="10"/>
      <c r="H141" s="11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7"/>
      <c r="B142" s="7"/>
      <c r="C142" s="5"/>
      <c r="D142" s="5"/>
      <c r="E142" s="9"/>
      <c r="F142" s="9"/>
      <c r="G142" s="10"/>
      <c r="H142" s="11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7"/>
      <c r="B143" s="7"/>
      <c r="C143" s="5"/>
      <c r="D143" s="5"/>
      <c r="E143" s="9"/>
      <c r="F143" s="9"/>
      <c r="G143" s="10"/>
      <c r="H143" s="11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7"/>
      <c r="B144" s="7"/>
      <c r="C144" s="5"/>
      <c r="D144" s="5"/>
      <c r="E144" s="9"/>
      <c r="F144" s="9"/>
      <c r="G144" s="10"/>
      <c r="H144" s="11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7"/>
      <c r="B145" s="7"/>
      <c r="C145" s="5"/>
      <c r="D145" s="5"/>
      <c r="E145" s="9"/>
      <c r="F145" s="9"/>
      <c r="G145" s="10"/>
      <c r="H145" s="11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7"/>
      <c r="B146" s="7"/>
      <c r="C146" s="5"/>
      <c r="D146" s="5"/>
      <c r="E146" s="9"/>
      <c r="F146" s="9"/>
      <c r="G146" s="10"/>
      <c r="H146" s="11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7"/>
      <c r="B147" s="7"/>
      <c r="C147" s="5"/>
      <c r="D147" s="5"/>
      <c r="E147" s="9"/>
      <c r="F147" s="9"/>
      <c r="G147" s="10"/>
      <c r="H147" s="11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7"/>
      <c r="B148" s="7"/>
      <c r="C148" s="5"/>
      <c r="D148" s="5"/>
      <c r="E148" s="9"/>
      <c r="F148" s="9"/>
      <c r="G148" s="10"/>
      <c r="H148" s="11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7"/>
      <c r="B149" s="7"/>
      <c r="C149" s="5"/>
      <c r="D149" s="5"/>
      <c r="E149" s="9"/>
      <c r="F149" s="9"/>
      <c r="G149" s="10"/>
      <c r="H149" s="11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7"/>
      <c r="B150" s="7"/>
      <c r="C150" s="5"/>
      <c r="D150" s="5"/>
      <c r="E150" s="9"/>
      <c r="F150" s="9"/>
      <c r="G150" s="10"/>
      <c r="H150" s="11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7"/>
      <c r="B151" s="7"/>
      <c r="C151" s="5"/>
      <c r="D151" s="5"/>
      <c r="E151" s="9"/>
      <c r="F151" s="9"/>
      <c r="G151" s="10"/>
      <c r="H151" s="11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7"/>
      <c r="B152" s="7"/>
      <c r="C152" s="5"/>
      <c r="D152" s="5"/>
      <c r="E152" s="9"/>
      <c r="F152" s="9"/>
      <c r="G152" s="10"/>
      <c r="H152" s="11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7"/>
      <c r="B153" s="7"/>
      <c r="C153" s="5"/>
      <c r="D153" s="5"/>
      <c r="E153" s="9"/>
      <c r="F153" s="9"/>
      <c r="G153" s="10"/>
      <c r="H153" s="11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7"/>
      <c r="B154" s="7"/>
      <c r="C154" s="5"/>
      <c r="D154" s="5"/>
      <c r="E154" s="9"/>
      <c r="F154" s="9"/>
      <c r="G154" s="10"/>
      <c r="H154" s="11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7"/>
      <c r="B155" s="7"/>
      <c r="C155" s="5"/>
      <c r="D155" s="5"/>
      <c r="E155" s="9"/>
      <c r="F155" s="9"/>
      <c r="G155" s="10"/>
      <c r="H155" s="11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7"/>
      <c r="B156" s="7"/>
      <c r="C156" s="5"/>
      <c r="D156" s="5"/>
      <c r="E156" s="9"/>
      <c r="F156" s="9"/>
      <c r="G156" s="10"/>
      <c r="H156" s="11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7"/>
      <c r="B157" s="7"/>
      <c r="C157" s="5"/>
      <c r="D157" s="5"/>
      <c r="E157" s="9"/>
      <c r="F157" s="9"/>
      <c r="G157" s="10"/>
      <c r="H157" s="11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7"/>
      <c r="B158" s="7"/>
      <c r="C158" s="5"/>
      <c r="D158" s="5"/>
      <c r="E158" s="9"/>
      <c r="F158" s="9"/>
      <c r="G158" s="10"/>
      <c r="H158" s="11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7"/>
      <c r="B159" s="7"/>
      <c r="C159" s="5"/>
      <c r="D159" s="5"/>
      <c r="E159" s="9"/>
      <c r="F159" s="9"/>
      <c r="G159" s="10"/>
      <c r="H159" s="11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7"/>
      <c r="B160" s="7"/>
      <c r="C160" s="5"/>
      <c r="D160" s="5"/>
      <c r="E160" s="9"/>
      <c r="F160" s="9"/>
      <c r="G160" s="10"/>
      <c r="H160" s="11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7"/>
      <c r="B161" s="7"/>
      <c r="C161" s="5"/>
      <c r="D161" s="5"/>
      <c r="E161" s="9"/>
      <c r="F161" s="9"/>
      <c r="G161" s="10"/>
      <c r="H161" s="11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7"/>
      <c r="B162" s="7"/>
      <c r="C162" s="5"/>
      <c r="D162" s="5"/>
      <c r="E162" s="9"/>
      <c r="F162" s="9"/>
      <c r="G162" s="10"/>
      <c r="H162" s="11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7"/>
      <c r="B163" s="7"/>
      <c r="C163" s="5"/>
      <c r="D163" s="5"/>
      <c r="E163" s="9"/>
      <c r="F163" s="9"/>
      <c r="G163" s="10"/>
      <c r="H163" s="11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7"/>
      <c r="B164" s="7"/>
      <c r="C164" s="5"/>
      <c r="D164" s="5"/>
      <c r="E164" s="9"/>
      <c r="F164" s="9"/>
      <c r="G164" s="10"/>
      <c r="H164" s="11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7"/>
      <c r="B165" s="7"/>
      <c r="C165" s="5"/>
      <c r="D165" s="5"/>
      <c r="E165" s="9"/>
      <c r="F165" s="9"/>
      <c r="G165" s="10"/>
      <c r="H165" s="11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7"/>
      <c r="B166" s="7"/>
      <c r="C166" s="5"/>
      <c r="D166" s="5"/>
      <c r="E166" s="9"/>
      <c r="F166" s="9"/>
      <c r="G166" s="10"/>
      <c r="H166" s="11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7"/>
      <c r="B167" s="7"/>
      <c r="C167" s="5"/>
      <c r="D167" s="5"/>
      <c r="E167" s="9"/>
      <c r="F167" s="9"/>
      <c r="G167" s="10"/>
      <c r="H167" s="11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7"/>
      <c r="B168" s="7"/>
      <c r="C168" s="5"/>
      <c r="D168" s="5"/>
      <c r="E168" s="9"/>
      <c r="F168" s="9"/>
      <c r="G168" s="10"/>
      <c r="H168" s="11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7"/>
      <c r="B169" s="7"/>
      <c r="C169" s="5"/>
      <c r="D169" s="5"/>
      <c r="E169" s="9"/>
      <c r="F169" s="9"/>
      <c r="G169" s="10"/>
      <c r="H169" s="11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7"/>
      <c r="B170" s="7"/>
      <c r="C170" s="5"/>
      <c r="D170" s="5"/>
      <c r="E170" s="9"/>
      <c r="F170" s="9"/>
      <c r="G170" s="10"/>
      <c r="H170" s="11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7"/>
      <c r="B171" s="7"/>
      <c r="C171" s="5"/>
      <c r="D171" s="5"/>
      <c r="E171" s="9"/>
      <c r="F171" s="9"/>
      <c r="G171" s="10"/>
      <c r="H171" s="11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7"/>
      <c r="B172" s="7"/>
      <c r="C172" s="5"/>
      <c r="D172" s="5"/>
      <c r="E172" s="9"/>
      <c r="F172" s="9"/>
      <c r="G172" s="10"/>
      <c r="H172" s="11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7"/>
      <c r="B173" s="7"/>
      <c r="C173" s="5"/>
      <c r="D173" s="5"/>
      <c r="E173" s="9"/>
      <c r="F173" s="9"/>
      <c r="G173" s="10"/>
      <c r="H173" s="11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7"/>
      <c r="B174" s="7"/>
      <c r="C174" s="5"/>
      <c r="D174" s="5"/>
      <c r="E174" s="9"/>
      <c r="F174" s="9"/>
      <c r="G174" s="10"/>
      <c r="H174" s="11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7"/>
      <c r="B175" s="7"/>
      <c r="C175" s="5"/>
      <c r="D175" s="5"/>
      <c r="E175" s="9"/>
      <c r="F175" s="9"/>
      <c r="G175" s="10"/>
      <c r="H175" s="11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7"/>
      <c r="B176" s="7"/>
      <c r="C176" s="5"/>
      <c r="D176" s="5"/>
      <c r="E176" s="9"/>
      <c r="F176" s="9"/>
      <c r="G176" s="10"/>
      <c r="H176" s="11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7"/>
      <c r="B177" s="7"/>
      <c r="C177" s="5"/>
      <c r="D177" s="5"/>
      <c r="E177" s="9"/>
      <c r="F177" s="9"/>
      <c r="G177" s="10"/>
      <c r="H177" s="11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7"/>
      <c r="B178" s="7"/>
      <c r="C178" s="5"/>
      <c r="D178" s="5"/>
      <c r="E178" s="9"/>
      <c r="F178" s="9"/>
      <c r="G178" s="10"/>
      <c r="H178" s="11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7"/>
      <c r="B179" s="7"/>
      <c r="C179" s="5"/>
      <c r="D179" s="5"/>
      <c r="E179" s="9"/>
      <c r="F179" s="9"/>
      <c r="G179" s="10"/>
      <c r="H179" s="11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7"/>
      <c r="B180" s="7"/>
      <c r="C180" s="5"/>
      <c r="D180" s="5"/>
      <c r="E180" s="9"/>
      <c r="F180" s="9"/>
      <c r="G180" s="10"/>
      <c r="H180" s="11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7"/>
      <c r="B181" s="7"/>
      <c r="C181" s="5"/>
      <c r="D181" s="5"/>
      <c r="E181" s="9"/>
      <c r="F181" s="9"/>
      <c r="G181" s="10"/>
      <c r="H181" s="11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7"/>
      <c r="B182" s="7"/>
      <c r="C182" s="5"/>
      <c r="D182" s="5"/>
      <c r="E182" s="9"/>
      <c r="F182" s="9"/>
      <c r="G182" s="10"/>
      <c r="H182" s="11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7"/>
      <c r="B183" s="7"/>
      <c r="C183" s="5"/>
      <c r="D183" s="5"/>
      <c r="E183" s="9"/>
      <c r="F183" s="9"/>
      <c r="G183" s="10"/>
      <c r="H183" s="11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7"/>
      <c r="B184" s="7"/>
      <c r="C184" s="5"/>
      <c r="D184" s="5"/>
      <c r="E184" s="9"/>
      <c r="F184" s="9"/>
      <c r="G184" s="10"/>
      <c r="H184" s="11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7"/>
      <c r="B185" s="7"/>
      <c r="C185" s="5"/>
      <c r="D185" s="5"/>
      <c r="E185" s="9"/>
      <c r="F185" s="9"/>
      <c r="G185" s="10"/>
      <c r="H185" s="11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7"/>
      <c r="B186" s="7"/>
      <c r="C186" s="5"/>
      <c r="D186" s="5"/>
      <c r="E186" s="9"/>
      <c r="F186" s="9"/>
      <c r="G186" s="10"/>
      <c r="H186" s="11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7"/>
      <c r="B187" s="7"/>
      <c r="C187" s="5"/>
      <c r="D187" s="5"/>
      <c r="E187" s="9"/>
      <c r="F187" s="9"/>
      <c r="G187" s="10"/>
      <c r="H187" s="11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7"/>
      <c r="B188" s="7"/>
      <c r="C188" s="5"/>
      <c r="D188" s="5"/>
      <c r="E188" s="9"/>
      <c r="F188" s="9"/>
      <c r="G188" s="10"/>
      <c r="H188" s="11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7"/>
      <c r="B189" s="7"/>
      <c r="C189" s="5"/>
      <c r="D189" s="5"/>
      <c r="E189" s="9"/>
      <c r="F189" s="9"/>
      <c r="G189" s="10"/>
      <c r="H189" s="11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7"/>
      <c r="B190" s="7"/>
      <c r="C190" s="5"/>
      <c r="D190" s="5"/>
      <c r="E190" s="9"/>
      <c r="F190" s="9"/>
      <c r="G190" s="10"/>
      <c r="H190" s="11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7"/>
      <c r="B191" s="7"/>
      <c r="C191" s="5"/>
      <c r="D191" s="5"/>
      <c r="E191" s="9"/>
      <c r="F191" s="9"/>
      <c r="G191" s="10"/>
      <c r="H191" s="11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7"/>
      <c r="B192" s="7"/>
      <c r="C192" s="5"/>
      <c r="D192" s="5"/>
      <c r="E192" s="9"/>
      <c r="F192" s="9"/>
      <c r="G192" s="10"/>
      <c r="H192" s="11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7"/>
      <c r="B193" s="7"/>
      <c r="C193" s="5"/>
      <c r="D193" s="5"/>
      <c r="E193" s="9"/>
      <c r="F193" s="9"/>
      <c r="G193" s="10"/>
      <c r="H193" s="11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7"/>
      <c r="B194" s="7"/>
      <c r="C194" s="5"/>
      <c r="D194" s="5"/>
      <c r="E194" s="9"/>
      <c r="F194" s="9"/>
      <c r="G194" s="10"/>
      <c r="H194" s="11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7"/>
      <c r="B195" s="7"/>
      <c r="C195" s="5"/>
      <c r="D195" s="5"/>
      <c r="E195" s="9"/>
      <c r="F195" s="9"/>
      <c r="G195" s="10"/>
      <c r="H195" s="11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7"/>
      <c r="B196" s="7"/>
      <c r="C196" s="5"/>
      <c r="D196" s="5"/>
      <c r="E196" s="9"/>
      <c r="F196" s="9"/>
      <c r="G196" s="10"/>
      <c r="H196" s="11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7"/>
      <c r="B197" s="7"/>
      <c r="C197" s="5"/>
      <c r="D197" s="5"/>
      <c r="E197" s="9"/>
      <c r="F197" s="9"/>
      <c r="G197" s="10"/>
      <c r="H197" s="11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7"/>
      <c r="B198" s="7"/>
      <c r="C198" s="5"/>
      <c r="D198" s="5"/>
      <c r="E198" s="9"/>
      <c r="F198" s="9"/>
      <c r="G198" s="10"/>
      <c r="H198" s="11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7"/>
      <c r="B199" s="7"/>
      <c r="C199" s="5"/>
      <c r="D199" s="5"/>
      <c r="E199" s="9"/>
      <c r="F199" s="9"/>
      <c r="G199" s="10"/>
      <c r="H199" s="11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7"/>
      <c r="B200" s="7"/>
      <c r="C200" s="5"/>
      <c r="D200" s="5"/>
      <c r="E200" s="9"/>
      <c r="F200" s="9"/>
      <c r="G200" s="10"/>
      <c r="H200" s="11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7"/>
      <c r="B201" s="7"/>
      <c r="C201" s="5"/>
      <c r="D201" s="5"/>
      <c r="E201" s="9"/>
      <c r="F201" s="9"/>
      <c r="G201" s="10"/>
      <c r="H201" s="11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7"/>
      <c r="B202" s="7"/>
      <c r="C202" s="5"/>
      <c r="D202" s="5"/>
      <c r="E202" s="9"/>
      <c r="F202" s="9"/>
      <c r="G202" s="10"/>
      <c r="H202" s="11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7"/>
      <c r="B203" s="7"/>
      <c r="C203" s="5"/>
      <c r="D203" s="5"/>
      <c r="E203" s="9"/>
      <c r="F203" s="9"/>
      <c r="G203" s="10"/>
      <c r="H203" s="11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7"/>
      <c r="B204" s="7"/>
      <c r="C204" s="5"/>
      <c r="D204" s="5"/>
      <c r="E204" s="9"/>
      <c r="F204" s="9"/>
      <c r="G204" s="10"/>
      <c r="H204" s="11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7"/>
      <c r="B205" s="7"/>
      <c r="C205" s="5"/>
      <c r="D205" s="5"/>
      <c r="E205" s="9"/>
      <c r="F205" s="9"/>
      <c r="G205" s="10"/>
      <c r="H205" s="11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7"/>
      <c r="B206" s="7"/>
      <c r="C206" s="5"/>
      <c r="D206" s="5"/>
      <c r="E206" s="9"/>
      <c r="F206" s="9"/>
      <c r="G206" s="10"/>
      <c r="H206" s="11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7"/>
      <c r="B207" s="7"/>
      <c r="C207" s="5"/>
      <c r="D207" s="5"/>
      <c r="E207" s="9"/>
      <c r="F207" s="9"/>
      <c r="G207" s="10"/>
      <c r="H207" s="11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7"/>
      <c r="B208" s="7"/>
      <c r="C208" s="5"/>
      <c r="D208" s="5"/>
      <c r="E208" s="9"/>
      <c r="F208" s="9"/>
      <c r="G208" s="10"/>
      <c r="H208" s="11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7"/>
      <c r="B209" s="7"/>
      <c r="C209" s="5"/>
      <c r="D209" s="5"/>
      <c r="E209" s="9"/>
      <c r="F209" s="9"/>
      <c r="G209" s="10"/>
      <c r="H209" s="11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7"/>
      <c r="B210" s="7"/>
      <c r="C210" s="5"/>
      <c r="D210" s="5"/>
      <c r="E210" s="9"/>
      <c r="F210" s="9"/>
      <c r="G210" s="10"/>
      <c r="H210" s="11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7"/>
      <c r="B211" s="7"/>
      <c r="C211" s="5"/>
      <c r="D211" s="5"/>
      <c r="E211" s="9"/>
      <c r="F211" s="9"/>
      <c r="G211" s="10"/>
      <c r="H211" s="11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7"/>
      <c r="B212" s="7"/>
      <c r="C212" s="5"/>
      <c r="D212" s="5"/>
      <c r="E212" s="9"/>
      <c r="F212" s="9"/>
      <c r="G212" s="10"/>
      <c r="H212" s="11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7"/>
      <c r="B213" s="7"/>
      <c r="C213" s="5"/>
      <c r="D213" s="5"/>
      <c r="E213" s="9"/>
      <c r="F213" s="9"/>
      <c r="G213" s="10"/>
      <c r="H213" s="11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7"/>
      <c r="B214" s="7"/>
      <c r="C214" s="5"/>
      <c r="D214" s="5"/>
      <c r="E214" s="9"/>
      <c r="F214" s="9"/>
      <c r="G214" s="10"/>
      <c r="H214" s="11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7"/>
      <c r="B215" s="7"/>
      <c r="C215" s="5"/>
      <c r="D215" s="5"/>
      <c r="E215" s="9"/>
      <c r="F215" s="9"/>
      <c r="G215" s="10"/>
      <c r="H215" s="11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7"/>
      <c r="B216" s="7"/>
      <c r="C216" s="5"/>
      <c r="D216" s="5"/>
      <c r="E216" s="9"/>
      <c r="F216" s="9"/>
      <c r="G216" s="10"/>
      <c r="H216" s="11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7"/>
      <c r="B217" s="7"/>
      <c r="C217" s="5"/>
      <c r="D217" s="5"/>
      <c r="E217" s="9"/>
      <c r="F217" s="9"/>
      <c r="G217" s="10"/>
      <c r="H217" s="11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7"/>
      <c r="B218" s="7"/>
      <c r="C218" s="5"/>
      <c r="D218" s="5"/>
      <c r="E218" s="9"/>
      <c r="F218" s="9"/>
      <c r="G218" s="10"/>
      <c r="H218" s="11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7"/>
      <c r="B219" s="7"/>
      <c r="C219" s="5"/>
      <c r="D219" s="5"/>
      <c r="E219" s="9"/>
      <c r="F219" s="9"/>
      <c r="G219" s="10"/>
      <c r="H219" s="11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7"/>
      <c r="B220" s="7"/>
      <c r="C220" s="5"/>
      <c r="D220" s="5"/>
      <c r="E220" s="9"/>
      <c r="F220" s="9"/>
      <c r="G220" s="10"/>
      <c r="H220" s="11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7"/>
      <c r="B221" s="7"/>
      <c r="C221" s="5"/>
      <c r="D221" s="5"/>
      <c r="E221" s="9"/>
      <c r="F221" s="9"/>
      <c r="G221" s="10"/>
      <c r="H221" s="11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7"/>
      <c r="B222" s="7"/>
      <c r="C222" s="5"/>
      <c r="D222" s="5"/>
      <c r="E222" s="9"/>
      <c r="F222" s="9"/>
      <c r="G222" s="10"/>
      <c r="H222" s="11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7"/>
      <c r="B223" s="7"/>
      <c r="C223" s="5"/>
      <c r="D223" s="5"/>
      <c r="E223" s="9"/>
      <c r="F223" s="9"/>
      <c r="G223" s="10"/>
      <c r="H223" s="11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7"/>
      <c r="B224" s="7"/>
      <c r="C224" s="5"/>
      <c r="D224" s="5"/>
      <c r="E224" s="9"/>
      <c r="F224" s="9"/>
      <c r="G224" s="10"/>
      <c r="H224" s="11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7"/>
      <c r="B225" s="7"/>
      <c r="C225" s="5"/>
      <c r="D225" s="5"/>
      <c r="E225" s="9"/>
      <c r="F225" s="9"/>
      <c r="G225" s="10"/>
      <c r="H225" s="11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7"/>
      <c r="B226" s="7"/>
      <c r="C226" s="5"/>
      <c r="D226" s="5"/>
      <c r="E226" s="9"/>
      <c r="F226" s="9"/>
      <c r="G226" s="10"/>
      <c r="H226" s="11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7"/>
      <c r="B227" s="7"/>
      <c r="C227" s="5"/>
      <c r="D227" s="5"/>
      <c r="E227" s="9"/>
      <c r="F227" s="9"/>
      <c r="G227" s="10"/>
      <c r="H227" s="11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7"/>
      <c r="B228" s="7"/>
      <c r="C228" s="5"/>
      <c r="D228" s="5"/>
      <c r="E228" s="9"/>
      <c r="F228" s="9"/>
      <c r="G228" s="10"/>
      <c r="H228" s="11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7"/>
      <c r="B229" s="7"/>
      <c r="C229" s="5"/>
      <c r="D229" s="5"/>
      <c r="E229" s="9"/>
      <c r="F229" s="9"/>
      <c r="G229" s="10"/>
      <c r="H229" s="11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7"/>
      <c r="B230" s="7"/>
      <c r="C230" s="5"/>
      <c r="D230" s="5"/>
      <c r="E230" s="9"/>
      <c r="F230" s="9"/>
      <c r="G230" s="10"/>
      <c r="H230" s="11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7"/>
      <c r="B231" s="7"/>
      <c r="C231" s="5"/>
      <c r="D231" s="5"/>
      <c r="E231" s="9"/>
      <c r="F231" s="9"/>
      <c r="G231" s="10"/>
      <c r="H231" s="11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7"/>
      <c r="B232" s="7"/>
      <c r="C232" s="5"/>
      <c r="D232" s="5"/>
      <c r="E232" s="9"/>
      <c r="F232" s="9"/>
      <c r="G232" s="10"/>
      <c r="H232" s="11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7"/>
      <c r="B233" s="7"/>
      <c r="C233" s="5"/>
      <c r="D233" s="5"/>
      <c r="E233" s="9"/>
      <c r="F233" s="9"/>
      <c r="G233" s="10"/>
      <c r="H233" s="11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7"/>
      <c r="B234" s="7"/>
      <c r="C234" s="5"/>
      <c r="D234" s="5"/>
      <c r="E234" s="9"/>
      <c r="F234" s="9"/>
      <c r="G234" s="10"/>
      <c r="H234" s="11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7"/>
      <c r="B235" s="7"/>
      <c r="C235" s="5"/>
      <c r="D235" s="5"/>
      <c r="E235" s="9"/>
      <c r="F235" s="9"/>
      <c r="G235" s="10"/>
      <c r="H235" s="11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7"/>
      <c r="B236" s="7"/>
      <c r="C236" s="5"/>
      <c r="D236" s="5"/>
      <c r="E236" s="9"/>
      <c r="F236" s="9"/>
      <c r="G236" s="10"/>
      <c r="H236" s="11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7"/>
      <c r="B237" s="7"/>
      <c r="C237" s="5"/>
      <c r="D237" s="5"/>
      <c r="E237" s="9"/>
      <c r="F237" s="9"/>
      <c r="G237" s="10"/>
      <c r="H237" s="11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7"/>
      <c r="B238" s="7"/>
      <c r="C238" s="5"/>
      <c r="D238" s="5"/>
      <c r="E238" s="9"/>
      <c r="F238" s="9"/>
      <c r="G238" s="10"/>
      <c r="H238" s="11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7"/>
      <c r="B239" s="7"/>
      <c r="C239" s="5"/>
      <c r="D239" s="5"/>
      <c r="E239" s="9"/>
      <c r="F239" s="9"/>
      <c r="G239" s="10"/>
      <c r="H239" s="11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7"/>
      <c r="B240" s="7"/>
      <c r="C240" s="5"/>
      <c r="D240" s="5"/>
      <c r="E240" s="9"/>
      <c r="F240" s="9"/>
      <c r="G240" s="10"/>
      <c r="H240" s="11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7"/>
      <c r="B241" s="7"/>
      <c r="C241" s="5"/>
      <c r="D241" s="5"/>
      <c r="E241" s="9"/>
      <c r="F241" s="9"/>
      <c r="G241" s="10"/>
      <c r="H241" s="11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7"/>
      <c r="B242" s="7"/>
      <c r="C242" s="5"/>
      <c r="D242" s="5"/>
      <c r="E242" s="9"/>
      <c r="F242" s="9"/>
      <c r="G242" s="10"/>
      <c r="H242" s="11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7"/>
      <c r="B243" s="7"/>
      <c r="C243" s="5"/>
      <c r="D243" s="5"/>
      <c r="E243" s="9"/>
      <c r="F243" s="9"/>
      <c r="G243" s="10"/>
      <c r="H243" s="11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7"/>
      <c r="B244" s="7"/>
      <c r="C244" s="5"/>
      <c r="D244" s="5"/>
      <c r="E244" s="9"/>
      <c r="F244" s="9"/>
      <c r="G244" s="10"/>
      <c r="H244" s="11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7"/>
      <c r="B245" s="7"/>
      <c r="C245" s="5"/>
      <c r="D245" s="5"/>
      <c r="E245" s="9"/>
      <c r="F245" s="9"/>
      <c r="G245" s="10"/>
      <c r="H245" s="11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7"/>
      <c r="B246" s="7"/>
      <c r="C246" s="5"/>
      <c r="D246" s="5"/>
      <c r="E246" s="9"/>
      <c r="F246" s="9"/>
      <c r="G246" s="10"/>
      <c r="H246" s="11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7"/>
      <c r="B247" s="7"/>
      <c r="C247" s="5"/>
      <c r="D247" s="5"/>
      <c r="E247" s="9"/>
      <c r="F247" s="9"/>
      <c r="G247" s="10"/>
      <c r="H247" s="11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7"/>
      <c r="B248" s="7"/>
      <c r="C248" s="5"/>
      <c r="D248" s="5"/>
      <c r="E248" s="9"/>
      <c r="F248" s="9"/>
      <c r="G248" s="10"/>
      <c r="H248" s="11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7"/>
      <c r="B249" s="7"/>
      <c r="C249" s="5"/>
      <c r="D249" s="5"/>
      <c r="E249" s="9"/>
      <c r="F249" s="9"/>
      <c r="G249" s="10"/>
      <c r="H249" s="11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7"/>
      <c r="B250" s="7"/>
      <c r="C250" s="5"/>
      <c r="D250" s="5"/>
      <c r="E250" s="9"/>
      <c r="F250" s="9"/>
      <c r="G250" s="10"/>
      <c r="H250" s="11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7"/>
      <c r="B251" s="7"/>
      <c r="C251" s="5"/>
      <c r="D251" s="5"/>
      <c r="E251" s="9"/>
      <c r="F251" s="9"/>
      <c r="G251" s="10"/>
      <c r="H251" s="11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7"/>
      <c r="B252" s="7"/>
      <c r="C252" s="5"/>
      <c r="D252" s="5"/>
      <c r="E252" s="9"/>
      <c r="F252" s="9"/>
      <c r="G252" s="10"/>
      <c r="H252" s="11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7"/>
      <c r="B253" s="7"/>
      <c r="C253" s="5"/>
      <c r="D253" s="5"/>
      <c r="E253" s="9"/>
      <c r="F253" s="9"/>
      <c r="G253" s="10"/>
      <c r="H253" s="11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7"/>
      <c r="B254" s="7"/>
      <c r="C254" s="5"/>
      <c r="D254" s="5"/>
      <c r="E254" s="9"/>
      <c r="F254" s="9"/>
      <c r="G254" s="10"/>
      <c r="H254" s="11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7"/>
      <c r="B255" s="7"/>
      <c r="C255" s="5"/>
      <c r="D255" s="5"/>
      <c r="E255" s="9"/>
      <c r="F255" s="9"/>
      <c r="G255" s="10"/>
      <c r="H255" s="11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7"/>
      <c r="B256" s="7"/>
      <c r="C256" s="5"/>
      <c r="D256" s="5"/>
      <c r="E256" s="9"/>
      <c r="F256" s="9"/>
      <c r="G256" s="10"/>
      <c r="H256" s="11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7"/>
      <c r="B257" s="7"/>
      <c r="C257" s="5"/>
      <c r="D257" s="5"/>
      <c r="E257" s="9"/>
      <c r="F257" s="9"/>
      <c r="G257" s="10"/>
      <c r="H257" s="11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7"/>
      <c r="B258" s="7"/>
      <c r="C258" s="5"/>
      <c r="D258" s="5"/>
      <c r="E258" s="9"/>
      <c r="F258" s="9"/>
      <c r="G258" s="10"/>
      <c r="H258" s="11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7"/>
      <c r="B259" s="7"/>
      <c r="C259" s="5"/>
      <c r="D259" s="5"/>
      <c r="E259" s="9"/>
      <c r="F259" s="9"/>
      <c r="G259" s="10"/>
      <c r="H259" s="11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7"/>
      <c r="B260" s="7"/>
      <c r="C260" s="5"/>
      <c r="D260" s="5"/>
      <c r="E260" s="9"/>
      <c r="F260" s="9"/>
      <c r="G260" s="10"/>
      <c r="H260" s="11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7"/>
      <c r="B261" s="7"/>
      <c r="C261" s="5"/>
      <c r="D261" s="5"/>
      <c r="E261" s="9"/>
      <c r="F261" s="9"/>
      <c r="G261" s="10"/>
      <c r="H261" s="11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7"/>
      <c r="B262" s="7"/>
      <c r="C262" s="5"/>
      <c r="D262" s="5"/>
      <c r="E262" s="9"/>
      <c r="F262" s="9"/>
      <c r="G262" s="10"/>
      <c r="H262" s="11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7"/>
      <c r="B263" s="7"/>
      <c r="C263" s="5"/>
      <c r="D263" s="5"/>
      <c r="E263" s="9"/>
      <c r="F263" s="9"/>
      <c r="G263" s="10"/>
      <c r="H263" s="11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7"/>
      <c r="B264" s="7"/>
      <c r="C264" s="5"/>
      <c r="D264" s="5"/>
      <c r="E264" s="9"/>
      <c r="F264" s="9"/>
      <c r="G264" s="10"/>
      <c r="H264" s="11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7"/>
      <c r="B265" s="7"/>
      <c r="C265" s="5"/>
      <c r="D265" s="5"/>
      <c r="E265" s="9"/>
      <c r="F265" s="9"/>
      <c r="G265" s="10"/>
      <c r="H265" s="11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7"/>
      <c r="B266" s="7"/>
      <c r="C266" s="5"/>
      <c r="D266" s="5"/>
      <c r="E266" s="9"/>
      <c r="F266" s="9"/>
      <c r="G266" s="10"/>
      <c r="H266" s="11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7"/>
      <c r="B267" s="7"/>
      <c r="C267" s="5"/>
      <c r="D267" s="5"/>
      <c r="E267" s="9"/>
      <c r="F267" s="9"/>
      <c r="G267" s="10"/>
      <c r="H267" s="11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7"/>
      <c r="B268" s="7"/>
      <c r="C268" s="5"/>
      <c r="D268" s="5"/>
      <c r="E268" s="9"/>
      <c r="F268" s="9"/>
      <c r="G268" s="10"/>
      <c r="H268" s="11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7"/>
      <c r="B269" s="7"/>
      <c r="C269" s="5"/>
      <c r="D269" s="5"/>
      <c r="E269" s="9"/>
      <c r="F269" s="9"/>
      <c r="G269" s="10"/>
      <c r="H269" s="11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7"/>
      <c r="B270" s="7"/>
      <c r="C270" s="5"/>
      <c r="D270" s="5"/>
      <c r="E270" s="9"/>
      <c r="F270" s="9"/>
      <c r="G270" s="10"/>
      <c r="H270" s="11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7"/>
      <c r="B271" s="7"/>
      <c r="C271" s="5"/>
      <c r="D271" s="5"/>
      <c r="E271" s="9"/>
      <c r="F271" s="9"/>
      <c r="G271" s="10"/>
      <c r="H271" s="11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7"/>
      <c r="B272" s="7"/>
      <c r="C272" s="5"/>
      <c r="D272" s="5"/>
      <c r="E272" s="9"/>
      <c r="F272" s="9"/>
      <c r="G272" s="10"/>
      <c r="H272" s="11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7"/>
      <c r="B273" s="7"/>
      <c r="C273" s="5"/>
      <c r="D273" s="5"/>
      <c r="E273" s="9"/>
      <c r="F273" s="9"/>
      <c r="G273" s="10"/>
      <c r="H273" s="11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7"/>
      <c r="B274" s="7"/>
      <c r="C274" s="5"/>
      <c r="D274" s="5"/>
      <c r="E274" s="9"/>
      <c r="F274" s="9"/>
      <c r="G274" s="10"/>
      <c r="H274" s="11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7"/>
      <c r="B275" s="7"/>
      <c r="C275" s="5"/>
      <c r="D275" s="5"/>
      <c r="E275" s="9"/>
      <c r="F275" s="9"/>
      <c r="G275" s="10"/>
      <c r="H275" s="11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7"/>
      <c r="B276" s="7"/>
      <c r="C276" s="5"/>
      <c r="D276" s="5"/>
      <c r="E276" s="9"/>
      <c r="F276" s="9"/>
      <c r="G276" s="10"/>
      <c r="H276" s="11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7"/>
      <c r="B277" s="7"/>
      <c r="C277" s="5"/>
      <c r="D277" s="5"/>
      <c r="E277" s="9"/>
      <c r="F277" s="9"/>
      <c r="G277" s="10"/>
      <c r="H277" s="11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7"/>
      <c r="B278" s="7"/>
      <c r="C278" s="5"/>
      <c r="D278" s="5"/>
      <c r="E278" s="9"/>
      <c r="F278" s="9"/>
      <c r="G278" s="10"/>
      <c r="H278" s="11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7"/>
      <c r="B279" s="7"/>
      <c r="C279" s="5"/>
      <c r="D279" s="5"/>
      <c r="E279" s="9"/>
      <c r="F279" s="9"/>
      <c r="G279" s="10"/>
      <c r="H279" s="11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7"/>
      <c r="B280" s="7"/>
      <c r="C280" s="5"/>
      <c r="D280" s="5"/>
      <c r="E280" s="9"/>
      <c r="F280" s="9"/>
      <c r="G280" s="10"/>
      <c r="H280" s="11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7"/>
      <c r="B281" s="7"/>
      <c r="C281" s="5"/>
      <c r="D281" s="5"/>
      <c r="E281" s="9"/>
      <c r="F281" s="9"/>
      <c r="G281" s="10"/>
      <c r="H281" s="11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7"/>
      <c r="B282" s="7"/>
      <c r="C282" s="5"/>
      <c r="D282" s="5"/>
      <c r="E282" s="9"/>
      <c r="F282" s="9"/>
      <c r="G282" s="10"/>
      <c r="H282" s="11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7"/>
      <c r="B283" s="7"/>
      <c r="C283" s="5"/>
      <c r="D283" s="5"/>
      <c r="E283" s="9"/>
      <c r="F283" s="9"/>
      <c r="G283" s="10"/>
      <c r="H283" s="11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7"/>
      <c r="B284" s="7"/>
      <c r="C284" s="5"/>
      <c r="D284" s="5"/>
      <c r="E284" s="9"/>
      <c r="F284" s="9"/>
      <c r="G284" s="10"/>
      <c r="H284" s="11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7"/>
      <c r="B285" s="7"/>
      <c r="C285" s="5"/>
      <c r="D285" s="5"/>
      <c r="E285" s="9"/>
      <c r="F285" s="9"/>
      <c r="G285" s="10"/>
      <c r="H285" s="11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7"/>
      <c r="B286" s="7"/>
      <c r="C286" s="5"/>
      <c r="D286" s="5"/>
      <c r="E286" s="9"/>
      <c r="F286" s="9"/>
      <c r="G286" s="10"/>
      <c r="H286" s="11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7"/>
      <c r="B287" s="7"/>
      <c r="C287" s="5"/>
      <c r="D287" s="5"/>
      <c r="E287" s="9"/>
      <c r="F287" s="9"/>
      <c r="G287" s="10"/>
      <c r="H287" s="11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7"/>
      <c r="B288" s="7"/>
      <c r="C288" s="5"/>
      <c r="D288" s="5"/>
      <c r="E288" s="9"/>
      <c r="F288" s="9"/>
      <c r="G288" s="10"/>
      <c r="H288" s="11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7"/>
      <c r="B289" s="7"/>
      <c r="C289" s="5"/>
      <c r="D289" s="5"/>
      <c r="E289" s="9"/>
      <c r="F289" s="9"/>
      <c r="G289" s="10"/>
      <c r="H289" s="11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7"/>
      <c r="B290" s="7"/>
      <c r="C290" s="5"/>
      <c r="D290" s="5"/>
      <c r="E290" s="9"/>
      <c r="F290" s="9"/>
      <c r="G290" s="10"/>
      <c r="H290" s="11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7"/>
      <c r="B291" s="7"/>
      <c r="C291" s="5"/>
      <c r="D291" s="5"/>
      <c r="E291" s="9"/>
      <c r="F291" s="9"/>
      <c r="G291" s="10"/>
      <c r="H291" s="11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7"/>
      <c r="B292" s="7"/>
      <c r="C292" s="5"/>
      <c r="D292" s="5"/>
      <c r="E292" s="9"/>
      <c r="F292" s="9"/>
      <c r="G292" s="10"/>
      <c r="H292" s="11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7"/>
      <c r="B293" s="7"/>
      <c r="C293" s="5"/>
      <c r="D293" s="5"/>
      <c r="E293" s="9"/>
      <c r="F293" s="9"/>
      <c r="G293" s="10"/>
      <c r="H293" s="11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7"/>
      <c r="B294" s="7"/>
      <c r="C294" s="5"/>
      <c r="D294" s="5"/>
      <c r="E294" s="9"/>
      <c r="F294" s="9"/>
      <c r="G294" s="10"/>
      <c r="H294" s="11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7"/>
      <c r="B295" s="7"/>
      <c r="C295" s="5"/>
      <c r="D295" s="5"/>
      <c r="E295" s="9"/>
      <c r="F295" s="9"/>
      <c r="G295" s="10"/>
      <c r="H295" s="11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7"/>
      <c r="B296" s="7"/>
      <c r="C296" s="5"/>
      <c r="D296" s="5"/>
      <c r="E296" s="9"/>
      <c r="F296" s="9"/>
      <c r="G296" s="10"/>
      <c r="H296" s="11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7"/>
      <c r="B297" s="7"/>
      <c r="C297" s="5"/>
      <c r="D297" s="5"/>
      <c r="E297" s="9"/>
      <c r="F297" s="9"/>
      <c r="G297" s="10"/>
      <c r="H297" s="11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7"/>
      <c r="B298" s="7"/>
      <c r="C298" s="5"/>
      <c r="D298" s="5"/>
      <c r="E298" s="9"/>
      <c r="F298" s="9"/>
      <c r="G298" s="10"/>
      <c r="H298" s="11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7"/>
      <c r="B299" s="7"/>
      <c r="C299" s="5"/>
      <c r="D299" s="5"/>
      <c r="E299" s="9"/>
      <c r="F299" s="9"/>
      <c r="G299" s="10"/>
      <c r="H299" s="11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7"/>
      <c r="B300" s="7"/>
      <c r="C300" s="5"/>
      <c r="D300" s="5"/>
      <c r="E300" s="9"/>
      <c r="F300" s="9"/>
      <c r="G300" s="10"/>
      <c r="H300" s="11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7"/>
      <c r="B301" s="7"/>
      <c r="C301" s="5"/>
      <c r="D301" s="5"/>
      <c r="E301" s="9"/>
      <c r="F301" s="9"/>
      <c r="G301" s="10"/>
      <c r="H301" s="11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7"/>
      <c r="B302" s="7"/>
      <c r="C302" s="5"/>
      <c r="D302" s="5"/>
      <c r="E302" s="9"/>
      <c r="F302" s="9"/>
      <c r="G302" s="10"/>
      <c r="H302" s="11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7"/>
      <c r="B303" s="7"/>
      <c r="C303" s="5"/>
      <c r="D303" s="5"/>
      <c r="E303" s="9"/>
      <c r="F303" s="9"/>
      <c r="G303" s="10"/>
      <c r="H303" s="11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7"/>
      <c r="B304" s="7"/>
      <c r="C304" s="5"/>
      <c r="D304" s="5"/>
      <c r="E304" s="9"/>
      <c r="F304" s="9"/>
      <c r="G304" s="10"/>
      <c r="H304" s="11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7"/>
      <c r="B305" s="7"/>
      <c r="C305" s="5"/>
      <c r="D305" s="5"/>
      <c r="E305" s="9"/>
      <c r="F305" s="9"/>
      <c r="G305" s="10"/>
      <c r="H305" s="11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7"/>
      <c r="B306" s="7"/>
      <c r="C306" s="5"/>
      <c r="D306" s="5"/>
      <c r="E306" s="9"/>
      <c r="F306" s="9"/>
      <c r="G306" s="10"/>
      <c r="H306" s="11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7"/>
      <c r="B307" s="7"/>
      <c r="C307" s="5"/>
      <c r="D307" s="5"/>
      <c r="E307" s="9"/>
      <c r="F307" s="9"/>
      <c r="G307" s="10"/>
      <c r="H307" s="11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7"/>
      <c r="B308" s="7"/>
      <c r="C308" s="5"/>
      <c r="D308" s="5"/>
      <c r="E308" s="9"/>
      <c r="F308" s="9"/>
      <c r="G308" s="10"/>
      <c r="H308" s="11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7"/>
      <c r="B309" s="7"/>
      <c r="C309" s="5"/>
      <c r="D309" s="5"/>
      <c r="E309" s="9"/>
      <c r="F309" s="9"/>
      <c r="G309" s="10"/>
      <c r="H309" s="11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7"/>
      <c r="B310" s="7"/>
      <c r="C310" s="5"/>
      <c r="D310" s="5"/>
      <c r="E310" s="9"/>
      <c r="F310" s="9"/>
      <c r="G310" s="10"/>
      <c r="H310" s="11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7"/>
      <c r="B311" s="7"/>
      <c r="C311" s="5"/>
      <c r="D311" s="5"/>
      <c r="E311" s="9"/>
      <c r="F311" s="9"/>
      <c r="G311" s="10"/>
      <c r="H311" s="11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7"/>
      <c r="B312" s="7"/>
      <c r="C312" s="5"/>
      <c r="D312" s="5"/>
      <c r="E312" s="9"/>
      <c r="F312" s="9"/>
      <c r="G312" s="10"/>
      <c r="H312" s="11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7"/>
      <c r="B313" s="7"/>
      <c r="C313" s="5"/>
      <c r="D313" s="5"/>
      <c r="E313" s="9"/>
      <c r="F313" s="9"/>
      <c r="G313" s="10"/>
      <c r="H313" s="11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7"/>
      <c r="B314" s="7"/>
      <c r="C314" s="5"/>
      <c r="D314" s="5"/>
      <c r="E314" s="9"/>
      <c r="F314" s="9"/>
      <c r="G314" s="10"/>
      <c r="H314" s="11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7"/>
      <c r="B315" s="7"/>
      <c r="C315" s="5"/>
      <c r="D315" s="5"/>
      <c r="E315" s="9"/>
      <c r="F315" s="9"/>
      <c r="G315" s="10"/>
      <c r="H315" s="11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7"/>
      <c r="B316" s="7"/>
      <c r="C316" s="5"/>
      <c r="D316" s="5"/>
      <c r="E316" s="9"/>
      <c r="F316" s="9"/>
      <c r="G316" s="10"/>
      <c r="H316" s="11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7"/>
      <c r="B317" s="7"/>
      <c r="C317" s="5"/>
      <c r="D317" s="5"/>
      <c r="E317" s="9"/>
      <c r="F317" s="9"/>
      <c r="G317" s="10"/>
      <c r="H317" s="11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7"/>
      <c r="B318" s="7"/>
      <c r="C318" s="5"/>
      <c r="D318" s="5"/>
      <c r="E318" s="9"/>
      <c r="F318" s="9"/>
      <c r="G318" s="10"/>
      <c r="H318" s="11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7"/>
      <c r="B319" s="7"/>
      <c r="C319" s="5"/>
      <c r="D319" s="5"/>
      <c r="E319" s="9"/>
      <c r="F319" s="9"/>
      <c r="G319" s="10"/>
      <c r="H319" s="11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7"/>
      <c r="B320" s="7"/>
      <c r="C320" s="5"/>
      <c r="D320" s="5"/>
      <c r="E320" s="9"/>
      <c r="F320" s="9"/>
      <c r="G320" s="10"/>
      <c r="H320" s="11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7"/>
      <c r="B321" s="7"/>
      <c r="C321" s="5"/>
      <c r="D321" s="5"/>
      <c r="E321" s="9"/>
      <c r="F321" s="9"/>
      <c r="G321" s="10"/>
      <c r="H321" s="11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7"/>
      <c r="B322" s="7"/>
      <c r="C322" s="5"/>
      <c r="D322" s="5"/>
      <c r="E322" s="9"/>
      <c r="F322" s="9"/>
      <c r="G322" s="10"/>
      <c r="H322" s="11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7"/>
      <c r="B323" s="7"/>
      <c r="C323" s="5"/>
      <c r="D323" s="5"/>
      <c r="E323" s="9"/>
      <c r="F323" s="9"/>
      <c r="G323" s="10"/>
      <c r="H323" s="11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7"/>
      <c r="B324" s="7"/>
      <c r="C324" s="5"/>
      <c r="D324" s="5"/>
      <c r="E324" s="9"/>
      <c r="F324" s="9"/>
      <c r="G324" s="10"/>
      <c r="H324" s="11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7"/>
      <c r="B325" s="7"/>
      <c r="C325" s="5"/>
      <c r="D325" s="5"/>
      <c r="E325" s="9"/>
      <c r="F325" s="9"/>
      <c r="G325" s="10"/>
      <c r="H325" s="11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7"/>
      <c r="B326" s="7"/>
      <c r="C326" s="5"/>
      <c r="D326" s="5"/>
      <c r="E326" s="9"/>
      <c r="F326" s="9"/>
      <c r="G326" s="10"/>
      <c r="H326" s="11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7"/>
      <c r="B327" s="7"/>
      <c r="C327" s="5"/>
      <c r="D327" s="5"/>
      <c r="E327" s="9"/>
      <c r="F327" s="9"/>
      <c r="G327" s="10"/>
      <c r="H327" s="11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7"/>
      <c r="B328" s="7"/>
      <c r="C328" s="5"/>
      <c r="D328" s="5"/>
      <c r="E328" s="9"/>
      <c r="F328" s="9"/>
      <c r="G328" s="10"/>
      <c r="H328" s="11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7"/>
      <c r="B329" s="7"/>
      <c r="C329" s="5"/>
      <c r="D329" s="5"/>
      <c r="E329" s="9"/>
      <c r="F329" s="9"/>
      <c r="G329" s="10"/>
      <c r="H329" s="11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7"/>
      <c r="B330" s="7"/>
      <c r="C330" s="5"/>
      <c r="D330" s="5"/>
      <c r="E330" s="9"/>
      <c r="F330" s="9"/>
      <c r="G330" s="10"/>
      <c r="H330" s="11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7"/>
      <c r="B331" s="7"/>
      <c r="C331" s="5"/>
      <c r="D331" s="5"/>
      <c r="E331" s="9"/>
      <c r="F331" s="9"/>
      <c r="G331" s="10"/>
      <c r="H331" s="11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7"/>
      <c r="B332" s="7"/>
      <c r="C332" s="5"/>
      <c r="D332" s="5"/>
      <c r="E332" s="9"/>
      <c r="F332" s="9"/>
      <c r="G332" s="10"/>
      <c r="H332" s="11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7"/>
      <c r="B333" s="7"/>
      <c r="C333" s="5"/>
      <c r="D333" s="5"/>
      <c r="E333" s="9"/>
      <c r="F333" s="9"/>
      <c r="G333" s="10"/>
      <c r="H333" s="11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7"/>
      <c r="B334" s="7"/>
      <c r="C334" s="5"/>
      <c r="D334" s="5"/>
      <c r="E334" s="9"/>
      <c r="F334" s="9"/>
      <c r="G334" s="10"/>
      <c r="H334" s="11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7"/>
      <c r="B335" s="7"/>
      <c r="C335" s="5"/>
      <c r="D335" s="5"/>
      <c r="E335" s="9"/>
      <c r="F335" s="9"/>
      <c r="G335" s="10"/>
      <c r="H335" s="11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7"/>
      <c r="B336" s="7"/>
      <c r="C336" s="5"/>
      <c r="D336" s="5"/>
      <c r="E336" s="9"/>
      <c r="F336" s="9"/>
      <c r="G336" s="10"/>
      <c r="H336" s="11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7"/>
      <c r="B337" s="7"/>
      <c r="C337" s="5"/>
      <c r="D337" s="5"/>
      <c r="E337" s="9"/>
      <c r="F337" s="9"/>
      <c r="G337" s="10"/>
      <c r="H337" s="11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7"/>
      <c r="B338" s="7"/>
      <c r="C338" s="5"/>
      <c r="D338" s="5"/>
      <c r="E338" s="9"/>
      <c r="F338" s="9"/>
      <c r="G338" s="10"/>
      <c r="H338" s="11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7"/>
      <c r="B339" s="7"/>
      <c r="C339" s="5"/>
      <c r="D339" s="5"/>
      <c r="E339" s="9"/>
      <c r="F339" s="9"/>
      <c r="G339" s="10"/>
      <c r="H339" s="11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7"/>
      <c r="B340" s="7"/>
      <c r="C340" s="5"/>
      <c r="D340" s="5"/>
      <c r="E340" s="9"/>
      <c r="F340" s="9"/>
      <c r="G340" s="10"/>
      <c r="H340" s="11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7"/>
      <c r="B341" s="7"/>
      <c r="C341" s="5"/>
      <c r="D341" s="5"/>
      <c r="E341" s="9"/>
      <c r="F341" s="9"/>
      <c r="G341" s="10"/>
      <c r="H341" s="11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7"/>
      <c r="B342" s="7"/>
      <c r="C342" s="5"/>
      <c r="D342" s="5"/>
      <c r="E342" s="9"/>
      <c r="F342" s="9"/>
      <c r="G342" s="10"/>
      <c r="H342" s="11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7"/>
      <c r="B343" s="7"/>
      <c r="C343" s="5"/>
      <c r="D343" s="5"/>
      <c r="E343" s="9"/>
      <c r="F343" s="9"/>
      <c r="G343" s="10"/>
      <c r="H343" s="11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7"/>
      <c r="B344" s="7"/>
      <c r="C344" s="5"/>
      <c r="D344" s="5"/>
      <c r="E344" s="9"/>
      <c r="F344" s="9"/>
      <c r="G344" s="10"/>
      <c r="H344" s="11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7"/>
      <c r="B345" s="7"/>
      <c r="C345" s="5"/>
      <c r="D345" s="5"/>
      <c r="E345" s="9"/>
      <c r="F345" s="9"/>
      <c r="G345" s="10"/>
      <c r="H345" s="11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7"/>
      <c r="B346" s="7"/>
      <c r="C346" s="5"/>
      <c r="D346" s="5"/>
      <c r="E346" s="9"/>
      <c r="F346" s="9"/>
      <c r="G346" s="10"/>
      <c r="H346" s="11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7"/>
      <c r="B347" s="7"/>
      <c r="C347" s="5"/>
      <c r="D347" s="5"/>
      <c r="E347" s="9"/>
      <c r="F347" s="9"/>
      <c r="G347" s="10"/>
      <c r="H347" s="11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7"/>
      <c r="B348" s="7"/>
      <c r="C348" s="5"/>
      <c r="D348" s="5"/>
      <c r="E348" s="9"/>
      <c r="F348" s="9"/>
      <c r="G348" s="10"/>
      <c r="H348" s="11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7"/>
      <c r="B349" s="7"/>
      <c r="C349" s="5"/>
      <c r="D349" s="5"/>
      <c r="E349" s="9"/>
      <c r="F349" s="9"/>
      <c r="G349" s="10"/>
      <c r="H349" s="11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7"/>
      <c r="B350" s="7"/>
      <c r="C350" s="5"/>
      <c r="D350" s="5"/>
      <c r="E350" s="9"/>
      <c r="F350" s="9"/>
      <c r="G350" s="10"/>
      <c r="H350" s="11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7"/>
      <c r="B351" s="7"/>
      <c r="C351" s="5"/>
      <c r="D351" s="5"/>
      <c r="E351" s="9"/>
      <c r="F351" s="9"/>
      <c r="G351" s="10"/>
      <c r="H351" s="11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7"/>
      <c r="B352" s="7"/>
      <c r="C352" s="5"/>
      <c r="D352" s="5"/>
      <c r="E352" s="9"/>
      <c r="F352" s="9"/>
      <c r="G352" s="10"/>
      <c r="H352" s="11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7"/>
      <c r="B353" s="7"/>
      <c r="C353" s="5"/>
      <c r="D353" s="5"/>
      <c r="E353" s="9"/>
      <c r="F353" s="9"/>
      <c r="G353" s="10"/>
      <c r="H353" s="11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7"/>
      <c r="B354" s="7"/>
      <c r="C354" s="5"/>
      <c r="D354" s="5"/>
      <c r="E354" s="9"/>
      <c r="F354" s="9"/>
      <c r="G354" s="10"/>
      <c r="H354" s="11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7"/>
      <c r="B355" s="7"/>
      <c r="C355" s="5"/>
      <c r="D355" s="5"/>
      <c r="E355" s="9"/>
      <c r="F355" s="9"/>
      <c r="G355" s="10"/>
      <c r="H355" s="11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7"/>
      <c r="B356" s="7"/>
      <c r="C356" s="5"/>
      <c r="D356" s="5"/>
      <c r="E356" s="9"/>
      <c r="F356" s="9"/>
      <c r="G356" s="10"/>
      <c r="H356" s="11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7"/>
      <c r="B357" s="7"/>
      <c r="C357" s="5"/>
      <c r="D357" s="5"/>
      <c r="E357" s="9"/>
      <c r="F357" s="9"/>
      <c r="G357" s="10"/>
      <c r="H357" s="11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7"/>
      <c r="B358" s="7"/>
      <c r="C358" s="5"/>
      <c r="D358" s="5"/>
      <c r="E358" s="9"/>
      <c r="F358" s="9"/>
      <c r="G358" s="10"/>
      <c r="H358" s="11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7"/>
      <c r="B359" s="7"/>
      <c r="C359" s="5"/>
      <c r="D359" s="5"/>
      <c r="E359" s="9"/>
      <c r="F359" s="9"/>
      <c r="G359" s="10"/>
      <c r="H359" s="11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7"/>
      <c r="B360" s="7"/>
      <c r="C360" s="5"/>
      <c r="D360" s="5"/>
      <c r="E360" s="9"/>
      <c r="F360" s="9"/>
      <c r="G360" s="10"/>
      <c r="H360" s="11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7"/>
      <c r="B361" s="7"/>
      <c r="C361" s="5"/>
      <c r="D361" s="5"/>
      <c r="E361" s="9"/>
      <c r="F361" s="9"/>
      <c r="G361" s="10"/>
      <c r="H361" s="11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7"/>
      <c r="B362" s="7"/>
      <c r="C362" s="5"/>
      <c r="D362" s="5"/>
      <c r="E362" s="9"/>
      <c r="F362" s="9"/>
      <c r="G362" s="10"/>
      <c r="H362" s="11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7"/>
      <c r="B363" s="7"/>
      <c r="C363" s="5"/>
      <c r="D363" s="5"/>
      <c r="E363" s="9"/>
      <c r="F363" s="9"/>
      <c r="G363" s="10"/>
      <c r="H363" s="11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7"/>
      <c r="B364" s="7"/>
      <c r="C364" s="5"/>
      <c r="D364" s="5"/>
      <c r="E364" s="9"/>
      <c r="F364" s="9"/>
      <c r="G364" s="10"/>
      <c r="H364" s="11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7"/>
      <c r="B365" s="7"/>
      <c r="C365" s="5"/>
      <c r="D365" s="5"/>
      <c r="E365" s="9"/>
      <c r="F365" s="9"/>
      <c r="G365" s="10"/>
      <c r="H365" s="11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7"/>
      <c r="B366" s="7"/>
      <c r="C366" s="5"/>
      <c r="D366" s="5"/>
      <c r="E366" s="9"/>
      <c r="F366" s="9"/>
      <c r="G366" s="10"/>
      <c r="H366" s="11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7"/>
      <c r="B367" s="7"/>
      <c r="C367" s="5"/>
      <c r="D367" s="5"/>
      <c r="E367" s="9"/>
      <c r="F367" s="9"/>
      <c r="G367" s="10"/>
      <c r="H367" s="11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7"/>
      <c r="B368" s="7"/>
      <c r="C368" s="5"/>
      <c r="D368" s="5"/>
      <c r="E368" s="9"/>
      <c r="F368" s="9"/>
      <c r="G368" s="10"/>
      <c r="H368" s="11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7"/>
      <c r="B369" s="7"/>
      <c r="C369" s="5"/>
      <c r="D369" s="5"/>
      <c r="E369" s="9"/>
      <c r="F369" s="9"/>
      <c r="G369" s="10"/>
      <c r="H369" s="11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7"/>
      <c r="B370" s="7"/>
      <c r="C370" s="5"/>
      <c r="D370" s="5"/>
      <c r="E370" s="9"/>
      <c r="F370" s="9"/>
      <c r="G370" s="10"/>
      <c r="H370" s="11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7"/>
      <c r="B371" s="7"/>
      <c r="C371" s="5"/>
      <c r="D371" s="5"/>
      <c r="E371" s="9"/>
      <c r="F371" s="9"/>
      <c r="G371" s="10"/>
      <c r="H371" s="11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7"/>
      <c r="B372" s="7"/>
      <c r="C372" s="5"/>
      <c r="D372" s="5"/>
      <c r="E372" s="9"/>
      <c r="F372" s="9"/>
      <c r="G372" s="10"/>
      <c r="H372" s="11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7"/>
      <c r="B373" s="7"/>
      <c r="C373" s="5"/>
      <c r="D373" s="5"/>
      <c r="E373" s="9"/>
      <c r="F373" s="9"/>
      <c r="G373" s="10"/>
      <c r="H373" s="11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7"/>
      <c r="B374" s="7"/>
      <c r="C374" s="5"/>
      <c r="D374" s="5"/>
      <c r="E374" s="9"/>
      <c r="F374" s="9"/>
      <c r="G374" s="10"/>
      <c r="H374" s="11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7"/>
      <c r="B375" s="7"/>
      <c r="C375" s="5"/>
      <c r="D375" s="5"/>
      <c r="E375" s="9"/>
      <c r="F375" s="9"/>
      <c r="G375" s="10"/>
      <c r="H375" s="11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7"/>
      <c r="B376" s="7"/>
      <c r="C376" s="5"/>
      <c r="D376" s="5"/>
      <c r="E376" s="9"/>
      <c r="F376" s="9"/>
      <c r="G376" s="10"/>
      <c r="H376" s="11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7"/>
      <c r="B377" s="7"/>
      <c r="C377" s="5"/>
      <c r="D377" s="5"/>
      <c r="E377" s="9"/>
      <c r="F377" s="9"/>
      <c r="G377" s="10"/>
      <c r="H377" s="11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7"/>
      <c r="B378" s="7"/>
      <c r="C378" s="5"/>
      <c r="D378" s="5"/>
      <c r="E378" s="9"/>
      <c r="F378" s="9"/>
      <c r="G378" s="10"/>
      <c r="H378" s="11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7"/>
      <c r="B379" s="7"/>
      <c r="C379" s="5"/>
      <c r="D379" s="5"/>
      <c r="E379" s="9"/>
      <c r="F379" s="9"/>
      <c r="G379" s="10"/>
      <c r="H379" s="11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7"/>
      <c r="B380" s="7"/>
      <c r="C380" s="5"/>
      <c r="D380" s="5"/>
      <c r="E380" s="9"/>
      <c r="F380" s="9"/>
      <c r="G380" s="10"/>
      <c r="H380" s="11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7"/>
      <c r="B381" s="7"/>
      <c r="C381" s="5"/>
      <c r="D381" s="5"/>
      <c r="E381" s="9"/>
      <c r="F381" s="9"/>
      <c r="G381" s="10"/>
      <c r="H381" s="11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7"/>
      <c r="B382" s="7"/>
      <c r="C382" s="5"/>
      <c r="D382" s="5"/>
      <c r="E382" s="9"/>
      <c r="F382" s="9"/>
      <c r="G382" s="10"/>
      <c r="H382" s="11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7"/>
      <c r="B383" s="7"/>
      <c r="C383" s="5"/>
      <c r="D383" s="5"/>
      <c r="E383" s="9"/>
      <c r="F383" s="9"/>
      <c r="G383" s="10"/>
      <c r="H383" s="11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7"/>
      <c r="B384" s="7"/>
      <c r="C384" s="5"/>
      <c r="D384" s="5"/>
      <c r="E384" s="9"/>
      <c r="F384" s="9"/>
      <c r="G384" s="10"/>
      <c r="H384" s="11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7"/>
      <c r="B385" s="7"/>
      <c r="C385" s="5"/>
      <c r="D385" s="5"/>
      <c r="E385" s="9"/>
      <c r="F385" s="9"/>
      <c r="G385" s="10"/>
      <c r="H385" s="11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7"/>
      <c r="B386" s="7"/>
      <c r="C386" s="5"/>
      <c r="D386" s="5"/>
      <c r="E386" s="9"/>
      <c r="F386" s="9"/>
      <c r="G386" s="10"/>
      <c r="H386" s="11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7"/>
      <c r="B387" s="7"/>
      <c r="C387" s="5"/>
      <c r="D387" s="5"/>
      <c r="E387" s="9"/>
      <c r="F387" s="9"/>
      <c r="G387" s="10"/>
      <c r="H387" s="11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7"/>
      <c r="B388" s="7"/>
      <c r="C388" s="5"/>
      <c r="D388" s="5"/>
      <c r="E388" s="9"/>
      <c r="F388" s="9"/>
      <c r="G388" s="10"/>
      <c r="H388" s="11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7"/>
      <c r="B389" s="7"/>
      <c r="C389" s="5"/>
      <c r="D389" s="5"/>
      <c r="E389" s="9"/>
      <c r="F389" s="9"/>
      <c r="G389" s="10"/>
      <c r="H389" s="11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7"/>
      <c r="B390" s="7"/>
      <c r="C390" s="5"/>
      <c r="D390" s="5"/>
      <c r="E390" s="9"/>
      <c r="F390" s="9"/>
      <c r="G390" s="10"/>
      <c r="H390" s="11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7"/>
      <c r="B391" s="7"/>
      <c r="C391" s="5"/>
      <c r="D391" s="5"/>
      <c r="E391" s="9"/>
      <c r="F391" s="9"/>
      <c r="G391" s="10"/>
      <c r="H391" s="11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7"/>
      <c r="B392" s="7"/>
      <c r="C392" s="5"/>
      <c r="D392" s="5"/>
      <c r="E392" s="9"/>
      <c r="F392" s="9"/>
      <c r="G392" s="10"/>
      <c r="H392" s="11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7"/>
      <c r="B393" s="7"/>
      <c r="C393" s="5"/>
      <c r="D393" s="5"/>
      <c r="E393" s="9"/>
      <c r="F393" s="9"/>
      <c r="G393" s="10"/>
      <c r="H393" s="11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7"/>
      <c r="B394" s="7"/>
      <c r="C394" s="5"/>
      <c r="D394" s="5"/>
      <c r="E394" s="9"/>
      <c r="F394" s="9"/>
      <c r="G394" s="10"/>
      <c r="H394" s="11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7"/>
      <c r="B395" s="7"/>
      <c r="C395" s="5"/>
      <c r="D395" s="5"/>
      <c r="E395" s="9"/>
      <c r="F395" s="9"/>
      <c r="G395" s="10"/>
      <c r="H395" s="11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7"/>
      <c r="B396" s="7"/>
      <c r="C396" s="5"/>
      <c r="D396" s="5"/>
      <c r="E396" s="9"/>
      <c r="F396" s="9"/>
      <c r="G396" s="10"/>
      <c r="H396" s="11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7"/>
      <c r="B397" s="7"/>
      <c r="C397" s="5"/>
      <c r="D397" s="5"/>
      <c r="E397" s="9"/>
      <c r="F397" s="9"/>
      <c r="G397" s="10"/>
      <c r="H397" s="11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7"/>
      <c r="B398" s="7"/>
      <c r="C398" s="5"/>
      <c r="D398" s="5"/>
      <c r="E398" s="9"/>
      <c r="F398" s="9"/>
      <c r="G398" s="10"/>
      <c r="H398" s="11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7"/>
      <c r="B399" s="7"/>
      <c r="C399" s="5"/>
      <c r="D399" s="5"/>
      <c r="E399" s="9"/>
      <c r="F399" s="9"/>
      <c r="G399" s="10"/>
      <c r="H399" s="11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7"/>
      <c r="B400" s="7"/>
      <c r="C400" s="5"/>
      <c r="D400" s="5"/>
      <c r="E400" s="9"/>
      <c r="F400" s="9"/>
      <c r="G400" s="10"/>
      <c r="H400" s="11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7"/>
      <c r="B401" s="7"/>
      <c r="C401" s="5"/>
      <c r="D401" s="5"/>
      <c r="E401" s="9"/>
      <c r="F401" s="9"/>
      <c r="G401" s="10"/>
      <c r="H401" s="11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7"/>
      <c r="B402" s="7"/>
      <c r="C402" s="5"/>
      <c r="D402" s="5"/>
      <c r="E402" s="9"/>
      <c r="F402" s="9"/>
      <c r="G402" s="10"/>
      <c r="H402" s="11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7"/>
      <c r="B403" s="7"/>
      <c r="C403" s="5"/>
      <c r="D403" s="5"/>
      <c r="E403" s="9"/>
      <c r="F403" s="9"/>
      <c r="G403" s="10"/>
      <c r="H403" s="11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7"/>
      <c r="B404" s="7"/>
      <c r="C404" s="5"/>
      <c r="D404" s="5"/>
      <c r="E404" s="9"/>
      <c r="F404" s="9"/>
      <c r="G404" s="10"/>
      <c r="H404" s="11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7"/>
      <c r="B405" s="7"/>
      <c r="C405" s="5"/>
      <c r="D405" s="5"/>
      <c r="E405" s="9"/>
      <c r="F405" s="9"/>
      <c r="G405" s="10"/>
      <c r="H405" s="11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7"/>
      <c r="B406" s="7"/>
      <c r="C406" s="5"/>
      <c r="D406" s="5"/>
      <c r="E406" s="9"/>
      <c r="F406" s="9"/>
      <c r="G406" s="10"/>
      <c r="H406" s="11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7"/>
      <c r="B407" s="7"/>
      <c r="C407" s="5"/>
      <c r="D407" s="5"/>
      <c r="E407" s="9"/>
      <c r="F407" s="9"/>
      <c r="G407" s="10"/>
      <c r="H407" s="11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7"/>
      <c r="B408" s="7"/>
      <c r="C408" s="5"/>
      <c r="D408" s="5"/>
      <c r="E408" s="9"/>
      <c r="F408" s="9"/>
      <c r="G408" s="10"/>
      <c r="H408" s="11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7"/>
      <c r="B409" s="7"/>
      <c r="C409" s="5"/>
      <c r="D409" s="5"/>
      <c r="E409" s="9"/>
      <c r="F409" s="9"/>
      <c r="G409" s="10"/>
      <c r="H409" s="11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7"/>
      <c r="B410" s="7"/>
      <c r="C410" s="5"/>
      <c r="D410" s="5"/>
      <c r="E410" s="9"/>
      <c r="F410" s="9"/>
      <c r="G410" s="10"/>
      <c r="H410" s="11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7"/>
      <c r="B411" s="7"/>
      <c r="C411" s="5"/>
      <c r="D411" s="5"/>
      <c r="E411" s="9"/>
      <c r="F411" s="9"/>
      <c r="G411" s="10"/>
      <c r="H411" s="11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7"/>
      <c r="B412" s="7"/>
      <c r="C412" s="5"/>
      <c r="D412" s="5"/>
      <c r="E412" s="9"/>
      <c r="F412" s="9"/>
      <c r="G412" s="10"/>
      <c r="H412" s="11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7"/>
      <c r="B413" s="7"/>
      <c r="C413" s="5"/>
      <c r="D413" s="5"/>
      <c r="E413" s="9"/>
      <c r="F413" s="9"/>
      <c r="G413" s="10"/>
      <c r="H413" s="11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7"/>
      <c r="B414" s="7"/>
      <c r="C414" s="5"/>
      <c r="D414" s="5"/>
      <c r="E414" s="9"/>
      <c r="F414" s="9"/>
      <c r="G414" s="10"/>
      <c r="H414" s="11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7"/>
      <c r="B415" s="7"/>
      <c r="C415" s="5"/>
      <c r="D415" s="5"/>
      <c r="E415" s="9"/>
      <c r="F415" s="9"/>
      <c r="G415" s="10"/>
      <c r="H415" s="11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7"/>
      <c r="B416" s="7"/>
      <c r="C416" s="5"/>
      <c r="D416" s="5"/>
      <c r="E416" s="9"/>
      <c r="F416" s="9"/>
      <c r="G416" s="10"/>
      <c r="H416" s="11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7"/>
      <c r="B417" s="7"/>
      <c r="C417" s="5"/>
      <c r="D417" s="5"/>
      <c r="E417" s="9"/>
      <c r="F417" s="9"/>
      <c r="G417" s="10"/>
      <c r="H417" s="11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7"/>
      <c r="B418" s="7"/>
      <c r="C418" s="5"/>
      <c r="D418" s="5"/>
      <c r="E418" s="9"/>
      <c r="F418" s="9"/>
      <c r="G418" s="10"/>
      <c r="H418" s="11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7"/>
      <c r="B419" s="7"/>
      <c r="C419" s="5"/>
      <c r="D419" s="5"/>
      <c r="E419" s="9"/>
      <c r="F419" s="9"/>
      <c r="G419" s="10"/>
      <c r="H419" s="11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7"/>
      <c r="B420" s="7"/>
      <c r="C420" s="5"/>
      <c r="D420" s="5"/>
      <c r="E420" s="9"/>
      <c r="F420" s="9"/>
      <c r="G420" s="10"/>
      <c r="H420" s="11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7"/>
      <c r="B421" s="7"/>
      <c r="C421" s="5"/>
      <c r="D421" s="5"/>
      <c r="E421" s="9"/>
      <c r="F421" s="9"/>
      <c r="G421" s="10"/>
      <c r="H421" s="11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7"/>
      <c r="B422" s="7"/>
      <c r="C422" s="5"/>
      <c r="D422" s="5"/>
      <c r="E422" s="9"/>
      <c r="F422" s="9"/>
      <c r="G422" s="10"/>
      <c r="H422" s="11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7"/>
      <c r="B423" s="7"/>
      <c r="C423" s="5"/>
      <c r="D423" s="5"/>
      <c r="E423" s="9"/>
      <c r="F423" s="9"/>
      <c r="G423" s="10"/>
      <c r="H423" s="11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7"/>
      <c r="B424" s="7"/>
      <c r="C424" s="5"/>
      <c r="D424" s="5"/>
      <c r="E424" s="9"/>
      <c r="F424" s="9"/>
      <c r="G424" s="10"/>
      <c r="H424" s="11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7"/>
      <c r="B425" s="7"/>
      <c r="C425" s="5"/>
      <c r="D425" s="5"/>
      <c r="E425" s="9"/>
      <c r="F425" s="9"/>
      <c r="G425" s="10"/>
      <c r="H425" s="11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7"/>
      <c r="B426" s="7"/>
      <c r="C426" s="5"/>
      <c r="D426" s="5"/>
      <c r="E426" s="9"/>
      <c r="F426" s="9"/>
      <c r="G426" s="10"/>
      <c r="H426" s="11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7"/>
      <c r="B427" s="7"/>
      <c r="C427" s="5"/>
      <c r="D427" s="5"/>
      <c r="E427" s="9"/>
      <c r="F427" s="9"/>
      <c r="G427" s="10"/>
      <c r="H427" s="11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7"/>
      <c r="B428" s="7"/>
      <c r="C428" s="5"/>
      <c r="D428" s="5"/>
      <c r="E428" s="9"/>
      <c r="F428" s="9"/>
      <c r="G428" s="10"/>
      <c r="H428" s="11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7"/>
      <c r="B429" s="7"/>
      <c r="C429" s="5"/>
      <c r="D429" s="5"/>
      <c r="E429" s="9"/>
      <c r="F429" s="9"/>
      <c r="G429" s="10"/>
      <c r="H429" s="11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7"/>
      <c r="B430" s="7"/>
      <c r="C430" s="5"/>
      <c r="D430" s="5"/>
      <c r="E430" s="9"/>
      <c r="F430" s="9"/>
      <c r="G430" s="10"/>
      <c r="H430" s="11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7"/>
      <c r="B431" s="7"/>
      <c r="C431" s="5"/>
      <c r="D431" s="5"/>
      <c r="E431" s="9"/>
      <c r="F431" s="9"/>
      <c r="G431" s="10"/>
      <c r="H431" s="11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7"/>
      <c r="B432" s="7"/>
      <c r="C432" s="5"/>
      <c r="D432" s="5"/>
      <c r="E432" s="9"/>
      <c r="F432" s="9"/>
      <c r="G432" s="10"/>
      <c r="H432" s="11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7"/>
      <c r="B433" s="7"/>
      <c r="C433" s="5"/>
      <c r="D433" s="5"/>
      <c r="E433" s="9"/>
      <c r="F433" s="9"/>
      <c r="G433" s="10"/>
      <c r="H433" s="11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7"/>
      <c r="B434" s="7"/>
      <c r="C434" s="5"/>
      <c r="D434" s="5"/>
      <c r="E434" s="9"/>
      <c r="F434" s="9"/>
      <c r="G434" s="10"/>
      <c r="H434" s="11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7"/>
      <c r="B435" s="7"/>
      <c r="C435" s="5"/>
      <c r="D435" s="5"/>
      <c r="E435" s="9"/>
      <c r="F435" s="9"/>
      <c r="G435" s="10"/>
      <c r="H435" s="11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7"/>
      <c r="B436" s="7"/>
      <c r="C436" s="5"/>
      <c r="D436" s="5"/>
      <c r="E436" s="9"/>
      <c r="F436" s="9"/>
      <c r="G436" s="10"/>
      <c r="H436" s="11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7"/>
      <c r="B437" s="7"/>
      <c r="C437" s="5"/>
      <c r="D437" s="5"/>
      <c r="E437" s="9"/>
      <c r="F437" s="9"/>
      <c r="G437" s="10"/>
      <c r="H437" s="11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7"/>
      <c r="B438" s="7"/>
      <c r="C438" s="5"/>
      <c r="D438" s="5"/>
      <c r="E438" s="9"/>
      <c r="F438" s="9"/>
      <c r="G438" s="10"/>
      <c r="H438" s="11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7"/>
      <c r="B439" s="7"/>
      <c r="C439" s="5"/>
      <c r="D439" s="5"/>
      <c r="E439" s="9"/>
      <c r="F439" s="9"/>
      <c r="G439" s="10"/>
      <c r="H439" s="11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7"/>
      <c r="B440" s="7"/>
      <c r="C440" s="5"/>
      <c r="D440" s="5"/>
      <c r="E440" s="9"/>
      <c r="F440" s="9"/>
      <c r="G440" s="10"/>
      <c r="H440" s="11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7"/>
      <c r="B441" s="7"/>
      <c r="C441" s="5"/>
      <c r="D441" s="5"/>
      <c r="E441" s="9"/>
      <c r="F441" s="9"/>
      <c r="G441" s="10"/>
      <c r="H441" s="11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7"/>
      <c r="B442" s="7"/>
      <c r="C442" s="5"/>
      <c r="D442" s="5"/>
      <c r="E442" s="9"/>
      <c r="F442" s="9"/>
      <c r="G442" s="10"/>
      <c r="H442" s="11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7"/>
      <c r="B443" s="7"/>
      <c r="C443" s="5"/>
      <c r="D443" s="5"/>
      <c r="E443" s="9"/>
      <c r="F443" s="9"/>
      <c r="G443" s="10"/>
      <c r="H443" s="11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7"/>
      <c r="B444" s="7"/>
      <c r="C444" s="5"/>
      <c r="D444" s="5"/>
      <c r="E444" s="9"/>
      <c r="F444" s="9"/>
      <c r="G444" s="10"/>
      <c r="H444" s="11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7"/>
      <c r="B445" s="7"/>
      <c r="C445" s="5"/>
      <c r="D445" s="5"/>
      <c r="E445" s="9"/>
      <c r="F445" s="9"/>
      <c r="G445" s="10"/>
      <c r="H445" s="11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7"/>
      <c r="B446" s="7"/>
      <c r="C446" s="5"/>
      <c r="D446" s="5"/>
      <c r="E446" s="9"/>
      <c r="F446" s="9"/>
      <c r="G446" s="10"/>
      <c r="H446" s="11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7"/>
      <c r="B447" s="7"/>
      <c r="C447" s="5"/>
      <c r="D447" s="5"/>
      <c r="E447" s="9"/>
      <c r="F447" s="9"/>
      <c r="G447" s="10"/>
      <c r="H447" s="11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7"/>
      <c r="B448" s="7"/>
      <c r="C448" s="5"/>
      <c r="D448" s="5"/>
      <c r="E448" s="9"/>
      <c r="F448" s="9"/>
      <c r="G448" s="10"/>
      <c r="H448" s="11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7"/>
      <c r="B449" s="7"/>
      <c r="C449" s="5"/>
      <c r="D449" s="5"/>
      <c r="E449" s="9"/>
      <c r="F449" s="9"/>
      <c r="G449" s="10"/>
      <c r="H449" s="11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7"/>
      <c r="B450" s="7"/>
      <c r="C450" s="5"/>
      <c r="D450" s="5"/>
      <c r="E450" s="9"/>
      <c r="F450" s="9"/>
      <c r="G450" s="10"/>
      <c r="H450" s="11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7"/>
      <c r="B451" s="7"/>
      <c r="C451" s="5"/>
      <c r="D451" s="5"/>
      <c r="E451" s="9"/>
      <c r="F451" s="9"/>
      <c r="G451" s="10"/>
      <c r="H451" s="11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7"/>
      <c r="B452" s="7"/>
      <c r="C452" s="5"/>
      <c r="D452" s="5"/>
      <c r="E452" s="9"/>
      <c r="F452" s="9"/>
      <c r="G452" s="10"/>
      <c r="H452" s="11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7"/>
      <c r="B453" s="7"/>
      <c r="C453" s="5"/>
      <c r="D453" s="5"/>
      <c r="E453" s="9"/>
      <c r="F453" s="9"/>
      <c r="G453" s="10"/>
      <c r="H453" s="11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7"/>
      <c r="B454" s="7"/>
      <c r="C454" s="5"/>
      <c r="D454" s="5"/>
      <c r="E454" s="9"/>
      <c r="F454" s="9"/>
      <c r="G454" s="10"/>
      <c r="H454" s="11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7"/>
      <c r="B455" s="7"/>
      <c r="C455" s="5"/>
      <c r="D455" s="5"/>
      <c r="E455" s="9"/>
      <c r="F455" s="9"/>
      <c r="G455" s="10"/>
      <c r="H455" s="11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7"/>
      <c r="B456" s="7"/>
      <c r="C456" s="5"/>
      <c r="D456" s="5"/>
      <c r="E456" s="9"/>
      <c r="F456" s="9"/>
      <c r="G456" s="10"/>
      <c r="H456" s="11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7"/>
      <c r="B457" s="7"/>
      <c r="C457" s="5"/>
      <c r="D457" s="5"/>
      <c r="E457" s="9"/>
      <c r="F457" s="9"/>
      <c r="G457" s="10"/>
      <c r="H457" s="11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7"/>
      <c r="B458" s="7"/>
      <c r="C458" s="5"/>
      <c r="D458" s="5"/>
      <c r="E458" s="9"/>
      <c r="F458" s="9"/>
      <c r="G458" s="10"/>
      <c r="H458" s="11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7"/>
      <c r="B459" s="7"/>
      <c r="C459" s="5"/>
      <c r="D459" s="5"/>
      <c r="E459" s="9"/>
      <c r="F459" s="9"/>
      <c r="G459" s="10"/>
      <c r="H459" s="11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7"/>
      <c r="B460" s="7"/>
      <c r="C460" s="5"/>
      <c r="D460" s="5"/>
      <c r="E460" s="9"/>
      <c r="F460" s="9"/>
      <c r="G460" s="10"/>
      <c r="H460" s="11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7"/>
      <c r="B461" s="7"/>
      <c r="C461" s="5"/>
      <c r="D461" s="5"/>
      <c r="E461" s="9"/>
      <c r="F461" s="9"/>
      <c r="G461" s="10"/>
      <c r="H461" s="11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7"/>
      <c r="B462" s="7"/>
      <c r="C462" s="5"/>
      <c r="D462" s="5"/>
      <c r="E462" s="9"/>
      <c r="F462" s="9"/>
      <c r="G462" s="10"/>
      <c r="H462" s="11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7"/>
      <c r="B463" s="7"/>
      <c r="C463" s="5"/>
      <c r="D463" s="5"/>
      <c r="E463" s="9"/>
      <c r="F463" s="9"/>
      <c r="G463" s="10"/>
      <c r="H463" s="11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7"/>
      <c r="B464" s="7"/>
      <c r="C464" s="5"/>
      <c r="D464" s="5"/>
      <c r="E464" s="9"/>
      <c r="F464" s="9"/>
      <c r="G464" s="10"/>
      <c r="H464" s="11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7"/>
      <c r="B465" s="7"/>
      <c r="C465" s="5"/>
      <c r="D465" s="5"/>
      <c r="E465" s="9"/>
      <c r="F465" s="9"/>
      <c r="G465" s="10"/>
      <c r="H465" s="11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7"/>
      <c r="B466" s="7"/>
      <c r="C466" s="5"/>
      <c r="D466" s="5"/>
      <c r="E466" s="9"/>
      <c r="F466" s="9"/>
      <c r="G466" s="10"/>
      <c r="H466" s="11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7"/>
      <c r="B467" s="7"/>
      <c r="C467" s="5"/>
      <c r="D467" s="5"/>
      <c r="E467" s="9"/>
      <c r="F467" s="9"/>
      <c r="G467" s="10"/>
      <c r="H467" s="11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7"/>
      <c r="B468" s="7"/>
      <c r="C468" s="5"/>
      <c r="D468" s="5"/>
      <c r="E468" s="9"/>
      <c r="F468" s="9"/>
      <c r="G468" s="10"/>
      <c r="H468" s="11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7"/>
      <c r="B469" s="7"/>
      <c r="C469" s="5"/>
      <c r="D469" s="5"/>
      <c r="E469" s="9"/>
      <c r="F469" s="9"/>
      <c r="G469" s="10"/>
      <c r="H469" s="11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7"/>
      <c r="B470" s="7"/>
      <c r="C470" s="5"/>
      <c r="D470" s="5"/>
      <c r="E470" s="9"/>
      <c r="F470" s="9"/>
      <c r="G470" s="10"/>
      <c r="H470" s="11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7"/>
      <c r="B471" s="7"/>
      <c r="C471" s="5"/>
      <c r="D471" s="5"/>
      <c r="E471" s="9"/>
      <c r="F471" s="9"/>
      <c r="G471" s="10"/>
      <c r="H471" s="11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7"/>
      <c r="B472" s="7"/>
      <c r="C472" s="5"/>
      <c r="D472" s="5"/>
      <c r="E472" s="9"/>
      <c r="F472" s="9"/>
      <c r="G472" s="10"/>
      <c r="H472" s="11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7"/>
      <c r="B473" s="7"/>
      <c r="C473" s="5"/>
      <c r="D473" s="5"/>
      <c r="E473" s="9"/>
      <c r="F473" s="9"/>
      <c r="G473" s="10"/>
      <c r="H473" s="11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7"/>
      <c r="B474" s="7"/>
      <c r="C474" s="5"/>
      <c r="D474" s="5"/>
      <c r="E474" s="9"/>
      <c r="F474" s="9"/>
      <c r="G474" s="10"/>
      <c r="H474" s="11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7"/>
      <c r="B475" s="7"/>
      <c r="C475" s="5"/>
      <c r="D475" s="5"/>
      <c r="E475" s="9"/>
      <c r="F475" s="9"/>
      <c r="G475" s="10"/>
      <c r="H475" s="11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7"/>
      <c r="B476" s="7"/>
      <c r="C476" s="5"/>
      <c r="D476" s="5"/>
      <c r="E476" s="9"/>
      <c r="F476" s="9"/>
      <c r="G476" s="10"/>
      <c r="H476" s="11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7"/>
      <c r="B477" s="7"/>
      <c r="C477" s="5"/>
      <c r="D477" s="5"/>
      <c r="E477" s="9"/>
      <c r="F477" s="9"/>
      <c r="G477" s="10"/>
      <c r="H477" s="11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7"/>
      <c r="B478" s="7"/>
      <c r="C478" s="5"/>
      <c r="D478" s="5"/>
      <c r="E478" s="9"/>
      <c r="F478" s="9"/>
      <c r="G478" s="10"/>
      <c r="H478" s="11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7"/>
      <c r="B479" s="7"/>
      <c r="C479" s="5"/>
      <c r="D479" s="5"/>
      <c r="E479" s="9"/>
      <c r="F479" s="9"/>
      <c r="G479" s="10"/>
      <c r="H479" s="11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7"/>
      <c r="B480" s="7"/>
      <c r="C480" s="5"/>
      <c r="D480" s="5"/>
      <c r="E480" s="9"/>
      <c r="F480" s="9"/>
      <c r="G480" s="10"/>
      <c r="H480" s="11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7"/>
      <c r="B481" s="7"/>
      <c r="C481" s="5"/>
      <c r="D481" s="5"/>
      <c r="E481" s="9"/>
      <c r="F481" s="9"/>
      <c r="G481" s="10"/>
      <c r="H481" s="11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7"/>
      <c r="B482" s="7"/>
      <c r="C482" s="5"/>
      <c r="D482" s="5"/>
      <c r="E482" s="9"/>
      <c r="F482" s="9"/>
      <c r="G482" s="10"/>
      <c r="H482" s="11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7"/>
      <c r="B483" s="7"/>
      <c r="C483" s="5"/>
      <c r="D483" s="5"/>
      <c r="E483" s="9"/>
      <c r="F483" s="9"/>
      <c r="G483" s="10"/>
      <c r="H483" s="11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7"/>
      <c r="B484" s="7"/>
      <c r="C484" s="5"/>
      <c r="D484" s="5"/>
      <c r="E484" s="9"/>
      <c r="F484" s="9"/>
      <c r="G484" s="10"/>
      <c r="H484" s="11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7"/>
      <c r="B485" s="7"/>
      <c r="C485" s="5"/>
      <c r="D485" s="5"/>
      <c r="E485" s="9"/>
      <c r="F485" s="9"/>
      <c r="G485" s="10"/>
      <c r="H485" s="11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7"/>
      <c r="B486" s="7"/>
      <c r="C486" s="5"/>
      <c r="D486" s="5"/>
      <c r="E486" s="9"/>
      <c r="F486" s="9"/>
      <c r="G486" s="10"/>
      <c r="H486" s="11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7"/>
      <c r="B487" s="7"/>
      <c r="C487" s="5"/>
      <c r="D487" s="5"/>
      <c r="E487" s="9"/>
      <c r="F487" s="9"/>
      <c r="G487" s="10"/>
      <c r="H487" s="11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7"/>
      <c r="B488" s="7"/>
      <c r="C488" s="5"/>
      <c r="D488" s="5"/>
      <c r="E488" s="9"/>
      <c r="F488" s="9"/>
      <c r="G488" s="10"/>
      <c r="H488" s="11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7"/>
      <c r="B489" s="7"/>
      <c r="C489" s="5"/>
      <c r="D489" s="5"/>
      <c r="E489" s="9"/>
      <c r="F489" s="9"/>
      <c r="G489" s="10"/>
      <c r="H489" s="11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7"/>
      <c r="B490" s="7"/>
      <c r="C490" s="5"/>
      <c r="D490" s="5"/>
      <c r="E490" s="9"/>
      <c r="F490" s="9"/>
      <c r="G490" s="10"/>
      <c r="H490" s="11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7"/>
      <c r="B491" s="7"/>
      <c r="C491" s="5"/>
      <c r="D491" s="5"/>
      <c r="E491" s="9"/>
      <c r="F491" s="9"/>
      <c r="G491" s="10"/>
      <c r="H491" s="11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7"/>
      <c r="B492" s="7"/>
      <c r="C492" s="5"/>
      <c r="D492" s="5"/>
      <c r="E492" s="9"/>
      <c r="F492" s="9"/>
      <c r="G492" s="10"/>
      <c r="H492" s="11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7"/>
      <c r="B493" s="7"/>
      <c r="C493" s="5"/>
      <c r="D493" s="5"/>
      <c r="E493" s="9"/>
      <c r="F493" s="9"/>
      <c r="G493" s="10"/>
      <c r="H493" s="11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7"/>
      <c r="B494" s="7"/>
      <c r="C494" s="5"/>
      <c r="D494" s="5"/>
      <c r="E494" s="9"/>
      <c r="F494" s="9"/>
      <c r="G494" s="10"/>
      <c r="H494" s="11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7"/>
      <c r="B495" s="7"/>
      <c r="C495" s="5"/>
      <c r="D495" s="5"/>
      <c r="E495" s="9"/>
      <c r="F495" s="9"/>
      <c r="G495" s="10"/>
      <c r="H495" s="11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7"/>
      <c r="B496" s="7"/>
      <c r="C496" s="5"/>
      <c r="D496" s="5"/>
      <c r="E496" s="9"/>
      <c r="F496" s="9"/>
      <c r="G496" s="10"/>
      <c r="H496" s="11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7"/>
      <c r="B497" s="7"/>
      <c r="C497" s="5"/>
      <c r="D497" s="5"/>
      <c r="E497" s="9"/>
      <c r="F497" s="9"/>
      <c r="G497" s="10"/>
      <c r="H497" s="11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7"/>
      <c r="B498" s="7"/>
      <c r="C498" s="5"/>
      <c r="D498" s="5"/>
      <c r="E498" s="9"/>
      <c r="F498" s="9"/>
      <c r="G498" s="10"/>
      <c r="H498" s="11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7"/>
      <c r="B499" s="7"/>
      <c r="C499" s="5"/>
      <c r="D499" s="5"/>
      <c r="E499" s="9"/>
      <c r="F499" s="9"/>
      <c r="G499" s="10"/>
      <c r="H499" s="11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7"/>
      <c r="B500" s="7"/>
      <c r="C500" s="5"/>
      <c r="D500" s="5"/>
      <c r="E500" s="9"/>
      <c r="F500" s="9"/>
      <c r="G500" s="10"/>
      <c r="H500" s="11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7"/>
      <c r="B501" s="7"/>
      <c r="C501" s="5"/>
      <c r="D501" s="5"/>
      <c r="E501" s="9"/>
      <c r="F501" s="9"/>
      <c r="G501" s="10"/>
      <c r="H501" s="11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7"/>
      <c r="B502" s="7"/>
      <c r="C502" s="5"/>
      <c r="D502" s="5"/>
      <c r="E502" s="9"/>
      <c r="F502" s="9"/>
      <c r="G502" s="10"/>
      <c r="H502" s="11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7"/>
      <c r="B503" s="7"/>
      <c r="C503" s="5"/>
      <c r="D503" s="5"/>
      <c r="E503" s="9"/>
      <c r="F503" s="9"/>
      <c r="G503" s="10"/>
      <c r="H503" s="11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7"/>
      <c r="B504" s="7"/>
      <c r="C504" s="5"/>
      <c r="D504" s="5"/>
      <c r="E504" s="9"/>
      <c r="F504" s="9"/>
      <c r="G504" s="10"/>
      <c r="H504" s="11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7"/>
      <c r="B505" s="7"/>
      <c r="C505" s="5"/>
      <c r="D505" s="5"/>
      <c r="E505" s="9"/>
      <c r="F505" s="9"/>
      <c r="G505" s="10"/>
      <c r="H505" s="11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7"/>
      <c r="B506" s="7"/>
      <c r="C506" s="5"/>
      <c r="D506" s="5"/>
      <c r="E506" s="9"/>
      <c r="F506" s="9"/>
      <c r="G506" s="10"/>
      <c r="H506" s="11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7"/>
      <c r="B507" s="7"/>
      <c r="C507" s="5"/>
      <c r="D507" s="5"/>
      <c r="E507" s="9"/>
      <c r="F507" s="9"/>
      <c r="G507" s="10"/>
      <c r="H507" s="11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7"/>
      <c r="B508" s="7"/>
      <c r="C508" s="5"/>
      <c r="D508" s="5"/>
      <c r="E508" s="9"/>
      <c r="F508" s="9"/>
      <c r="G508" s="10"/>
      <c r="H508" s="11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7"/>
      <c r="B509" s="7"/>
      <c r="C509" s="5"/>
      <c r="D509" s="5"/>
      <c r="E509" s="9"/>
      <c r="F509" s="9"/>
      <c r="G509" s="10"/>
      <c r="H509" s="11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7"/>
      <c r="B510" s="7"/>
      <c r="C510" s="5"/>
      <c r="D510" s="5"/>
      <c r="E510" s="9"/>
      <c r="F510" s="9"/>
      <c r="G510" s="10"/>
      <c r="H510" s="11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7"/>
      <c r="B511" s="7"/>
      <c r="C511" s="5"/>
      <c r="D511" s="5"/>
      <c r="E511" s="9"/>
      <c r="F511" s="9"/>
      <c r="G511" s="10"/>
      <c r="H511" s="11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7"/>
      <c r="B512" s="7"/>
      <c r="C512" s="5"/>
      <c r="D512" s="5"/>
      <c r="E512" s="9"/>
      <c r="F512" s="9"/>
      <c r="G512" s="10"/>
      <c r="H512" s="11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7"/>
      <c r="B513" s="7"/>
      <c r="C513" s="5"/>
      <c r="D513" s="5"/>
      <c r="E513" s="9"/>
      <c r="F513" s="9"/>
      <c r="G513" s="10"/>
      <c r="H513" s="11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7"/>
      <c r="B514" s="7"/>
      <c r="C514" s="5"/>
      <c r="D514" s="5"/>
      <c r="E514" s="9"/>
      <c r="F514" s="9"/>
      <c r="G514" s="10"/>
      <c r="H514" s="11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7"/>
      <c r="B515" s="7"/>
      <c r="C515" s="5"/>
      <c r="D515" s="5"/>
      <c r="E515" s="9"/>
      <c r="F515" s="9"/>
      <c r="G515" s="10"/>
      <c r="H515" s="11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7"/>
      <c r="B516" s="7"/>
      <c r="C516" s="5"/>
      <c r="D516" s="5"/>
      <c r="E516" s="9"/>
      <c r="F516" s="9"/>
      <c r="G516" s="10"/>
      <c r="H516" s="11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7"/>
      <c r="B517" s="7"/>
      <c r="C517" s="5"/>
      <c r="D517" s="5"/>
      <c r="E517" s="9"/>
      <c r="F517" s="9"/>
      <c r="G517" s="10"/>
      <c r="H517" s="11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7"/>
      <c r="B518" s="7"/>
      <c r="C518" s="5"/>
      <c r="D518" s="5"/>
      <c r="E518" s="9"/>
      <c r="F518" s="9"/>
      <c r="G518" s="10"/>
      <c r="H518" s="11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7"/>
      <c r="B519" s="7"/>
      <c r="C519" s="5"/>
      <c r="D519" s="5"/>
      <c r="E519" s="9"/>
      <c r="F519" s="9"/>
      <c r="G519" s="10"/>
      <c r="H519" s="11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7"/>
      <c r="B520" s="7"/>
      <c r="C520" s="5"/>
      <c r="D520" s="5"/>
      <c r="E520" s="9"/>
      <c r="F520" s="9"/>
      <c r="G520" s="10"/>
      <c r="H520" s="11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7"/>
      <c r="B521" s="7"/>
      <c r="C521" s="5"/>
      <c r="D521" s="5"/>
      <c r="E521" s="9"/>
      <c r="F521" s="9"/>
      <c r="G521" s="10"/>
      <c r="H521" s="11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7"/>
      <c r="B522" s="7"/>
      <c r="C522" s="5"/>
      <c r="D522" s="5"/>
      <c r="E522" s="9"/>
      <c r="F522" s="9"/>
      <c r="G522" s="10"/>
      <c r="H522" s="11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7"/>
      <c r="B523" s="7"/>
      <c r="C523" s="5"/>
      <c r="D523" s="5"/>
      <c r="E523" s="9"/>
      <c r="F523" s="9"/>
      <c r="G523" s="10"/>
      <c r="H523" s="11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7"/>
      <c r="B524" s="7"/>
      <c r="C524" s="5"/>
      <c r="D524" s="5"/>
      <c r="E524" s="9"/>
      <c r="F524" s="9"/>
      <c r="G524" s="10"/>
      <c r="H524" s="11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7"/>
      <c r="B525" s="7"/>
      <c r="C525" s="5"/>
      <c r="D525" s="5"/>
      <c r="E525" s="9"/>
      <c r="F525" s="9"/>
      <c r="G525" s="10"/>
      <c r="H525" s="11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7"/>
      <c r="B526" s="7"/>
      <c r="C526" s="5"/>
      <c r="D526" s="5"/>
      <c r="E526" s="9"/>
      <c r="F526" s="9"/>
      <c r="G526" s="10"/>
      <c r="H526" s="11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7"/>
      <c r="B527" s="7"/>
      <c r="C527" s="5"/>
      <c r="D527" s="5"/>
      <c r="E527" s="9"/>
      <c r="F527" s="9"/>
      <c r="G527" s="10"/>
      <c r="H527" s="11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7"/>
      <c r="B528" s="7"/>
      <c r="C528" s="5"/>
      <c r="D528" s="5"/>
      <c r="E528" s="9"/>
      <c r="F528" s="9"/>
      <c r="G528" s="10"/>
      <c r="H528" s="11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7"/>
      <c r="B529" s="7"/>
      <c r="C529" s="5"/>
      <c r="D529" s="5"/>
      <c r="E529" s="9"/>
      <c r="F529" s="9"/>
      <c r="G529" s="10"/>
      <c r="H529" s="11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7"/>
      <c r="B530" s="7"/>
      <c r="C530" s="5"/>
      <c r="D530" s="5"/>
      <c r="E530" s="9"/>
      <c r="F530" s="9"/>
      <c r="G530" s="10"/>
      <c r="H530" s="11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7"/>
      <c r="B531" s="7"/>
      <c r="C531" s="5"/>
      <c r="D531" s="5"/>
      <c r="E531" s="9"/>
      <c r="F531" s="9"/>
      <c r="G531" s="10"/>
      <c r="H531" s="11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7"/>
      <c r="B532" s="7"/>
      <c r="C532" s="5"/>
      <c r="D532" s="5"/>
      <c r="E532" s="9"/>
      <c r="F532" s="9"/>
      <c r="G532" s="10"/>
      <c r="H532" s="11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7"/>
      <c r="B533" s="7"/>
      <c r="C533" s="5"/>
      <c r="D533" s="5"/>
      <c r="E533" s="9"/>
      <c r="F533" s="9"/>
      <c r="G533" s="10"/>
      <c r="H533" s="11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7"/>
      <c r="B534" s="7"/>
      <c r="C534" s="5"/>
      <c r="D534" s="5"/>
      <c r="E534" s="9"/>
      <c r="F534" s="9"/>
      <c r="G534" s="10"/>
      <c r="H534" s="11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7"/>
      <c r="B535" s="7"/>
      <c r="C535" s="5"/>
      <c r="D535" s="5"/>
      <c r="E535" s="9"/>
      <c r="F535" s="9"/>
      <c r="G535" s="10"/>
      <c r="H535" s="11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7"/>
      <c r="B536" s="7"/>
      <c r="C536" s="5"/>
      <c r="D536" s="5"/>
      <c r="E536" s="9"/>
      <c r="F536" s="9"/>
      <c r="G536" s="10"/>
      <c r="H536" s="11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7"/>
      <c r="B537" s="7"/>
      <c r="C537" s="5"/>
      <c r="D537" s="5"/>
      <c r="E537" s="9"/>
      <c r="F537" s="9"/>
      <c r="G537" s="10"/>
      <c r="H537" s="11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7"/>
      <c r="B538" s="7"/>
      <c r="C538" s="5"/>
      <c r="D538" s="5"/>
      <c r="E538" s="9"/>
      <c r="F538" s="9"/>
      <c r="G538" s="10"/>
      <c r="H538" s="11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7"/>
      <c r="B539" s="7"/>
      <c r="C539" s="5"/>
      <c r="D539" s="5"/>
      <c r="E539" s="9"/>
      <c r="F539" s="9"/>
      <c r="G539" s="10"/>
      <c r="H539" s="11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7"/>
      <c r="B540" s="7"/>
      <c r="C540" s="5"/>
      <c r="D540" s="5"/>
      <c r="E540" s="9"/>
      <c r="F540" s="9"/>
      <c r="G540" s="10"/>
      <c r="H540" s="11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7"/>
      <c r="B541" s="7"/>
      <c r="C541" s="5"/>
      <c r="D541" s="5"/>
      <c r="E541" s="9"/>
      <c r="F541" s="9"/>
      <c r="G541" s="10"/>
      <c r="H541" s="11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7"/>
      <c r="B542" s="7"/>
      <c r="C542" s="5"/>
      <c r="D542" s="5"/>
      <c r="E542" s="9"/>
      <c r="F542" s="9"/>
      <c r="G542" s="10"/>
      <c r="H542" s="11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7"/>
      <c r="B543" s="7"/>
      <c r="C543" s="5"/>
      <c r="D543" s="5"/>
      <c r="E543" s="9"/>
      <c r="F543" s="9"/>
      <c r="G543" s="10"/>
      <c r="H543" s="11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7"/>
      <c r="B544" s="7"/>
      <c r="C544" s="5"/>
      <c r="D544" s="5"/>
      <c r="E544" s="9"/>
      <c r="F544" s="9"/>
      <c r="G544" s="10"/>
      <c r="H544" s="11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7"/>
      <c r="B545" s="7"/>
      <c r="C545" s="5"/>
      <c r="D545" s="5"/>
      <c r="E545" s="9"/>
      <c r="F545" s="9"/>
      <c r="G545" s="10"/>
      <c r="H545" s="11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7"/>
      <c r="B546" s="7"/>
      <c r="C546" s="5"/>
      <c r="D546" s="5"/>
      <c r="E546" s="9"/>
      <c r="F546" s="9"/>
      <c r="G546" s="10"/>
      <c r="H546" s="11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7"/>
      <c r="B547" s="7"/>
      <c r="C547" s="5"/>
      <c r="D547" s="5"/>
      <c r="E547" s="9"/>
      <c r="F547" s="9"/>
      <c r="G547" s="10"/>
      <c r="H547" s="11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7"/>
      <c r="B548" s="7"/>
      <c r="C548" s="5"/>
      <c r="D548" s="5"/>
      <c r="E548" s="9"/>
      <c r="F548" s="9"/>
      <c r="G548" s="10"/>
      <c r="H548" s="11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7"/>
      <c r="B549" s="7"/>
      <c r="C549" s="5"/>
      <c r="D549" s="5"/>
      <c r="E549" s="9"/>
      <c r="F549" s="9"/>
      <c r="G549" s="10"/>
      <c r="H549" s="11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7"/>
      <c r="B550" s="7"/>
      <c r="C550" s="5"/>
      <c r="D550" s="5"/>
      <c r="E550" s="9"/>
      <c r="F550" s="9"/>
      <c r="G550" s="10"/>
      <c r="H550" s="11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7"/>
      <c r="B551" s="7"/>
      <c r="C551" s="5"/>
      <c r="D551" s="5"/>
      <c r="E551" s="9"/>
      <c r="F551" s="9"/>
      <c r="G551" s="10"/>
      <c r="H551" s="11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7"/>
      <c r="B552" s="7"/>
      <c r="C552" s="5"/>
      <c r="D552" s="5"/>
      <c r="E552" s="9"/>
      <c r="F552" s="9"/>
      <c r="G552" s="10"/>
      <c r="H552" s="11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7"/>
      <c r="B553" s="7"/>
      <c r="C553" s="5"/>
      <c r="D553" s="5"/>
      <c r="E553" s="9"/>
      <c r="F553" s="9"/>
      <c r="G553" s="10"/>
      <c r="H553" s="11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7"/>
      <c r="B554" s="7"/>
      <c r="C554" s="5"/>
      <c r="D554" s="5"/>
      <c r="E554" s="9"/>
      <c r="F554" s="9"/>
      <c r="G554" s="10"/>
      <c r="H554" s="11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7"/>
      <c r="B555" s="7"/>
      <c r="C555" s="5"/>
      <c r="D555" s="5"/>
      <c r="E555" s="9"/>
      <c r="F555" s="9"/>
      <c r="G555" s="10"/>
      <c r="H555" s="11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7"/>
      <c r="B556" s="7"/>
      <c r="C556" s="5"/>
      <c r="D556" s="5"/>
      <c r="E556" s="9"/>
      <c r="F556" s="9"/>
      <c r="G556" s="10"/>
      <c r="H556" s="11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7"/>
      <c r="B557" s="7"/>
      <c r="C557" s="5"/>
      <c r="D557" s="5"/>
      <c r="E557" s="9"/>
      <c r="F557" s="9"/>
      <c r="G557" s="10"/>
      <c r="H557" s="11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7"/>
      <c r="B558" s="7"/>
      <c r="C558" s="5"/>
      <c r="D558" s="5"/>
      <c r="E558" s="9"/>
      <c r="F558" s="9"/>
      <c r="G558" s="10"/>
      <c r="H558" s="11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7"/>
      <c r="B559" s="7"/>
      <c r="C559" s="5"/>
      <c r="D559" s="5"/>
      <c r="E559" s="9"/>
      <c r="F559" s="9"/>
      <c r="G559" s="10"/>
      <c r="H559" s="11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7"/>
      <c r="B560" s="7"/>
      <c r="C560" s="5"/>
      <c r="D560" s="5"/>
      <c r="E560" s="9"/>
      <c r="F560" s="9"/>
      <c r="G560" s="10"/>
      <c r="H560" s="11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7"/>
      <c r="B561" s="7"/>
      <c r="C561" s="5"/>
      <c r="D561" s="5"/>
      <c r="E561" s="9"/>
      <c r="F561" s="9"/>
      <c r="G561" s="10"/>
      <c r="H561" s="11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7"/>
      <c r="B562" s="7"/>
      <c r="C562" s="5"/>
      <c r="D562" s="5"/>
      <c r="E562" s="9"/>
      <c r="F562" s="9"/>
      <c r="G562" s="10"/>
      <c r="H562" s="11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7"/>
      <c r="B563" s="7"/>
      <c r="C563" s="5"/>
      <c r="D563" s="5"/>
      <c r="E563" s="9"/>
      <c r="F563" s="9"/>
      <c r="G563" s="10"/>
      <c r="H563" s="11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7"/>
      <c r="B564" s="7"/>
      <c r="C564" s="5"/>
      <c r="D564" s="5"/>
      <c r="E564" s="9"/>
      <c r="F564" s="9"/>
      <c r="G564" s="10"/>
      <c r="H564" s="11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7"/>
      <c r="B565" s="7"/>
      <c r="C565" s="5"/>
      <c r="D565" s="5"/>
      <c r="E565" s="9"/>
      <c r="F565" s="9"/>
      <c r="G565" s="10"/>
      <c r="H565" s="11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7"/>
      <c r="B566" s="7"/>
      <c r="C566" s="5"/>
      <c r="D566" s="5"/>
      <c r="E566" s="9"/>
      <c r="F566" s="9"/>
      <c r="G566" s="10"/>
      <c r="H566" s="11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7"/>
      <c r="B567" s="7"/>
      <c r="C567" s="5"/>
      <c r="D567" s="5"/>
      <c r="E567" s="9"/>
      <c r="F567" s="9"/>
      <c r="G567" s="10"/>
      <c r="H567" s="11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7"/>
      <c r="B568" s="7"/>
      <c r="C568" s="5"/>
      <c r="D568" s="5"/>
      <c r="E568" s="9"/>
      <c r="F568" s="9"/>
      <c r="G568" s="10"/>
      <c r="H568" s="11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7"/>
      <c r="B569" s="7"/>
      <c r="C569" s="5"/>
      <c r="D569" s="5"/>
      <c r="E569" s="9"/>
      <c r="F569" s="9"/>
      <c r="G569" s="10"/>
      <c r="H569" s="11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7"/>
      <c r="B570" s="7"/>
      <c r="C570" s="5"/>
      <c r="D570" s="5"/>
      <c r="E570" s="9"/>
      <c r="F570" s="9"/>
      <c r="G570" s="10"/>
      <c r="H570" s="11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7"/>
      <c r="B571" s="7"/>
      <c r="C571" s="5"/>
      <c r="D571" s="5"/>
      <c r="E571" s="9"/>
      <c r="F571" s="9"/>
      <c r="G571" s="10"/>
      <c r="H571" s="11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7"/>
      <c r="B572" s="7"/>
      <c r="C572" s="5"/>
      <c r="D572" s="5"/>
      <c r="E572" s="9"/>
      <c r="F572" s="9"/>
      <c r="G572" s="10"/>
      <c r="H572" s="11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7"/>
      <c r="B573" s="7"/>
      <c r="C573" s="5"/>
      <c r="D573" s="5"/>
      <c r="E573" s="9"/>
      <c r="F573" s="9"/>
      <c r="G573" s="10"/>
      <c r="H573" s="11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7"/>
      <c r="B574" s="7"/>
      <c r="C574" s="5"/>
      <c r="D574" s="5"/>
      <c r="E574" s="9"/>
      <c r="F574" s="9"/>
      <c r="G574" s="10"/>
      <c r="H574" s="11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7"/>
      <c r="B575" s="7"/>
      <c r="C575" s="5"/>
      <c r="D575" s="5"/>
      <c r="E575" s="9"/>
      <c r="F575" s="9"/>
      <c r="G575" s="10"/>
      <c r="H575" s="11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7"/>
      <c r="B576" s="7"/>
      <c r="C576" s="5"/>
      <c r="D576" s="5"/>
      <c r="E576" s="9"/>
      <c r="F576" s="9"/>
      <c r="G576" s="10"/>
      <c r="H576" s="11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7"/>
      <c r="B577" s="7"/>
      <c r="C577" s="5"/>
      <c r="D577" s="5"/>
      <c r="E577" s="9"/>
      <c r="F577" s="9"/>
      <c r="G577" s="10"/>
      <c r="H577" s="11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7"/>
      <c r="B578" s="7"/>
      <c r="C578" s="5"/>
      <c r="D578" s="5"/>
      <c r="E578" s="9"/>
      <c r="F578" s="9"/>
      <c r="G578" s="10"/>
      <c r="H578" s="11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7"/>
      <c r="B579" s="7"/>
      <c r="C579" s="5"/>
      <c r="D579" s="5"/>
      <c r="E579" s="9"/>
      <c r="F579" s="9"/>
      <c r="G579" s="10"/>
      <c r="H579" s="11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7"/>
      <c r="B580" s="7"/>
      <c r="C580" s="5"/>
      <c r="D580" s="5"/>
      <c r="E580" s="9"/>
      <c r="F580" s="9"/>
      <c r="G580" s="10"/>
      <c r="H580" s="11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7"/>
      <c r="B581" s="7"/>
      <c r="C581" s="5"/>
      <c r="D581" s="5"/>
      <c r="E581" s="9"/>
      <c r="F581" s="9"/>
      <c r="G581" s="10"/>
      <c r="H581" s="11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7"/>
      <c r="B582" s="7"/>
      <c r="C582" s="5"/>
      <c r="D582" s="5"/>
      <c r="E582" s="9"/>
      <c r="F582" s="9"/>
      <c r="G582" s="10"/>
      <c r="H582" s="11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7"/>
      <c r="B583" s="7"/>
      <c r="C583" s="5"/>
      <c r="D583" s="5"/>
      <c r="E583" s="9"/>
      <c r="F583" s="9"/>
      <c r="G583" s="10"/>
      <c r="H583" s="11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7"/>
      <c r="B584" s="7"/>
      <c r="C584" s="5"/>
      <c r="D584" s="5"/>
      <c r="E584" s="9"/>
      <c r="F584" s="9"/>
      <c r="G584" s="10"/>
      <c r="H584" s="11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7"/>
      <c r="B585" s="7"/>
      <c r="C585" s="5"/>
      <c r="D585" s="5"/>
      <c r="E585" s="9"/>
      <c r="F585" s="9"/>
      <c r="G585" s="10"/>
      <c r="H585" s="11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7"/>
      <c r="B586" s="7"/>
      <c r="C586" s="5"/>
      <c r="D586" s="5"/>
      <c r="E586" s="9"/>
      <c r="F586" s="9"/>
      <c r="G586" s="10"/>
      <c r="H586" s="11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7"/>
      <c r="B587" s="7"/>
      <c r="C587" s="5"/>
      <c r="D587" s="5"/>
      <c r="E587" s="9"/>
      <c r="F587" s="9"/>
      <c r="G587" s="10"/>
      <c r="H587" s="11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7"/>
      <c r="B588" s="7"/>
      <c r="C588" s="5"/>
      <c r="D588" s="5"/>
      <c r="E588" s="9"/>
      <c r="F588" s="9"/>
      <c r="G588" s="10"/>
      <c r="H588" s="11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7"/>
      <c r="B589" s="7"/>
      <c r="C589" s="5"/>
      <c r="D589" s="5"/>
      <c r="E589" s="9"/>
      <c r="F589" s="9"/>
      <c r="G589" s="10"/>
      <c r="H589" s="11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7"/>
      <c r="B590" s="7"/>
      <c r="C590" s="5"/>
      <c r="D590" s="5"/>
      <c r="E590" s="9"/>
      <c r="F590" s="9"/>
      <c r="G590" s="10"/>
      <c r="H590" s="11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7"/>
      <c r="B591" s="7"/>
      <c r="C591" s="5"/>
      <c r="D591" s="5"/>
      <c r="E591" s="9"/>
      <c r="F591" s="9"/>
      <c r="G591" s="10"/>
      <c r="H591" s="11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7"/>
      <c r="B592" s="7"/>
      <c r="C592" s="5"/>
      <c r="D592" s="5"/>
      <c r="E592" s="9"/>
      <c r="F592" s="9"/>
      <c r="G592" s="10"/>
      <c r="H592" s="11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7"/>
      <c r="B593" s="7"/>
      <c r="C593" s="5"/>
      <c r="D593" s="5"/>
      <c r="E593" s="9"/>
      <c r="F593" s="9"/>
      <c r="G593" s="10"/>
      <c r="H593" s="11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7"/>
      <c r="B594" s="7"/>
      <c r="C594" s="5"/>
      <c r="D594" s="5"/>
      <c r="E594" s="9"/>
      <c r="F594" s="9"/>
      <c r="G594" s="10"/>
      <c r="H594" s="11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7"/>
      <c r="B595" s="7"/>
      <c r="C595" s="5"/>
      <c r="D595" s="5"/>
      <c r="E595" s="9"/>
      <c r="F595" s="9"/>
      <c r="G595" s="10"/>
      <c r="H595" s="11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7"/>
      <c r="B596" s="7"/>
      <c r="C596" s="5"/>
      <c r="D596" s="5"/>
      <c r="E596" s="9"/>
      <c r="F596" s="9"/>
      <c r="G596" s="10"/>
      <c r="H596" s="11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7"/>
      <c r="B597" s="7"/>
      <c r="C597" s="5"/>
      <c r="D597" s="5"/>
      <c r="E597" s="9"/>
      <c r="F597" s="9"/>
      <c r="G597" s="10"/>
      <c r="H597" s="11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7"/>
      <c r="B598" s="7"/>
      <c r="C598" s="5"/>
      <c r="D598" s="5"/>
      <c r="E598" s="9"/>
      <c r="F598" s="9"/>
      <c r="G598" s="10"/>
      <c r="H598" s="11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7"/>
      <c r="B599" s="7"/>
      <c r="C599" s="5"/>
      <c r="D599" s="5"/>
      <c r="E599" s="9"/>
      <c r="F599" s="9"/>
      <c r="G599" s="10"/>
      <c r="H599" s="11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7"/>
      <c r="B600" s="7"/>
      <c r="C600" s="5"/>
      <c r="D600" s="5"/>
      <c r="E600" s="9"/>
      <c r="F600" s="9"/>
      <c r="G600" s="10"/>
      <c r="H600" s="11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7"/>
      <c r="B601" s="7"/>
      <c r="C601" s="5"/>
      <c r="D601" s="5"/>
      <c r="E601" s="9"/>
      <c r="F601" s="9"/>
      <c r="G601" s="10"/>
      <c r="H601" s="11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7"/>
      <c r="B602" s="7"/>
      <c r="C602" s="5"/>
      <c r="D602" s="5"/>
      <c r="E602" s="9"/>
      <c r="F602" s="9"/>
      <c r="G602" s="10"/>
      <c r="H602" s="11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7"/>
      <c r="B603" s="7"/>
      <c r="C603" s="5"/>
      <c r="D603" s="5"/>
      <c r="E603" s="9"/>
      <c r="F603" s="9"/>
      <c r="G603" s="10"/>
      <c r="H603" s="11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7"/>
      <c r="B604" s="7"/>
      <c r="C604" s="5"/>
      <c r="D604" s="5"/>
      <c r="E604" s="9"/>
      <c r="F604" s="9"/>
      <c r="G604" s="10"/>
      <c r="H604" s="11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7"/>
      <c r="B605" s="7"/>
      <c r="C605" s="5"/>
      <c r="D605" s="5"/>
      <c r="E605" s="9"/>
      <c r="F605" s="9"/>
      <c r="G605" s="10"/>
      <c r="H605" s="11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7"/>
      <c r="B606" s="7"/>
      <c r="C606" s="5"/>
      <c r="D606" s="5"/>
      <c r="E606" s="9"/>
      <c r="F606" s="9"/>
      <c r="G606" s="10"/>
      <c r="H606" s="11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7"/>
      <c r="B607" s="7"/>
      <c r="C607" s="5"/>
      <c r="D607" s="5"/>
      <c r="E607" s="9"/>
      <c r="F607" s="9"/>
      <c r="G607" s="10"/>
      <c r="H607" s="11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7"/>
      <c r="B608" s="7"/>
      <c r="C608" s="5"/>
      <c r="D608" s="5"/>
      <c r="E608" s="9"/>
      <c r="F608" s="9"/>
      <c r="G608" s="10"/>
      <c r="H608" s="11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7"/>
      <c r="B609" s="7"/>
      <c r="C609" s="5"/>
      <c r="D609" s="5"/>
      <c r="E609" s="9"/>
      <c r="F609" s="9"/>
      <c r="G609" s="10"/>
      <c r="H609" s="11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7"/>
      <c r="B610" s="7"/>
      <c r="C610" s="5"/>
      <c r="D610" s="5"/>
      <c r="E610" s="9"/>
      <c r="F610" s="9"/>
      <c r="G610" s="10"/>
      <c r="H610" s="11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7"/>
      <c r="B611" s="7"/>
      <c r="C611" s="5"/>
      <c r="D611" s="5"/>
      <c r="E611" s="9"/>
      <c r="F611" s="9"/>
      <c r="G611" s="10"/>
      <c r="H611" s="11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7"/>
      <c r="B612" s="7"/>
      <c r="C612" s="5"/>
      <c r="D612" s="5"/>
      <c r="E612" s="9"/>
      <c r="F612" s="9"/>
      <c r="G612" s="10"/>
      <c r="H612" s="11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7"/>
      <c r="B613" s="7"/>
      <c r="C613" s="5"/>
      <c r="D613" s="5"/>
      <c r="E613" s="9"/>
      <c r="F613" s="9"/>
      <c r="G613" s="10"/>
      <c r="H613" s="11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7"/>
      <c r="B614" s="7"/>
      <c r="C614" s="5"/>
      <c r="D614" s="5"/>
      <c r="E614" s="9"/>
      <c r="F614" s="9"/>
      <c r="G614" s="10"/>
      <c r="H614" s="11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7"/>
      <c r="B615" s="7"/>
      <c r="C615" s="5"/>
      <c r="D615" s="5"/>
      <c r="E615" s="9"/>
      <c r="F615" s="9"/>
      <c r="G615" s="10"/>
      <c r="H615" s="11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7"/>
      <c r="B616" s="7"/>
      <c r="C616" s="5"/>
      <c r="D616" s="5"/>
      <c r="E616" s="9"/>
      <c r="F616" s="9"/>
      <c r="G616" s="10"/>
      <c r="H616" s="11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7"/>
      <c r="B617" s="7"/>
      <c r="C617" s="5"/>
      <c r="D617" s="5"/>
      <c r="E617" s="9"/>
      <c r="F617" s="9"/>
      <c r="G617" s="10"/>
      <c r="H617" s="11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7"/>
      <c r="B618" s="7"/>
      <c r="C618" s="5"/>
      <c r="D618" s="5"/>
      <c r="E618" s="9"/>
      <c r="F618" s="9"/>
      <c r="G618" s="10"/>
      <c r="H618" s="11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7"/>
      <c r="B619" s="7"/>
      <c r="C619" s="5"/>
      <c r="D619" s="5"/>
      <c r="E619" s="9"/>
      <c r="F619" s="9"/>
      <c r="G619" s="10"/>
      <c r="H619" s="11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7"/>
      <c r="B620" s="7"/>
      <c r="C620" s="5"/>
      <c r="D620" s="5"/>
      <c r="E620" s="9"/>
      <c r="F620" s="9"/>
      <c r="G620" s="10"/>
      <c r="H620" s="11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7"/>
      <c r="B621" s="7"/>
      <c r="C621" s="5"/>
      <c r="D621" s="5"/>
      <c r="E621" s="9"/>
      <c r="F621" s="9"/>
      <c r="G621" s="10"/>
      <c r="H621" s="11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7"/>
      <c r="B622" s="7"/>
      <c r="C622" s="5"/>
      <c r="D622" s="5"/>
      <c r="E622" s="9"/>
      <c r="F622" s="9"/>
      <c r="G622" s="10"/>
      <c r="H622" s="11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7"/>
      <c r="B623" s="7"/>
      <c r="C623" s="5"/>
      <c r="D623" s="5"/>
      <c r="E623" s="9"/>
      <c r="F623" s="9"/>
      <c r="G623" s="10"/>
      <c r="H623" s="11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7"/>
      <c r="B624" s="7"/>
      <c r="C624" s="5"/>
      <c r="D624" s="5"/>
      <c r="E624" s="9"/>
      <c r="F624" s="9"/>
      <c r="G624" s="10"/>
      <c r="H624" s="11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7"/>
      <c r="B625" s="7"/>
      <c r="C625" s="5"/>
      <c r="D625" s="5"/>
      <c r="E625" s="9"/>
      <c r="F625" s="9"/>
      <c r="G625" s="10"/>
      <c r="H625" s="11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7"/>
      <c r="B626" s="7"/>
      <c r="C626" s="5"/>
      <c r="D626" s="5"/>
      <c r="E626" s="9"/>
      <c r="F626" s="9"/>
      <c r="G626" s="10"/>
      <c r="H626" s="11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7"/>
      <c r="B627" s="7"/>
      <c r="C627" s="5"/>
      <c r="D627" s="5"/>
      <c r="E627" s="9"/>
      <c r="F627" s="9"/>
      <c r="G627" s="10"/>
      <c r="H627" s="11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7"/>
      <c r="B628" s="7"/>
      <c r="C628" s="5"/>
      <c r="D628" s="5"/>
      <c r="E628" s="9"/>
      <c r="F628" s="9"/>
      <c r="G628" s="10"/>
      <c r="H628" s="11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7"/>
      <c r="B629" s="7"/>
      <c r="C629" s="5"/>
      <c r="D629" s="5"/>
      <c r="E629" s="9"/>
      <c r="F629" s="9"/>
      <c r="G629" s="10"/>
      <c r="H629" s="11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7"/>
      <c r="B630" s="7"/>
      <c r="C630" s="5"/>
      <c r="D630" s="5"/>
      <c r="E630" s="9"/>
      <c r="F630" s="9"/>
      <c r="G630" s="10"/>
      <c r="H630" s="11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7"/>
      <c r="B631" s="7"/>
      <c r="C631" s="5"/>
      <c r="D631" s="5"/>
      <c r="E631" s="9"/>
      <c r="F631" s="9"/>
      <c r="G631" s="10"/>
      <c r="H631" s="11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7"/>
      <c r="B632" s="7"/>
      <c r="C632" s="5"/>
      <c r="D632" s="5"/>
      <c r="E632" s="9"/>
      <c r="F632" s="9"/>
      <c r="G632" s="10"/>
      <c r="H632" s="11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7"/>
      <c r="B633" s="7"/>
      <c r="C633" s="5"/>
      <c r="D633" s="5"/>
      <c r="E633" s="9"/>
      <c r="F633" s="9"/>
      <c r="G633" s="10"/>
      <c r="H633" s="11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7"/>
      <c r="B634" s="7"/>
      <c r="C634" s="5"/>
      <c r="D634" s="5"/>
      <c r="E634" s="9"/>
      <c r="F634" s="9"/>
      <c r="G634" s="10"/>
      <c r="H634" s="11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7"/>
      <c r="B635" s="7"/>
      <c r="C635" s="5"/>
      <c r="D635" s="5"/>
      <c r="E635" s="9"/>
      <c r="F635" s="9"/>
      <c r="G635" s="10"/>
      <c r="H635" s="11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7"/>
      <c r="B636" s="7"/>
      <c r="C636" s="5"/>
      <c r="D636" s="5"/>
      <c r="E636" s="9"/>
      <c r="F636" s="9"/>
      <c r="G636" s="10"/>
      <c r="H636" s="11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7"/>
      <c r="B637" s="7"/>
      <c r="C637" s="5"/>
      <c r="D637" s="5"/>
      <c r="E637" s="9"/>
      <c r="F637" s="9"/>
      <c r="G637" s="10"/>
      <c r="H637" s="11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7"/>
      <c r="B638" s="7"/>
      <c r="C638" s="5"/>
      <c r="D638" s="5"/>
      <c r="E638" s="9"/>
      <c r="F638" s="9"/>
      <c r="G638" s="10"/>
      <c r="H638" s="11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7"/>
      <c r="B639" s="7"/>
      <c r="C639" s="5"/>
      <c r="D639" s="5"/>
      <c r="E639" s="9"/>
      <c r="F639" s="9"/>
      <c r="G639" s="10"/>
      <c r="H639" s="11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7"/>
      <c r="B640" s="7"/>
      <c r="C640" s="5"/>
      <c r="D640" s="5"/>
      <c r="E640" s="9"/>
      <c r="F640" s="9"/>
      <c r="G640" s="10"/>
      <c r="H640" s="11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7"/>
      <c r="B641" s="7"/>
      <c r="C641" s="5"/>
      <c r="D641" s="5"/>
      <c r="E641" s="9"/>
      <c r="F641" s="9"/>
      <c r="G641" s="10"/>
      <c r="H641" s="11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7"/>
      <c r="B642" s="7"/>
      <c r="C642" s="5"/>
      <c r="D642" s="5"/>
      <c r="E642" s="9"/>
      <c r="F642" s="9"/>
      <c r="G642" s="10"/>
      <c r="H642" s="11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7"/>
      <c r="B643" s="7"/>
      <c r="C643" s="5"/>
      <c r="D643" s="5"/>
      <c r="E643" s="9"/>
      <c r="F643" s="9"/>
      <c r="G643" s="10"/>
      <c r="H643" s="11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7"/>
      <c r="B644" s="7"/>
      <c r="C644" s="5"/>
      <c r="D644" s="5"/>
      <c r="E644" s="9"/>
      <c r="F644" s="9"/>
      <c r="G644" s="10"/>
      <c r="H644" s="11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7"/>
      <c r="B645" s="7"/>
      <c r="C645" s="5"/>
      <c r="D645" s="5"/>
      <c r="E645" s="9"/>
      <c r="F645" s="9"/>
      <c r="G645" s="10"/>
      <c r="H645" s="11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7"/>
      <c r="B646" s="7"/>
      <c r="C646" s="5"/>
      <c r="D646" s="5"/>
      <c r="E646" s="9"/>
      <c r="F646" s="9"/>
      <c r="G646" s="10"/>
      <c r="H646" s="11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7"/>
      <c r="B647" s="7"/>
      <c r="C647" s="5"/>
      <c r="D647" s="5"/>
      <c r="E647" s="9"/>
      <c r="F647" s="9"/>
      <c r="G647" s="10"/>
      <c r="H647" s="11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7"/>
      <c r="B648" s="7"/>
      <c r="C648" s="5"/>
      <c r="D648" s="5"/>
      <c r="E648" s="9"/>
      <c r="F648" s="9"/>
      <c r="G648" s="10"/>
      <c r="H648" s="11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7"/>
      <c r="B649" s="7"/>
      <c r="C649" s="5"/>
      <c r="D649" s="5"/>
      <c r="E649" s="9"/>
      <c r="F649" s="9"/>
      <c r="G649" s="10"/>
      <c r="H649" s="11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7"/>
      <c r="B650" s="7"/>
      <c r="C650" s="5"/>
      <c r="D650" s="5"/>
      <c r="E650" s="9"/>
      <c r="F650" s="9"/>
      <c r="G650" s="10"/>
      <c r="H650" s="11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7"/>
      <c r="B651" s="7"/>
      <c r="C651" s="5"/>
      <c r="D651" s="5"/>
      <c r="E651" s="9"/>
      <c r="F651" s="9"/>
      <c r="G651" s="10"/>
      <c r="H651" s="11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7"/>
      <c r="B652" s="7"/>
      <c r="C652" s="5"/>
      <c r="D652" s="5"/>
      <c r="E652" s="9"/>
      <c r="F652" s="9"/>
      <c r="G652" s="10"/>
      <c r="H652" s="11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7"/>
      <c r="B653" s="7"/>
      <c r="C653" s="5"/>
      <c r="D653" s="5"/>
      <c r="E653" s="9"/>
      <c r="F653" s="9"/>
      <c r="G653" s="10"/>
      <c r="H653" s="11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7"/>
      <c r="B654" s="7"/>
      <c r="C654" s="5"/>
      <c r="D654" s="5"/>
      <c r="E654" s="9"/>
      <c r="F654" s="9"/>
      <c r="G654" s="10"/>
      <c r="H654" s="11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7"/>
      <c r="B655" s="7"/>
      <c r="C655" s="5"/>
      <c r="D655" s="5"/>
      <c r="E655" s="9"/>
      <c r="F655" s="9"/>
      <c r="G655" s="10"/>
      <c r="H655" s="11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7"/>
      <c r="B656" s="7"/>
      <c r="C656" s="5"/>
      <c r="D656" s="5"/>
      <c r="E656" s="9"/>
      <c r="F656" s="9"/>
      <c r="G656" s="10"/>
      <c r="H656" s="11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7"/>
      <c r="B657" s="7"/>
      <c r="C657" s="5"/>
      <c r="D657" s="5"/>
      <c r="E657" s="9"/>
      <c r="F657" s="9"/>
      <c r="G657" s="10"/>
      <c r="H657" s="11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7"/>
      <c r="B658" s="7"/>
      <c r="C658" s="5"/>
      <c r="D658" s="5"/>
      <c r="E658" s="9"/>
      <c r="F658" s="9"/>
      <c r="G658" s="10"/>
      <c r="H658" s="11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7"/>
      <c r="B659" s="7"/>
      <c r="C659" s="5"/>
      <c r="D659" s="5"/>
      <c r="E659" s="9"/>
      <c r="F659" s="9"/>
      <c r="G659" s="10"/>
      <c r="H659" s="11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7"/>
      <c r="B660" s="7"/>
      <c r="C660" s="5"/>
      <c r="D660" s="5"/>
      <c r="E660" s="9"/>
      <c r="F660" s="9"/>
      <c r="G660" s="10"/>
      <c r="H660" s="11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7"/>
      <c r="B661" s="7"/>
      <c r="C661" s="5"/>
      <c r="D661" s="5"/>
      <c r="E661" s="9"/>
      <c r="F661" s="9"/>
      <c r="G661" s="10"/>
      <c r="H661" s="11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7"/>
      <c r="B662" s="7"/>
      <c r="C662" s="5"/>
      <c r="D662" s="5"/>
      <c r="E662" s="9"/>
      <c r="F662" s="9"/>
      <c r="G662" s="10"/>
      <c r="H662" s="11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7"/>
      <c r="B663" s="7"/>
      <c r="C663" s="5"/>
      <c r="D663" s="5"/>
      <c r="E663" s="9"/>
      <c r="F663" s="9"/>
      <c r="G663" s="10"/>
      <c r="H663" s="11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7"/>
      <c r="B664" s="7"/>
      <c r="C664" s="5"/>
      <c r="D664" s="5"/>
      <c r="E664" s="9"/>
      <c r="F664" s="9"/>
      <c r="G664" s="10"/>
      <c r="H664" s="11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7"/>
      <c r="B665" s="7"/>
      <c r="C665" s="5"/>
      <c r="D665" s="5"/>
      <c r="E665" s="9"/>
      <c r="F665" s="9"/>
      <c r="G665" s="10"/>
      <c r="H665" s="11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7"/>
      <c r="B666" s="7"/>
      <c r="C666" s="5"/>
      <c r="D666" s="5"/>
      <c r="E666" s="9"/>
      <c r="F666" s="9"/>
      <c r="G666" s="10"/>
      <c r="H666" s="11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7"/>
      <c r="B667" s="7"/>
      <c r="C667" s="5"/>
      <c r="D667" s="5"/>
      <c r="E667" s="9"/>
      <c r="F667" s="9"/>
      <c r="G667" s="10"/>
      <c r="H667" s="11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7"/>
      <c r="B668" s="7"/>
      <c r="C668" s="5"/>
      <c r="D668" s="5"/>
      <c r="E668" s="9"/>
      <c r="F668" s="9"/>
      <c r="G668" s="10"/>
      <c r="H668" s="11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7"/>
      <c r="B669" s="7"/>
      <c r="C669" s="5"/>
      <c r="D669" s="5"/>
      <c r="E669" s="9"/>
      <c r="F669" s="9"/>
      <c r="G669" s="10"/>
      <c r="H669" s="11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7"/>
      <c r="B670" s="7"/>
      <c r="C670" s="5"/>
      <c r="D670" s="5"/>
      <c r="E670" s="9"/>
      <c r="F670" s="9"/>
      <c r="G670" s="10"/>
      <c r="H670" s="11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7"/>
      <c r="B671" s="7"/>
      <c r="C671" s="5"/>
      <c r="D671" s="5"/>
      <c r="E671" s="9"/>
      <c r="F671" s="9"/>
      <c r="G671" s="10"/>
      <c r="H671" s="11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7"/>
      <c r="B672" s="7"/>
      <c r="C672" s="5"/>
      <c r="D672" s="5"/>
      <c r="E672" s="9"/>
      <c r="F672" s="9"/>
      <c r="G672" s="10"/>
      <c r="H672" s="11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7"/>
      <c r="B673" s="7"/>
      <c r="C673" s="5"/>
      <c r="D673" s="5"/>
      <c r="E673" s="9"/>
      <c r="F673" s="9"/>
      <c r="G673" s="10"/>
      <c r="H673" s="11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7"/>
      <c r="B674" s="7"/>
      <c r="C674" s="5"/>
      <c r="D674" s="5"/>
      <c r="E674" s="9"/>
      <c r="F674" s="9"/>
      <c r="G674" s="10"/>
      <c r="H674" s="11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7"/>
      <c r="B675" s="7"/>
      <c r="C675" s="5"/>
      <c r="D675" s="5"/>
      <c r="E675" s="9"/>
      <c r="F675" s="9"/>
      <c r="G675" s="10"/>
      <c r="H675" s="11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7"/>
      <c r="B676" s="7"/>
      <c r="C676" s="5"/>
      <c r="D676" s="5"/>
      <c r="E676" s="9"/>
      <c r="F676" s="9"/>
      <c r="G676" s="10"/>
      <c r="H676" s="11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7"/>
      <c r="B677" s="7"/>
      <c r="C677" s="5"/>
      <c r="D677" s="5"/>
      <c r="E677" s="9"/>
      <c r="F677" s="9"/>
      <c r="G677" s="10"/>
      <c r="H677" s="11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7"/>
      <c r="B678" s="7"/>
      <c r="C678" s="5"/>
      <c r="D678" s="5"/>
      <c r="E678" s="9"/>
      <c r="F678" s="9"/>
      <c r="G678" s="10"/>
      <c r="H678" s="11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7"/>
      <c r="B679" s="7"/>
      <c r="C679" s="5"/>
      <c r="D679" s="5"/>
      <c r="E679" s="9"/>
      <c r="F679" s="9"/>
      <c r="G679" s="10"/>
      <c r="H679" s="11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7"/>
      <c r="B680" s="7"/>
      <c r="C680" s="5"/>
      <c r="D680" s="5"/>
      <c r="E680" s="9"/>
      <c r="F680" s="9"/>
      <c r="G680" s="10"/>
      <c r="H680" s="11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7"/>
      <c r="B681" s="7"/>
      <c r="C681" s="5"/>
      <c r="D681" s="5"/>
      <c r="E681" s="9"/>
      <c r="F681" s="9"/>
      <c r="G681" s="10"/>
      <c r="H681" s="11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7"/>
      <c r="B682" s="7"/>
      <c r="C682" s="5"/>
      <c r="D682" s="5"/>
      <c r="E682" s="9"/>
      <c r="F682" s="9"/>
      <c r="G682" s="10"/>
      <c r="H682" s="11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7"/>
      <c r="B683" s="7"/>
      <c r="C683" s="5"/>
      <c r="D683" s="5"/>
      <c r="E683" s="9"/>
      <c r="F683" s="9"/>
      <c r="G683" s="10"/>
      <c r="H683" s="11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7"/>
      <c r="B684" s="7"/>
      <c r="C684" s="5"/>
      <c r="D684" s="5"/>
      <c r="E684" s="9"/>
      <c r="F684" s="9"/>
      <c r="G684" s="10"/>
      <c r="H684" s="11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7"/>
      <c r="B685" s="7"/>
      <c r="C685" s="5"/>
      <c r="D685" s="5"/>
      <c r="E685" s="9"/>
      <c r="F685" s="9"/>
      <c r="G685" s="10"/>
      <c r="H685" s="11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7"/>
      <c r="B686" s="7"/>
      <c r="C686" s="5"/>
      <c r="D686" s="5"/>
      <c r="E686" s="9"/>
      <c r="F686" s="9"/>
      <c r="G686" s="10"/>
      <c r="H686" s="11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7"/>
      <c r="B687" s="7"/>
      <c r="C687" s="5"/>
      <c r="D687" s="5"/>
      <c r="E687" s="9"/>
      <c r="F687" s="9"/>
      <c r="G687" s="10"/>
      <c r="H687" s="11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7"/>
      <c r="B688" s="7"/>
      <c r="C688" s="5"/>
      <c r="D688" s="5"/>
      <c r="E688" s="9"/>
      <c r="F688" s="9"/>
      <c r="G688" s="10"/>
      <c r="H688" s="11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7"/>
      <c r="B689" s="7"/>
      <c r="C689" s="5"/>
      <c r="D689" s="5"/>
      <c r="E689" s="9"/>
      <c r="F689" s="9"/>
      <c r="G689" s="10"/>
      <c r="H689" s="11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7"/>
      <c r="B690" s="7"/>
      <c r="C690" s="5"/>
      <c r="D690" s="5"/>
      <c r="E690" s="9"/>
      <c r="F690" s="9"/>
      <c r="G690" s="10"/>
      <c r="H690" s="11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7"/>
      <c r="B691" s="7"/>
      <c r="C691" s="5"/>
      <c r="D691" s="5"/>
      <c r="E691" s="9"/>
      <c r="F691" s="9"/>
      <c r="G691" s="10"/>
      <c r="H691" s="11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7"/>
      <c r="B692" s="7"/>
      <c r="C692" s="5"/>
      <c r="D692" s="5"/>
      <c r="E692" s="9"/>
      <c r="F692" s="9"/>
      <c r="G692" s="10"/>
      <c r="H692" s="11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7"/>
      <c r="B693" s="7"/>
      <c r="C693" s="5"/>
      <c r="D693" s="5"/>
      <c r="E693" s="9"/>
      <c r="F693" s="9"/>
      <c r="G693" s="10"/>
      <c r="H693" s="11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7"/>
      <c r="B694" s="7"/>
      <c r="C694" s="5"/>
      <c r="D694" s="5"/>
      <c r="E694" s="9"/>
      <c r="F694" s="9"/>
      <c r="G694" s="10"/>
      <c r="H694" s="11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7"/>
      <c r="B695" s="7"/>
      <c r="C695" s="5"/>
      <c r="D695" s="5"/>
      <c r="E695" s="9"/>
      <c r="F695" s="9"/>
      <c r="G695" s="10"/>
      <c r="H695" s="11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7"/>
      <c r="B696" s="7"/>
      <c r="C696" s="5"/>
      <c r="D696" s="5"/>
      <c r="E696" s="9"/>
      <c r="F696" s="9"/>
      <c r="G696" s="10"/>
      <c r="H696" s="11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7"/>
      <c r="B697" s="7"/>
      <c r="C697" s="5"/>
      <c r="D697" s="5"/>
      <c r="E697" s="9"/>
      <c r="F697" s="9"/>
      <c r="G697" s="10"/>
      <c r="H697" s="11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7"/>
      <c r="B698" s="7"/>
      <c r="C698" s="5"/>
      <c r="D698" s="5"/>
      <c r="E698" s="9"/>
      <c r="F698" s="9"/>
      <c r="G698" s="10"/>
      <c r="H698" s="11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7"/>
      <c r="B699" s="7"/>
      <c r="C699" s="5"/>
      <c r="D699" s="5"/>
      <c r="E699" s="9"/>
      <c r="F699" s="9"/>
      <c r="G699" s="10"/>
      <c r="H699" s="11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7"/>
      <c r="B700" s="7"/>
      <c r="C700" s="5"/>
      <c r="D700" s="5"/>
      <c r="E700" s="9"/>
      <c r="F700" s="9"/>
      <c r="G700" s="10"/>
      <c r="H700" s="11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7"/>
      <c r="B701" s="7"/>
      <c r="C701" s="5"/>
      <c r="D701" s="5"/>
      <c r="E701" s="9"/>
      <c r="F701" s="9"/>
      <c r="G701" s="10"/>
      <c r="H701" s="11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7"/>
      <c r="B702" s="7"/>
      <c r="C702" s="5"/>
      <c r="D702" s="5"/>
      <c r="E702" s="9"/>
      <c r="F702" s="9"/>
      <c r="G702" s="10"/>
      <c r="H702" s="11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7"/>
      <c r="B703" s="7"/>
      <c r="C703" s="5"/>
      <c r="D703" s="5"/>
      <c r="E703" s="9"/>
      <c r="F703" s="9"/>
      <c r="G703" s="10"/>
      <c r="H703" s="11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7"/>
      <c r="B704" s="7"/>
      <c r="C704" s="5"/>
      <c r="D704" s="5"/>
      <c r="E704" s="9"/>
      <c r="F704" s="9"/>
      <c r="G704" s="10"/>
      <c r="H704" s="11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7"/>
      <c r="B705" s="7"/>
      <c r="C705" s="5"/>
      <c r="D705" s="5"/>
      <c r="E705" s="9"/>
      <c r="F705" s="9"/>
      <c r="G705" s="10"/>
      <c r="H705" s="11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7"/>
      <c r="B706" s="7"/>
      <c r="C706" s="5"/>
      <c r="D706" s="5"/>
      <c r="E706" s="9"/>
      <c r="F706" s="9"/>
      <c r="G706" s="10"/>
      <c r="H706" s="11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7"/>
      <c r="B707" s="7"/>
      <c r="C707" s="5"/>
      <c r="D707" s="5"/>
      <c r="E707" s="9"/>
      <c r="F707" s="9"/>
      <c r="G707" s="10"/>
      <c r="H707" s="11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7"/>
      <c r="B708" s="7"/>
      <c r="C708" s="5"/>
      <c r="D708" s="5"/>
      <c r="E708" s="9"/>
      <c r="F708" s="9"/>
      <c r="G708" s="10"/>
      <c r="H708" s="11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7"/>
      <c r="B709" s="7"/>
      <c r="C709" s="5"/>
      <c r="D709" s="5"/>
      <c r="E709" s="9"/>
      <c r="F709" s="9"/>
      <c r="G709" s="10"/>
      <c r="H709" s="11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7"/>
      <c r="B710" s="7"/>
      <c r="C710" s="5"/>
      <c r="D710" s="5"/>
      <c r="E710" s="9"/>
      <c r="F710" s="9"/>
      <c r="G710" s="10"/>
      <c r="H710" s="11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7"/>
      <c r="B711" s="7"/>
      <c r="C711" s="5"/>
      <c r="D711" s="5"/>
      <c r="E711" s="9"/>
      <c r="F711" s="9"/>
      <c r="G711" s="10"/>
      <c r="H711" s="11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7"/>
      <c r="B712" s="7"/>
      <c r="C712" s="5"/>
      <c r="D712" s="5"/>
      <c r="E712" s="9"/>
      <c r="F712" s="9"/>
      <c r="G712" s="10"/>
      <c r="H712" s="11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7"/>
      <c r="B713" s="7"/>
      <c r="C713" s="5"/>
      <c r="D713" s="5"/>
      <c r="E713" s="9"/>
      <c r="F713" s="9"/>
      <c r="G713" s="10"/>
      <c r="H713" s="11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7"/>
      <c r="B714" s="7"/>
      <c r="C714" s="5"/>
      <c r="D714" s="5"/>
      <c r="E714" s="9"/>
      <c r="F714" s="9"/>
      <c r="G714" s="10"/>
      <c r="H714" s="11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7"/>
      <c r="B715" s="7"/>
      <c r="C715" s="5"/>
      <c r="D715" s="5"/>
      <c r="E715" s="9"/>
      <c r="F715" s="9"/>
      <c r="G715" s="10"/>
      <c r="H715" s="11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7"/>
      <c r="B716" s="7"/>
      <c r="C716" s="5"/>
      <c r="D716" s="5"/>
      <c r="E716" s="9"/>
      <c r="F716" s="9"/>
      <c r="G716" s="10"/>
      <c r="H716" s="11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7"/>
      <c r="B717" s="7"/>
      <c r="C717" s="5"/>
      <c r="D717" s="5"/>
      <c r="E717" s="9"/>
      <c r="F717" s="9"/>
      <c r="G717" s="10"/>
      <c r="H717" s="11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7"/>
      <c r="B718" s="7"/>
      <c r="C718" s="5"/>
      <c r="D718" s="5"/>
      <c r="E718" s="9"/>
      <c r="F718" s="9"/>
      <c r="G718" s="10"/>
      <c r="H718" s="11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7"/>
      <c r="B719" s="7"/>
      <c r="C719" s="5"/>
      <c r="D719" s="5"/>
      <c r="E719" s="9"/>
      <c r="F719" s="9"/>
      <c r="G719" s="10"/>
      <c r="H719" s="11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7"/>
      <c r="B720" s="7"/>
      <c r="C720" s="5"/>
      <c r="D720" s="5"/>
      <c r="E720" s="9"/>
      <c r="F720" s="9"/>
      <c r="G720" s="10"/>
      <c r="H720" s="11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7"/>
      <c r="B721" s="7"/>
      <c r="C721" s="5"/>
      <c r="D721" s="5"/>
      <c r="E721" s="9"/>
      <c r="F721" s="9"/>
      <c r="G721" s="10"/>
      <c r="H721" s="11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7"/>
      <c r="B722" s="7"/>
      <c r="C722" s="5"/>
      <c r="D722" s="5"/>
      <c r="E722" s="9"/>
      <c r="F722" s="9"/>
      <c r="G722" s="10"/>
      <c r="H722" s="11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7"/>
      <c r="B723" s="7"/>
      <c r="C723" s="5"/>
      <c r="D723" s="5"/>
      <c r="E723" s="9"/>
      <c r="F723" s="9"/>
      <c r="G723" s="10"/>
      <c r="H723" s="11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7"/>
      <c r="B724" s="7"/>
      <c r="C724" s="5"/>
      <c r="D724" s="5"/>
      <c r="E724" s="9"/>
      <c r="F724" s="9"/>
      <c r="G724" s="10"/>
      <c r="H724" s="11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7"/>
      <c r="B725" s="7"/>
      <c r="C725" s="5"/>
      <c r="D725" s="5"/>
      <c r="E725" s="9"/>
      <c r="F725" s="9"/>
      <c r="G725" s="10"/>
      <c r="H725" s="11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7"/>
      <c r="B726" s="7"/>
      <c r="C726" s="5"/>
      <c r="D726" s="5"/>
      <c r="E726" s="9"/>
      <c r="F726" s="9"/>
      <c r="G726" s="10"/>
      <c r="H726" s="11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7"/>
      <c r="B727" s="7"/>
      <c r="C727" s="5"/>
      <c r="D727" s="5"/>
      <c r="E727" s="9"/>
      <c r="F727" s="9"/>
      <c r="G727" s="10"/>
      <c r="H727" s="11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7"/>
      <c r="B728" s="7"/>
      <c r="C728" s="5"/>
      <c r="D728" s="5"/>
      <c r="E728" s="9"/>
      <c r="F728" s="9"/>
      <c r="G728" s="10"/>
      <c r="H728" s="11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7"/>
      <c r="B729" s="7"/>
      <c r="C729" s="5"/>
      <c r="D729" s="5"/>
      <c r="E729" s="9"/>
      <c r="F729" s="9"/>
      <c r="G729" s="10"/>
      <c r="H729" s="11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7"/>
      <c r="B730" s="7"/>
      <c r="C730" s="5"/>
      <c r="D730" s="5"/>
      <c r="E730" s="9"/>
      <c r="F730" s="9"/>
      <c r="G730" s="10"/>
      <c r="H730" s="11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7"/>
      <c r="B731" s="7"/>
      <c r="C731" s="5"/>
      <c r="D731" s="5"/>
      <c r="E731" s="9"/>
      <c r="F731" s="9"/>
      <c r="G731" s="10"/>
      <c r="H731" s="11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7"/>
      <c r="B732" s="7"/>
      <c r="C732" s="5"/>
      <c r="D732" s="5"/>
      <c r="E732" s="9"/>
      <c r="F732" s="9"/>
      <c r="G732" s="10"/>
      <c r="H732" s="11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7"/>
      <c r="B733" s="7"/>
      <c r="C733" s="5"/>
      <c r="D733" s="5"/>
      <c r="E733" s="9"/>
      <c r="F733" s="9"/>
      <c r="G733" s="10"/>
      <c r="H733" s="11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7"/>
      <c r="B734" s="7"/>
      <c r="C734" s="5"/>
      <c r="D734" s="5"/>
      <c r="E734" s="9"/>
      <c r="F734" s="9"/>
      <c r="G734" s="10"/>
      <c r="H734" s="11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7"/>
      <c r="B735" s="7"/>
      <c r="C735" s="5"/>
      <c r="D735" s="5"/>
      <c r="E735" s="9"/>
      <c r="F735" s="9"/>
      <c r="G735" s="10"/>
      <c r="H735" s="11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7"/>
      <c r="B736" s="7"/>
      <c r="C736" s="5"/>
      <c r="D736" s="5"/>
      <c r="E736" s="9"/>
      <c r="F736" s="9"/>
      <c r="G736" s="10"/>
      <c r="H736" s="11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7"/>
      <c r="B737" s="7"/>
      <c r="C737" s="5"/>
      <c r="D737" s="5"/>
      <c r="E737" s="9"/>
      <c r="F737" s="9"/>
      <c r="G737" s="10"/>
      <c r="H737" s="11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7"/>
      <c r="B738" s="7"/>
      <c r="C738" s="5"/>
      <c r="D738" s="5"/>
      <c r="E738" s="9"/>
      <c r="F738" s="9"/>
      <c r="G738" s="10"/>
      <c r="H738" s="11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7"/>
      <c r="B739" s="7"/>
      <c r="C739" s="5"/>
      <c r="D739" s="5"/>
      <c r="E739" s="9"/>
      <c r="F739" s="9"/>
      <c r="G739" s="10"/>
      <c r="H739" s="11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7"/>
      <c r="B740" s="7"/>
      <c r="C740" s="5"/>
      <c r="D740" s="5"/>
      <c r="E740" s="9"/>
      <c r="F740" s="9"/>
      <c r="G740" s="10"/>
      <c r="H740" s="11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7"/>
      <c r="B741" s="7"/>
      <c r="C741" s="5"/>
      <c r="D741" s="5"/>
      <c r="E741" s="9"/>
      <c r="F741" s="9"/>
      <c r="G741" s="10"/>
      <c r="H741" s="11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7"/>
      <c r="B742" s="7"/>
      <c r="C742" s="5"/>
      <c r="D742" s="5"/>
      <c r="E742" s="9"/>
      <c r="F742" s="9"/>
      <c r="G742" s="10"/>
      <c r="H742" s="11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7"/>
      <c r="B743" s="7"/>
      <c r="C743" s="5"/>
      <c r="D743" s="5"/>
      <c r="E743" s="9"/>
      <c r="F743" s="9"/>
      <c r="G743" s="10"/>
      <c r="H743" s="11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7"/>
      <c r="B744" s="7"/>
      <c r="C744" s="5"/>
      <c r="D744" s="5"/>
      <c r="E744" s="9"/>
      <c r="F744" s="9"/>
      <c r="G744" s="10"/>
      <c r="H744" s="11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7"/>
      <c r="B745" s="7"/>
      <c r="C745" s="5"/>
      <c r="D745" s="5"/>
      <c r="E745" s="9"/>
      <c r="F745" s="9"/>
      <c r="G745" s="10"/>
      <c r="H745" s="11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7"/>
      <c r="B746" s="7"/>
      <c r="C746" s="5"/>
      <c r="D746" s="5"/>
      <c r="E746" s="9"/>
      <c r="F746" s="9"/>
      <c r="G746" s="10"/>
      <c r="H746" s="11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7"/>
      <c r="B747" s="7"/>
      <c r="C747" s="5"/>
      <c r="D747" s="5"/>
      <c r="E747" s="9"/>
      <c r="F747" s="9"/>
      <c r="G747" s="10"/>
      <c r="H747" s="11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7"/>
      <c r="B748" s="7"/>
      <c r="C748" s="5"/>
      <c r="D748" s="5"/>
      <c r="E748" s="9"/>
      <c r="F748" s="9"/>
      <c r="G748" s="10"/>
      <c r="H748" s="11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7"/>
      <c r="B749" s="7"/>
      <c r="C749" s="5"/>
      <c r="D749" s="5"/>
      <c r="E749" s="9"/>
      <c r="F749" s="9"/>
      <c r="G749" s="10"/>
      <c r="H749" s="11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7"/>
      <c r="B750" s="7"/>
      <c r="C750" s="5"/>
      <c r="D750" s="5"/>
      <c r="E750" s="9"/>
      <c r="F750" s="9"/>
      <c r="G750" s="10"/>
      <c r="H750" s="11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7"/>
      <c r="B751" s="7"/>
      <c r="C751" s="5"/>
      <c r="D751" s="5"/>
      <c r="E751" s="9"/>
      <c r="F751" s="9"/>
      <c r="G751" s="10"/>
      <c r="H751" s="11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7"/>
      <c r="B752" s="7"/>
      <c r="C752" s="5"/>
      <c r="D752" s="5"/>
      <c r="E752" s="9"/>
      <c r="F752" s="9"/>
      <c r="G752" s="10"/>
      <c r="H752" s="11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7"/>
      <c r="B753" s="7"/>
      <c r="C753" s="5"/>
      <c r="D753" s="5"/>
      <c r="E753" s="9"/>
      <c r="F753" s="9"/>
      <c r="G753" s="10"/>
      <c r="H753" s="11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7"/>
      <c r="B754" s="7"/>
      <c r="C754" s="5"/>
      <c r="D754" s="5"/>
      <c r="E754" s="9"/>
      <c r="F754" s="9"/>
      <c r="G754" s="10"/>
      <c r="H754" s="11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7"/>
      <c r="B755" s="7"/>
      <c r="C755" s="5"/>
      <c r="D755" s="5"/>
      <c r="E755" s="9"/>
      <c r="F755" s="9"/>
      <c r="G755" s="10"/>
      <c r="H755" s="11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7"/>
      <c r="B756" s="7"/>
      <c r="C756" s="5"/>
      <c r="D756" s="5"/>
      <c r="E756" s="9"/>
      <c r="F756" s="9"/>
      <c r="G756" s="10"/>
      <c r="H756" s="11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7"/>
      <c r="B757" s="7"/>
      <c r="C757" s="5"/>
      <c r="D757" s="5"/>
      <c r="E757" s="9"/>
      <c r="F757" s="9"/>
      <c r="G757" s="10"/>
      <c r="H757" s="11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7"/>
      <c r="B758" s="7"/>
      <c r="C758" s="5"/>
      <c r="D758" s="5"/>
      <c r="E758" s="9"/>
      <c r="F758" s="9"/>
      <c r="G758" s="10"/>
      <c r="H758" s="11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7"/>
      <c r="B759" s="7"/>
      <c r="C759" s="5"/>
      <c r="D759" s="5"/>
      <c r="E759" s="9"/>
      <c r="F759" s="9"/>
      <c r="G759" s="10"/>
      <c r="H759" s="11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7"/>
      <c r="B760" s="7"/>
      <c r="C760" s="5"/>
      <c r="D760" s="5"/>
      <c r="E760" s="9"/>
      <c r="F760" s="9"/>
      <c r="G760" s="10"/>
      <c r="H760" s="11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7"/>
      <c r="B761" s="7"/>
      <c r="C761" s="5"/>
      <c r="D761" s="5"/>
      <c r="E761" s="9"/>
      <c r="F761" s="9"/>
      <c r="G761" s="10"/>
      <c r="H761" s="11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7"/>
      <c r="B762" s="7"/>
      <c r="C762" s="5"/>
      <c r="D762" s="5"/>
      <c r="E762" s="9"/>
      <c r="F762" s="9"/>
      <c r="G762" s="10"/>
      <c r="H762" s="11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7"/>
      <c r="B763" s="7"/>
      <c r="C763" s="5"/>
      <c r="D763" s="5"/>
      <c r="E763" s="9"/>
      <c r="F763" s="9"/>
      <c r="G763" s="10"/>
      <c r="H763" s="11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7"/>
      <c r="B764" s="7"/>
      <c r="C764" s="5"/>
      <c r="D764" s="5"/>
      <c r="E764" s="9"/>
      <c r="F764" s="9"/>
      <c r="G764" s="10"/>
      <c r="H764" s="11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7"/>
      <c r="B765" s="7"/>
      <c r="C765" s="5"/>
      <c r="D765" s="5"/>
      <c r="E765" s="9"/>
      <c r="F765" s="9"/>
      <c r="G765" s="10"/>
      <c r="H765" s="11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7"/>
      <c r="B766" s="7"/>
      <c r="C766" s="5"/>
      <c r="D766" s="5"/>
      <c r="E766" s="9"/>
      <c r="F766" s="9"/>
      <c r="G766" s="10"/>
      <c r="H766" s="11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7"/>
      <c r="B767" s="7"/>
      <c r="C767" s="5"/>
      <c r="D767" s="5"/>
      <c r="E767" s="9"/>
      <c r="F767" s="9"/>
      <c r="G767" s="10"/>
      <c r="H767" s="11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7"/>
      <c r="B768" s="7"/>
      <c r="C768" s="5"/>
      <c r="D768" s="5"/>
      <c r="E768" s="9"/>
      <c r="F768" s="9"/>
      <c r="G768" s="10"/>
      <c r="H768" s="11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7"/>
      <c r="B769" s="7"/>
      <c r="C769" s="5"/>
      <c r="D769" s="5"/>
      <c r="E769" s="9"/>
      <c r="F769" s="9"/>
      <c r="G769" s="10"/>
      <c r="H769" s="11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7"/>
      <c r="B770" s="7"/>
      <c r="C770" s="5"/>
      <c r="D770" s="5"/>
      <c r="E770" s="9"/>
      <c r="F770" s="9"/>
      <c r="G770" s="10"/>
      <c r="H770" s="11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7"/>
      <c r="B771" s="7"/>
      <c r="C771" s="5"/>
      <c r="D771" s="5"/>
      <c r="E771" s="9"/>
      <c r="F771" s="9"/>
      <c r="G771" s="10"/>
      <c r="H771" s="11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7"/>
      <c r="B772" s="7"/>
      <c r="C772" s="5"/>
      <c r="D772" s="5"/>
      <c r="E772" s="9"/>
      <c r="F772" s="9"/>
      <c r="G772" s="10"/>
      <c r="H772" s="11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7"/>
      <c r="B773" s="7"/>
      <c r="C773" s="5"/>
      <c r="D773" s="5"/>
      <c r="E773" s="9"/>
      <c r="F773" s="9"/>
      <c r="G773" s="10"/>
      <c r="H773" s="11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7"/>
      <c r="B774" s="7"/>
      <c r="C774" s="5"/>
      <c r="D774" s="5"/>
      <c r="E774" s="9"/>
      <c r="F774" s="9"/>
      <c r="G774" s="10"/>
      <c r="H774" s="11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7"/>
      <c r="B775" s="7"/>
      <c r="C775" s="5"/>
      <c r="D775" s="5"/>
      <c r="E775" s="9"/>
      <c r="F775" s="9"/>
      <c r="G775" s="10"/>
      <c r="H775" s="11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7"/>
      <c r="B776" s="7"/>
      <c r="C776" s="5"/>
      <c r="D776" s="5"/>
      <c r="E776" s="9"/>
      <c r="F776" s="9"/>
      <c r="G776" s="10"/>
      <c r="H776" s="11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7"/>
      <c r="B777" s="7"/>
      <c r="C777" s="5"/>
      <c r="D777" s="5"/>
      <c r="E777" s="9"/>
      <c r="F777" s="9"/>
      <c r="G777" s="10"/>
      <c r="H777" s="11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7"/>
      <c r="B778" s="7"/>
      <c r="C778" s="5"/>
      <c r="D778" s="5"/>
      <c r="E778" s="9"/>
      <c r="F778" s="9"/>
      <c r="G778" s="10"/>
      <c r="H778" s="11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7"/>
      <c r="B779" s="7"/>
      <c r="C779" s="5"/>
      <c r="D779" s="5"/>
      <c r="E779" s="9"/>
      <c r="F779" s="9"/>
      <c r="G779" s="10"/>
      <c r="H779" s="11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7"/>
      <c r="B780" s="7"/>
      <c r="C780" s="5"/>
      <c r="D780" s="5"/>
      <c r="E780" s="9"/>
      <c r="F780" s="9"/>
      <c r="G780" s="10"/>
      <c r="H780" s="11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7"/>
      <c r="B781" s="7"/>
      <c r="C781" s="5"/>
      <c r="D781" s="5"/>
      <c r="E781" s="9"/>
      <c r="F781" s="9"/>
      <c r="G781" s="10"/>
      <c r="H781" s="11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7"/>
      <c r="B782" s="7"/>
      <c r="C782" s="5"/>
      <c r="D782" s="5"/>
      <c r="E782" s="9"/>
      <c r="F782" s="9"/>
      <c r="G782" s="10"/>
      <c r="H782" s="11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7"/>
      <c r="B783" s="7"/>
      <c r="C783" s="5"/>
      <c r="D783" s="5"/>
      <c r="E783" s="9"/>
      <c r="F783" s="9"/>
      <c r="G783" s="10"/>
      <c r="H783" s="11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7"/>
      <c r="B784" s="7"/>
      <c r="C784" s="5"/>
      <c r="D784" s="5"/>
      <c r="E784" s="9"/>
      <c r="F784" s="9"/>
      <c r="G784" s="10"/>
      <c r="H784" s="11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7"/>
      <c r="B785" s="7"/>
      <c r="C785" s="5"/>
      <c r="D785" s="5"/>
      <c r="E785" s="9"/>
      <c r="F785" s="9"/>
      <c r="G785" s="10"/>
      <c r="H785" s="11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7"/>
      <c r="B786" s="7"/>
      <c r="C786" s="5"/>
      <c r="D786" s="5"/>
      <c r="E786" s="9"/>
      <c r="F786" s="9"/>
      <c r="G786" s="10"/>
      <c r="H786" s="11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7"/>
      <c r="B787" s="7"/>
      <c r="C787" s="5"/>
      <c r="D787" s="5"/>
      <c r="E787" s="9"/>
      <c r="F787" s="9"/>
      <c r="G787" s="10"/>
      <c r="H787" s="11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7"/>
      <c r="B788" s="7"/>
      <c r="C788" s="5"/>
      <c r="D788" s="5"/>
      <c r="E788" s="9"/>
      <c r="F788" s="9"/>
      <c r="G788" s="10"/>
      <c r="H788" s="11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7"/>
      <c r="B789" s="7"/>
      <c r="C789" s="5"/>
      <c r="D789" s="5"/>
      <c r="E789" s="9"/>
      <c r="F789" s="9"/>
      <c r="G789" s="10"/>
      <c r="H789" s="11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7"/>
      <c r="B790" s="7"/>
      <c r="C790" s="5"/>
      <c r="D790" s="5"/>
      <c r="E790" s="9"/>
      <c r="F790" s="9"/>
      <c r="G790" s="10"/>
      <c r="H790" s="11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7"/>
      <c r="B791" s="7"/>
      <c r="C791" s="5"/>
      <c r="D791" s="5"/>
      <c r="E791" s="9"/>
      <c r="F791" s="9"/>
      <c r="G791" s="10"/>
      <c r="H791" s="11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7"/>
      <c r="B792" s="7"/>
      <c r="C792" s="5"/>
      <c r="D792" s="5"/>
      <c r="E792" s="9"/>
      <c r="F792" s="9"/>
      <c r="G792" s="10"/>
      <c r="H792" s="11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7"/>
      <c r="B793" s="7"/>
      <c r="C793" s="5"/>
      <c r="D793" s="5"/>
      <c r="E793" s="9"/>
      <c r="F793" s="9"/>
      <c r="G793" s="10"/>
      <c r="H793" s="11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7"/>
      <c r="B794" s="7"/>
      <c r="C794" s="5"/>
      <c r="D794" s="5"/>
      <c r="E794" s="9"/>
      <c r="F794" s="9"/>
      <c r="G794" s="10"/>
      <c r="H794" s="11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7"/>
      <c r="B795" s="7"/>
      <c r="C795" s="5"/>
      <c r="D795" s="5"/>
      <c r="E795" s="9"/>
      <c r="F795" s="9"/>
      <c r="G795" s="10"/>
      <c r="H795" s="11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7"/>
      <c r="B796" s="7"/>
      <c r="C796" s="5"/>
      <c r="D796" s="5"/>
      <c r="E796" s="9"/>
      <c r="F796" s="9"/>
      <c r="G796" s="10"/>
      <c r="H796" s="11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7"/>
      <c r="B797" s="7"/>
      <c r="C797" s="5"/>
      <c r="D797" s="5"/>
      <c r="E797" s="9"/>
      <c r="F797" s="9"/>
      <c r="G797" s="10"/>
      <c r="H797" s="11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7"/>
      <c r="B798" s="7"/>
      <c r="C798" s="5"/>
      <c r="D798" s="5"/>
      <c r="E798" s="9"/>
      <c r="F798" s="9"/>
      <c r="G798" s="10"/>
      <c r="H798" s="11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7"/>
      <c r="B799" s="7"/>
      <c r="C799" s="5"/>
      <c r="D799" s="5"/>
      <c r="E799" s="9"/>
      <c r="F799" s="9"/>
      <c r="G799" s="10"/>
      <c r="H799" s="11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7"/>
      <c r="B800" s="7"/>
      <c r="C800" s="5"/>
      <c r="D800" s="5"/>
      <c r="E800" s="9"/>
      <c r="F800" s="9"/>
      <c r="G800" s="10"/>
      <c r="H800" s="11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7"/>
      <c r="B801" s="7"/>
      <c r="C801" s="5"/>
      <c r="D801" s="5"/>
      <c r="E801" s="9"/>
      <c r="F801" s="9"/>
      <c r="G801" s="10"/>
      <c r="H801" s="11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7"/>
      <c r="B802" s="7"/>
      <c r="C802" s="5"/>
      <c r="D802" s="5"/>
      <c r="E802" s="9"/>
      <c r="F802" s="9"/>
      <c r="G802" s="10"/>
      <c r="H802" s="11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7"/>
      <c r="B803" s="7"/>
      <c r="C803" s="5"/>
      <c r="D803" s="5"/>
      <c r="E803" s="9"/>
      <c r="F803" s="9"/>
      <c r="G803" s="10"/>
      <c r="H803" s="11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7"/>
      <c r="B804" s="7"/>
      <c r="C804" s="5"/>
      <c r="D804" s="5"/>
      <c r="E804" s="9"/>
      <c r="F804" s="9"/>
      <c r="G804" s="10"/>
      <c r="H804" s="11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7"/>
      <c r="B805" s="7"/>
      <c r="C805" s="5"/>
      <c r="D805" s="5"/>
      <c r="E805" s="9"/>
      <c r="F805" s="9"/>
      <c r="G805" s="10"/>
      <c r="H805" s="11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7"/>
      <c r="B806" s="7"/>
      <c r="C806" s="5"/>
      <c r="D806" s="5"/>
      <c r="E806" s="9"/>
      <c r="F806" s="9"/>
      <c r="G806" s="10"/>
      <c r="H806" s="11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7"/>
      <c r="B807" s="7"/>
      <c r="C807" s="5"/>
      <c r="D807" s="5"/>
      <c r="E807" s="9"/>
      <c r="F807" s="9"/>
      <c r="G807" s="10"/>
      <c r="H807" s="11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7"/>
      <c r="B808" s="7"/>
      <c r="C808" s="5"/>
      <c r="D808" s="5"/>
      <c r="E808" s="9"/>
      <c r="F808" s="9"/>
      <c r="G808" s="10"/>
      <c r="H808" s="11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7"/>
      <c r="B809" s="7"/>
      <c r="C809" s="5"/>
      <c r="D809" s="5"/>
      <c r="E809" s="9"/>
      <c r="F809" s="9"/>
      <c r="G809" s="10"/>
      <c r="H809" s="11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7"/>
      <c r="B810" s="7"/>
      <c r="C810" s="5"/>
      <c r="D810" s="5"/>
      <c r="E810" s="9"/>
      <c r="F810" s="9"/>
      <c r="G810" s="10"/>
      <c r="H810" s="11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7"/>
      <c r="B811" s="7"/>
      <c r="C811" s="5"/>
      <c r="D811" s="5"/>
      <c r="E811" s="9"/>
      <c r="F811" s="9"/>
      <c r="G811" s="10"/>
      <c r="H811" s="11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7"/>
      <c r="B812" s="7"/>
      <c r="C812" s="5"/>
      <c r="D812" s="5"/>
      <c r="E812" s="9"/>
      <c r="F812" s="9"/>
      <c r="G812" s="10"/>
      <c r="H812" s="11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7"/>
      <c r="B813" s="7"/>
      <c r="C813" s="5"/>
      <c r="D813" s="5"/>
      <c r="E813" s="9"/>
      <c r="F813" s="9"/>
      <c r="G813" s="10"/>
      <c r="H813" s="11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7"/>
      <c r="B814" s="7"/>
      <c r="C814" s="5"/>
      <c r="D814" s="5"/>
      <c r="E814" s="9"/>
      <c r="F814" s="9"/>
      <c r="G814" s="10"/>
      <c r="H814" s="11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7"/>
      <c r="B815" s="7"/>
      <c r="C815" s="5"/>
      <c r="D815" s="5"/>
      <c r="E815" s="9"/>
      <c r="F815" s="9"/>
      <c r="G815" s="10"/>
      <c r="H815" s="11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7"/>
      <c r="B816" s="7"/>
      <c r="C816" s="5"/>
      <c r="D816" s="5"/>
      <c r="E816" s="9"/>
      <c r="F816" s="9"/>
      <c r="G816" s="10"/>
      <c r="H816" s="11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7"/>
      <c r="B817" s="7"/>
      <c r="C817" s="5"/>
      <c r="D817" s="5"/>
      <c r="E817" s="9"/>
      <c r="F817" s="9"/>
      <c r="G817" s="10"/>
      <c r="H817" s="11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7"/>
      <c r="B818" s="7"/>
      <c r="C818" s="5"/>
      <c r="D818" s="5"/>
      <c r="E818" s="9"/>
      <c r="F818" s="9"/>
      <c r="G818" s="10"/>
      <c r="H818" s="11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7"/>
      <c r="B819" s="7"/>
      <c r="C819" s="5"/>
      <c r="D819" s="5"/>
      <c r="E819" s="9"/>
      <c r="F819" s="9"/>
      <c r="G819" s="10"/>
      <c r="H819" s="11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7"/>
      <c r="B820" s="7"/>
      <c r="C820" s="5"/>
      <c r="D820" s="5"/>
      <c r="E820" s="9"/>
      <c r="F820" s="9"/>
      <c r="G820" s="10"/>
      <c r="H820" s="11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7"/>
      <c r="B821" s="7"/>
      <c r="C821" s="5"/>
      <c r="D821" s="5"/>
      <c r="E821" s="9"/>
      <c r="F821" s="9"/>
      <c r="G821" s="10"/>
      <c r="H821" s="11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7"/>
      <c r="B822" s="7"/>
      <c r="C822" s="5"/>
      <c r="D822" s="5"/>
      <c r="E822" s="9"/>
      <c r="F822" s="9"/>
      <c r="G822" s="10"/>
      <c r="H822" s="11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7"/>
      <c r="B823" s="7"/>
      <c r="C823" s="5"/>
      <c r="D823" s="5"/>
      <c r="E823" s="9"/>
      <c r="F823" s="9"/>
      <c r="G823" s="10"/>
      <c r="H823" s="11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7"/>
      <c r="B824" s="7"/>
      <c r="C824" s="5"/>
      <c r="D824" s="5"/>
      <c r="E824" s="9"/>
      <c r="F824" s="9"/>
      <c r="G824" s="10"/>
      <c r="H824" s="11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7"/>
      <c r="B825" s="7"/>
      <c r="C825" s="5"/>
      <c r="D825" s="5"/>
      <c r="E825" s="9"/>
      <c r="F825" s="9"/>
      <c r="G825" s="10"/>
      <c r="H825" s="11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7"/>
      <c r="B826" s="7"/>
      <c r="C826" s="5"/>
      <c r="D826" s="5"/>
      <c r="E826" s="9"/>
      <c r="F826" s="9"/>
      <c r="G826" s="10"/>
      <c r="H826" s="11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7"/>
      <c r="B827" s="7"/>
      <c r="C827" s="5"/>
      <c r="D827" s="5"/>
      <c r="E827" s="9"/>
      <c r="F827" s="9"/>
      <c r="G827" s="10"/>
      <c r="H827" s="11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7"/>
      <c r="B828" s="7"/>
      <c r="C828" s="5"/>
      <c r="D828" s="5"/>
      <c r="E828" s="9"/>
      <c r="F828" s="9"/>
      <c r="G828" s="10"/>
      <c r="H828" s="11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7"/>
      <c r="B829" s="7"/>
      <c r="C829" s="5"/>
      <c r="D829" s="5"/>
      <c r="E829" s="9"/>
      <c r="F829" s="9"/>
      <c r="G829" s="10"/>
      <c r="H829" s="11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7"/>
      <c r="B830" s="7"/>
      <c r="C830" s="5"/>
      <c r="D830" s="5"/>
      <c r="E830" s="9"/>
      <c r="F830" s="9"/>
      <c r="G830" s="10"/>
      <c r="H830" s="11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7"/>
      <c r="B831" s="7"/>
      <c r="C831" s="5"/>
      <c r="D831" s="5"/>
      <c r="E831" s="9"/>
      <c r="F831" s="9"/>
      <c r="G831" s="10"/>
      <c r="H831" s="11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7"/>
      <c r="B832" s="7"/>
      <c r="C832" s="5"/>
      <c r="D832" s="5"/>
      <c r="E832" s="9"/>
      <c r="F832" s="9"/>
      <c r="G832" s="10"/>
      <c r="H832" s="11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7"/>
      <c r="B833" s="7"/>
      <c r="C833" s="5"/>
      <c r="D833" s="5"/>
      <c r="E833" s="9"/>
      <c r="F833" s="9"/>
      <c r="G833" s="10"/>
      <c r="H833" s="11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7"/>
      <c r="B834" s="7"/>
      <c r="C834" s="5"/>
      <c r="D834" s="5"/>
      <c r="E834" s="9"/>
      <c r="F834" s="9"/>
      <c r="G834" s="10"/>
      <c r="H834" s="11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7"/>
      <c r="B835" s="7"/>
      <c r="C835" s="5"/>
      <c r="D835" s="5"/>
      <c r="E835" s="9"/>
      <c r="F835" s="9"/>
      <c r="G835" s="10"/>
      <c r="H835" s="11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7"/>
      <c r="B836" s="7"/>
      <c r="C836" s="5"/>
      <c r="D836" s="5"/>
      <c r="E836" s="9"/>
      <c r="F836" s="9"/>
      <c r="G836" s="10"/>
      <c r="H836" s="11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7"/>
      <c r="B837" s="7"/>
      <c r="C837" s="5"/>
      <c r="D837" s="5"/>
      <c r="E837" s="9"/>
      <c r="F837" s="9"/>
      <c r="G837" s="10"/>
      <c r="H837" s="11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7"/>
      <c r="B838" s="7"/>
      <c r="C838" s="5"/>
      <c r="D838" s="5"/>
      <c r="E838" s="9"/>
      <c r="F838" s="9"/>
      <c r="G838" s="10"/>
      <c r="H838" s="11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7"/>
      <c r="B839" s="7"/>
      <c r="C839" s="5"/>
      <c r="D839" s="5"/>
      <c r="E839" s="9"/>
      <c r="F839" s="9"/>
      <c r="G839" s="10"/>
      <c r="H839" s="11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7"/>
      <c r="B840" s="7"/>
      <c r="C840" s="5"/>
      <c r="D840" s="5"/>
      <c r="E840" s="9"/>
      <c r="F840" s="9"/>
      <c r="G840" s="10"/>
      <c r="H840" s="11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7"/>
      <c r="B841" s="7"/>
      <c r="C841" s="5"/>
      <c r="D841" s="5"/>
      <c r="E841" s="9"/>
      <c r="F841" s="9"/>
      <c r="G841" s="10"/>
      <c r="H841" s="11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7"/>
      <c r="B842" s="7"/>
      <c r="C842" s="5"/>
      <c r="D842" s="5"/>
      <c r="E842" s="9"/>
      <c r="F842" s="9"/>
      <c r="G842" s="10"/>
      <c r="H842" s="11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7"/>
      <c r="B843" s="7"/>
      <c r="C843" s="5"/>
      <c r="D843" s="5"/>
      <c r="E843" s="9"/>
      <c r="F843" s="9"/>
      <c r="G843" s="10"/>
      <c r="H843" s="11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7"/>
      <c r="B844" s="7"/>
      <c r="C844" s="5"/>
      <c r="D844" s="5"/>
      <c r="E844" s="9"/>
      <c r="F844" s="9"/>
      <c r="G844" s="10"/>
      <c r="H844" s="11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7"/>
      <c r="B845" s="7"/>
      <c r="C845" s="5"/>
      <c r="D845" s="5"/>
      <c r="E845" s="9"/>
      <c r="F845" s="9"/>
      <c r="G845" s="10"/>
      <c r="H845" s="11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7"/>
      <c r="B846" s="7"/>
      <c r="C846" s="5"/>
      <c r="D846" s="5"/>
      <c r="E846" s="9"/>
      <c r="F846" s="9"/>
      <c r="G846" s="10"/>
      <c r="H846" s="11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7"/>
      <c r="B847" s="7"/>
      <c r="C847" s="5"/>
      <c r="D847" s="5"/>
      <c r="E847" s="9"/>
      <c r="F847" s="9"/>
      <c r="G847" s="10"/>
      <c r="H847" s="11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7"/>
      <c r="B848" s="7"/>
      <c r="C848" s="5"/>
      <c r="D848" s="5"/>
      <c r="E848" s="9"/>
      <c r="F848" s="9"/>
      <c r="G848" s="10"/>
      <c r="H848" s="11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7"/>
      <c r="B849" s="7"/>
      <c r="C849" s="5"/>
      <c r="D849" s="5"/>
      <c r="E849" s="9"/>
      <c r="F849" s="9"/>
      <c r="G849" s="10"/>
      <c r="H849" s="11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7"/>
      <c r="B850" s="7"/>
      <c r="C850" s="5"/>
      <c r="D850" s="5"/>
      <c r="E850" s="9"/>
      <c r="F850" s="9"/>
      <c r="G850" s="10"/>
      <c r="H850" s="11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7"/>
      <c r="B851" s="7"/>
      <c r="C851" s="5"/>
      <c r="D851" s="5"/>
      <c r="E851" s="9"/>
      <c r="F851" s="9"/>
      <c r="G851" s="10"/>
      <c r="H851" s="11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7"/>
      <c r="B852" s="7"/>
      <c r="C852" s="5"/>
      <c r="D852" s="5"/>
      <c r="E852" s="9"/>
      <c r="F852" s="9"/>
      <c r="G852" s="10"/>
      <c r="H852" s="11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7"/>
      <c r="B853" s="7"/>
      <c r="C853" s="5"/>
      <c r="D853" s="5"/>
      <c r="E853" s="9"/>
      <c r="F853" s="9"/>
      <c r="G853" s="10"/>
      <c r="H853" s="11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7"/>
      <c r="B854" s="7"/>
      <c r="C854" s="5"/>
      <c r="D854" s="5"/>
      <c r="E854" s="9"/>
      <c r="F854" s="9"/>
      <c r="G854" s="10"/>
      <c r="H854" s="11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7"/>
      <c r="B855" s="7"/>
      <c r="C855" s="5"/>
      <c r="D855" s="5"/>
      <c r="E855" s="9"/>
      <c r="F855" s="9"/>
      <c r="G855" s="10"/>
      <c r="H855" s="11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7"/>
      <c r="B856" s="7"/>
      <c r="C856" s="5"/>
      <c r="D856" s="5"/>
      <c r="E856" s="9"/>
      <c r="F856" s="9"/>
      <c r="G856" s="10"/>
      <c r="H856" s="11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7"/>
      <c r="B857" s="7"/>
      <c r="C857" s="5"/>
      <c r="D857" s="5"/>
      <c r="E857" s="9"/>
      <c r="F857" s="9"/>
      <c r="G857" s="10"/>
      <c r="H857" s="11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7"/>
      <c r="B858" s="7"/>
      <c r="C858" s="5"/>
      <c r="D858" s="5"/>
      <c r="E858" s="9"/>
      <c r="F858" s="9"/>
      <c r="G858" s="10"/>
      <c r="H858" s="11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7"/>
      <c r="B859" s="7"/>
      <c r="C859" s="5"/>
      <c r="D859" s="5"/>
      <c r="E859" s="9"/>
      <c r="F859" s="9"/>
      <c r="G859" s="10"/>
      <c r="H859" s="11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7"/>
      <c r="B860" s="7"/>
      <c r="C860" s="5"/>
      <c r="D860" s="5"/>
      <c r="E860" s="9"/>
      <c r="F860" s="9"/>
      <c r="G860" s="10"/>
      <c r="H860" s="11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7"/>
      <c r="B861" s="7"/>
      <c r="C861" s="5"/>
      <c r="D861" s="5"/>
      <c r="E861" s="9"/>
      <c r="F861" s="9"/>
      <c r="G861" s="10"/>
      <c r="H861" s="11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7"/>
      <c r="B862" s="7"/>
      <c r="C862" s="5"/>
      <c r="D862" s="5"/>
      <c r="E862" s="9"/>
      <c r="F862" s="9"/>
      <c r="G862" s="10"/>
      <c r="H862" s="11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7"/>
      <c r="B863" s="7"/>
      <c r="C863" s="5"/>
      <c r="D863" s="5"/>
      <c r="E863" s="9"/>
      <c r="F863" s="9"/>
      <c r="G863" s="10"/>
      <c r="H863" s="11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7"/>
      <c r="B864" s="7"/>
      <c r="C864" s="5"/>
      <c r="D864" s="5"/>
      <c r="E864" s="9"/>
      <c r="F864" s="9"/>
      <c r="G864" s="10"/>
      <c r="H864" s="11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7"/>
      <c r="B865" s="7"/>
      <c r="C865" s="5"/>
      <c r="D865" s="5"/>
      <c r="E865" s="9"/>
      <c r="F865" s="9"/>
      <c r="G865" s="10"/>
      <c r="H865" s="11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7"/>
      <c r="B866" s="7"/>
      <c r="C866" s="5"/>
      <c r="D866" s="5"/>
      <c r="E866" s="9"/>
      <c r="F866" s="9"/>
      <c r="G866" s="10"/>
      <c r="H866" s="11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7"/>
      <c r="B867" s="7"/>
      <c r="C867" s="5"/>
      <c r="D867" s="5"/>
      <c r="E867" s="9"/>
      <c r="F867" s="9"/>
      <c r="G867" s="10"/>
      <c r="H867" s="11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7"/>
      <c r="B868" s="7"/>
      <c r="C868" s="5"/>
      <c r="D868" s="5"/>
      <c r="E868" s="9"/>
      <c r="F868" s="9"/>
      <c r="G868" s="10"/>
      <c r="H868" s="11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7"/>
      <c r="B869" s="7"/>
      <c r="C869" s="5"/>
      <c r="D869" s="5"/>
      <c r="E869" s="9"/>
      <c r="F869" s="9"/>
      <c r="G869" s="10"/>
      <c r="H869" s="11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7"/>
      <c r="B870" s="7"/>
      <c r="C870" s="5"/>
      <c r="D870" s="5"/>
      <c r="E870" s="9"/>
      <c r="F870" s="9"/>
      <c r="G870" s="10"/>
      <c r="H870" s="11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7"/>
      <c r="B871" s="7"/>
      <c r="C871" s="5"/>
      <c r="D871" s="5"/>
      <c r="E871" s="9"/>
      <c r="F871" s="9"/>
      <c r="G871" s="10"/>
      <c r="H871" s="11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7"/>
      <c r="B872" s="7"/>
      <c r="C872" s="5"/>
      <c r="D872" s="5"/>
      <c r="E872" s="9"/>
      <c r="F872" s="9"/>
      <c r="G872" s="10"/>
      <c r="H872" s="11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7"/>
      <c r="B873" s="7"/>
      <c r="C873" s="5"/>
      <c r="D873" s="5"/>
      <c r="E873" s="9"/>
      <c r="F873" s="9"/>
      <c r="G873" s="10"/>
      <c r="H873" s="11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7"/>
      <c r="B874" s="7"/>
      <c r="C874" s="5"/>
      <c r="D874" s="5"/>
      <c r="E874" s="9"/>
      <c r="F874" s="9"/>
      <c r="G874" s="10"/>
      <c r="H874" s="11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7"/>
      <c r="B875" s="7"/>
      <c r="C875" s="5"/>
      <c r="D875" s="5"/>
      <c r="E875" s="9"/>
      <c r="F875" s="9"/>
      <c r="G875" s="10"/>
      <c r="H875" s="11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7"/>
      <c r="B876" s="7"/>
      <c r="C876" s="5"/>
      <c r="D876" s="5"/>
      <c r="E876" s="9"/>
      <c r="F876" s="9"/>
      <c r="G876" s="10"/>
      <c r="H876" s="11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7"/>
      <c r="B877" s="7"/>
      <c r="C877" s="5"/>
      <c r="D877" s="5"/>
      <c r="E877" s="9"/>
      <c r="F877" s="9"/>
      <c r="G877" s="10"/>
      <c r="H877" s="11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7"/>
      <c r="B878" s="7"/>
      <c r="C878" s="5"/>
      <c r="D878" s="5"/>
      <c r="E878" s="9"/>
      <c r="F878" s="9"/>
      <c r="G878" s="10"/>
      <c r="H878" s="11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7"/>
      <c r="B879" s="7"/>
      <c r="C879" s="5"/>
      <c r="D879" s="5"/>
      <c r="E879" s="9"/>
      <c r="F879" s="9"/>
      <c r="G879" s="10"/>
      <c r="H879" s="11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7"/>
      <c r="B880" s="7"/>
      <c r="C880" s="5"/>
      <c r="D880" s="5"/>
      <c r="E880" s="9"/>
      <c r="F880" s="9"/>
      <c r="G880" s="10"/>
      <c r="H880" s="11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7"/>
      <c r="B881" s="7"/>
      <c r="C881" s="5"/>
      <c r="D881" s="5"/>
      <c r="E881" s="9"/>
      <c r="F881" s="9"/>
      <c r="G881" s="10"/>
      <c r="H881" s="11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7"/>
      <c r="B882" s="7"/>
      <c r="C882" s="5"/>
      <c r="D882" s="5"/>
      <c r="E882" s="9"/>
      <c r="F882" s="9"/>
      <c r="G882" s="10"/>
      <c r="H882" s="11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7"/>
      <c r="B883" s="7"/>
      <c r="C883" s="5"/>
      <c r="D883" s="5"/>
      <c r="E883" s="9"/>
      <c r="F883" s="9"/>
      <c r="G883" s="10"/>
      <c r="H883" s="11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7"/>
      <c r="B884" s="7"/>
      <c r="C884" s="5"/>
      <c r="D884" s="5"/>
      <c r="E884" s="9"/>
      <c r="F884" s="9"/>
      <c r="G884" s="10"/>
      <c r="H884" s="11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7"/>
      <c r="B885" s="7"/>
      <c r="C885" s="5"/>
      <c r="D885" s="5"/>
      <c r="E885" s="9"/>
      <c r="F885" s="9"/>
      <c r="G885" s="10"/>
      <c r="H885" s="11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7"/>
      <c r="B886" s="7"/>
      <c r="C886" s="5"/>
      <c r="D886" s="5"/>
      <c r="E886" s="9"/>
      <c r="F886" s="9"/>
      <c r="G886" s="10"/>
      <c r="H886" s="11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7"/>
      <c r="B887" s="7"/>
      <c r="C887" s="5"/>
      <c r="D887" s="5"/>
      <c r="E887" s="9"/>
      <c r="F887" s="9"/>
      <c r="G887" s="10"/>
      <c r="H887" s="11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7"/>
      <c r="B888" s="7"/>
      <c r="C888" s="5"/>
      <c r="D888" s="5"/>
      <c r="E888" s="9"/>
      <c r="F888" s="9"/>
      <c r="G888" s="10"/>
      <c r="H888" s="11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7"/>
      <c r="B889" s="7"/>
      <c r="C889" s="5"/>
      <c r="D889" s="5"/>
      <c r="E889" s="9"/>
      <c r="F889" s="9"/>
      <c r="G889" s="10"/>
      <c r="H889" s="11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7"/>
      <c r="B890" s="7"/>
      <c r="C890" s="5"/>
      <c r="D890" s="5"/>
      <c r="E890" s="9"/>
      <c r="F890" s="9"/>
      <c r="G890" s="10"/>
      <c r="H890" s="11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7"/>
      <c r="B891" s="7"/>
      <c r="C891" s="5"/>
      <c r="D891" s="5"/>
      <c r="E891" s="9"/>
      <c r="F891" s="9"/>
      <c r="G891" s="10"/>
      <c r="H891" s="11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7"/>
      <c r="B892" s="7"/>
      <c r="C892" s="5"/>
      <c r="D892" s="5"/>
      <c r="E892" s="9"/>
      <c r="F892" s="9"/>
      <c r="G892" s="10"/>
      <c r="H892" s="11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7"/>
      <c r="B893" s="7"/>
      <c r="C893" s="5"/>
      <c r="D893" s="5"/>
      <c r="E893" s="9"/>
      <c r="F893" s="9"/>
      <c r="G893" s="10"/>
      <c r="H893" s="11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7"/>
      <c r="B894" s="7"/>
      <c r="C894" s="5"/>
      <c r="D894" s="5"/>
      <c r="E894" s="9"/>
      <c r="F894" s="9"/>
      <c r="G894" s="10"/>
      <c r="H894" s="11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7"/>
      <c r="B895" s="7"/>
      <c r="C895" s="5"/>
      <c r="D895" s="5"/>
      <c r="E895" s="9"/>
      <c r="F895" s="9"/>
      <c r="G895" s="10"/>
      <c r="H895" s="11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7"/>
      <c r="B896" s="7"/>
      <c r="C896" s="5"/>
      <c r="D896" s="5"/>
      <c r="E896" s="9"/>
      <c r="F896" s="9"/>
      <c r="G896" s="10"/>
      <c r="H896" s="11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7"/>
      <c r="B897" s="7"/>
      <c r="C897" s="5"/>
      <c r="D897" s="5"/>
      <c r="E897" s="9"/>
      <c r="F897" s="9"/>
      <c r="G897" s="10"/>
      <c r="H897" s="11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7"/>
      <c r="B898" s="7"/>
      <c r="C898" s="5"/>
      <c r="D898" s="5"/>
      <c r="E898" s="9"/>
      <c r="F898" s="9"/>
      <c r="G898" s="10"/>
      <c r="H898" s="11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7"/>
      <c r="B899" s="7"/>
      <c r="C899" s="5"/>
      <c r="D899" s="5"/>
      <c r="E899" s="9"/>
      <c r="F899" s="9"/>
      <c r="G899" s="10"/>
      <c r="H899" s="11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7"/>
      <c r="B900" s="7"/>
      <c r="C900" s="5"/>
      <c r="D900" s="5"/>
      <c r="E900" s="9"/>
      <c r="F900" s="9"/>
      <c r="G900" s="10"/>
      <c r="H900" s="11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7"/>
      <c r="B901" s="7"/>
      <c r="C901" s="5"/>
      <c r="D901" s="5"/>
      <c r="E901" s="9"/>
      <c r="F901" s="9"/>
      <c r="G901" s="10"/>
      <c r="H901" s="11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7"/>
      <c r="B902" s="7"/>
      <c r="C902" s="5"/>
      <c r="D902" s="5"/>
      <c r="E902" s="9"/>
      <c r="F902" s="9"/>
      <c r="G902" s="10"/>
      <c r="H902" s="11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7"/>
      <c r="B903" s="7"/>
      <c r="C903" s="5"/>
      <c r="D903" s="5"/>
      <c r="E903" s="9"/>
      <c r="F903" s="9"/>
      <c r="G903" s="10"/>
      <c r="H903" s="11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7"/>
      <c r="B904" s="7"/>
      <c r="C904" s="5"/>
      <c r="D904" s="5"/>
      <c r="E904" s="9"/>
      <c r="F904" s="9"/>
      <c r="G904" s="10"/>
      <c r="H904" s="11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7"/>
      <c r="B905" s="7"/>
      <c r="C905" s="5"/>
      <c r="D905" s="5"/>
      <c r="E905" s="9"/>
      <c r="F905" s="9"/>
      <c r="G905" s="10"/>
      <c r="H905" s="11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7"/>
      <c r="B906" s="7"/>
      <c r="C906" s="5"/>
      <c r="D906" s="5"/>
      <c r="E906" s="9"/>
      <c r="F906" s="9"/>
      <c r="G906" s="10"/>
      <c r="H906" s="11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7"/>
      <c r="B907" s="7"/>
      <c r="C907" s="5"/>
      <c r="D907" s="5"/>
      <c r="E907" s="9"/>
      <c r="F907" s="9"/>
      <c r="G907" s="10"/>
      <c r="H907" s="11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7"/>
      <c r="B908" s="7"/>
      <c r="C908" s="5"/>
      <c r="D908" s="5"/>
      <c r="E908" s="9"/>
      <c r="F908" s="9"/>
      <c r="G908" s="10"/>
      <c r="H908" s="11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7"/>
      <c r="B909" s="7"/>
      <c r="C909" s="5"/>
      <c r="D909" s="5"/>
      <c r="E909" s="9"/>
      <c r="F909" s="9"/>
      <c r="G909" s="10"/>
      <c r="H909" s="11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7"/>
      <c r="B910" s="7"/>
      <c r="C910" s="5"/>
      <c r="D910" s="5"/>
      <c r="E910" s="9"/>
      <c r="F910" s="9"/>
      <c r="G910" s="10"/>
      <c r="H910" s="11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7"/>
      <c r="B911" s="7"/>
      <c r="C911" s="5"/>
      <c r="D911" s="5"/>
      <c r="E911" s="9"/>
      <c r="F911" s="9"/>
      <c r="G911" s="10"/>
      <c r="H911" s="11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7"/>
      <c r="B912" s="7"/>
      <c r="C912" s="5"/>
      <c r="D912" s="5"/>
      <c r="E912" s="9"/>
      <c r="F912" s="9"/>
      <c r="G912" s="10"/>
      <c r="H912" s="11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7"/>
      <c r="B913" s="7"/>
      <c r="C913" s="5"/>
      <c r="D913" s="5"/>
      <c r="E913" s="9"/>
      <c r="F913" s="9"/>
      <c r="G913" s="10"/>
      <c r="H913" s="11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7"/>
      <c r="B914" s="7"/>
      <c r="C914" s="5"/>
      <c r="D914" s="5"/>
      <c r="E914" s="9"/>
      <c r="F914" s="9"/>
      <c r="G914" s="10"/>
      <c r="H914" s="11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7"/>
      <c r="B915" s="7"/>
      <c r="C915" s="5"/>
      <c r="D915" s="5"/>
      <c r="E915" s="9"/>
      <c r="F915" s="9"/>
      <c r="G915" s="10"/>
      <c r="H915" s="11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7"/>
      <c r="B916" s="7"/>
      <c r="C916" s="5"/>
      <c r="D916" s="5"/>
      <c r="E916" s="9"/>
      <c r="F916" s="9"/>
      <c r="G916" s="10"/>
      <c r="H916" s="11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7"/>
      <c r="B917" s="7"/>
      <c r="C917" s="5"/>
      <c r="D917" s="5"/>
      <c r="E917" s="9"/>
      <c r="F917" s="9"/>
      <c r="G917" s="10"/>
      <c r="H917" s="11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7"/>
      <c r="B918" s="7"/>
      <c r="C918" s="5"/>
      <c r="D918" s="5"/>
      <c r="E918" s="9"/>
      <c r="F918" s="9"/>
      <c r="G918" s="10"/>
      <c r="H918" s="11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7"/>
      <c r="B919" s="7"/>
      <c r="C919" s="5"/>
      <c r="D919" s="5"/>
      <c r="E919" s="9"/>
      <c r="F919" s="9"/>
      <c r="G919" s="10"/>
      <c r="H919" s="11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7"/>
      <c r="B920" s="7"/>
      <c r="C920" s="5"/>
      <c r="D920" s="5"/>
      <c r="E920" s="9"/>
      <c r="F920" s="9"/>
      <c r="G920" s="10"/>
      <c r="H920" s="11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7"/>
      <c r="B921" s="7"/>
      <c r="C921" s="5"/>
      <c r="D921" s="5"/>
      <c r="E921" s="9"/>
      <c r="F921" s="9"/>
      <c r="G921" s="10"/>
      <c r="H921" s="11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7"/>
      <c r="B922" s="7"/>
      <c r="C922" s="5"/>
      <c r="D922" s="5"/>
      <c r="E922" s="9"/>
      <c r="F922" s="9"/>
      <c r="G922" s="10"/>
      <c r="H922" s="11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7"/>
      <c r="B923" s="7"/>
      <c r="C923" s="5"/>
      <c r="D923" s="5"/>
      <c r="E923" s="9"/>
      <c r="F923" s="9"/>
      <c r="G923" s="10"/>
      <c r="H923" s="11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7"/>
      <c r="B924" s="7"/>
      <c r="C924" s="5"/>
      <c r="D924" s="5"/>
      <c r="E924" s="9"/>
      <c r="F924" s="9"/>
      <c r="G924" s="10"/>
      <c r="H924" s="11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7"/>
      <c r="B925" s="7"/>
      <c r="C925" s="5"/>
      <c r="D925" s="5"/>
      <c r="E925" s="9"/>
      <c r="F925" s="9"/>
      <c r="G925" s="10"/>
      <c r="H925" s="11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7"/>
      <c r="B926" s="7"/>
      <c r="C926" s="5"/>
      <c r="D926" s="5"/>
      <c r="E926" s="9"/>
      <c r="F926" s="9"/>
      <c r="G926" s="10"/>
      <c r="H926" s="11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7"/>
      <c r="B927" s="7"/>
      <c r="C927" s="5"/>
      <c r="D927" s="5"/>
      <c r="E927" s="9"/>
      <c r="F927" s="9"/>
      <c r="G927" s="10"/>
      <c r="H927" s="11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7"/>
      <c r="B928" s="7"/>
      <c r="C928" s="5"/>
      <c r="D928" s="5"/>
      <c r="E928" s="9"/>
      <c r="F928" s="9"/>
      <c r="G928" s="10"/>
      <c r="H928" s="11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7"/>
      <c r="B929" s="7"/>
      <c r="C929" s="5"/>
      <c r="D929" s="5"/>
      <c r="E929" s="9"/>
      <c r="F929" s="9"/>
      <c r="G929" s="10"/>
      <c r="H929" s="11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7"/>
      <c r="B930" s="7"/>
      <c r="C930" s="5"/>
      <c r="D930" s="5"/>
      <c r="E930" s="9"/>
      <c r="F930" s="9"/>
      <c r="G930" s="10"/>
      <c r="H930" s="11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7"/>
      <c r="B931" s="7"/>
      <c r="C931" s="5"/>
      <c r="D931" s="5"/>
      <c r="E931" s="9"/>
      <c r="F931" s="9"/>
      <c r="G931" s="10"/>
      <c r="H931" s="11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7"/>
      <c r="B932" s="7"/>
      <c r="C932" s="5"/>
      <c r="D932" s="5"/>
      <c r="E932" s="9"/>
      <c r="F932" s="9"/>
      <c r="G932" s="10"/>
      <c r="H932" s="11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7"/>
      <c r="B933" s="7"/>
      <c r="C933" s="5"/>
      <c r="D933" s="5"/>
      <c r="E933" s="9"/>
      <c r="F933" s="9"/>
      <c r="G933" s="10"/>
      <c r="H933" s="11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7"/>
      <c r="B934" s="7"/>
      <c r="C934" s="5"/>
      <c r="D934" s="5"/>
      <c r="E934" s="9"/>
      <c r="F934" s="9"/>
      <c r="G934" s="10"/>
      <c r="H934" s="11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7"/>
      <c r="B935" s="7"/>
      <c r="C935" s="5"/>
      <c r="D935" s="5"/>
      <c r="E935" s="9"/>
      <c r="F935" s="9"/>
      <c r="G935" s="10"/>
      <c r="H935" s="11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7"/>
      <c r="B936" s="7"/>
      <c r="C936" s="5"/>
      <c r="D936" s="5"/>
      <c r="E936" s="9"/>
      <c r="F936" s="9"/>
      <c r="G936" s="10"/>
      <c r="H936" s="11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7"/>
      <c r="B937" s="7"/>
      <c r="C937" s="5"/>
      <c r="D937" s="5"/>
      <c r="E937" s="9"/>
      <c r="F937" s="9"/>
      <c r="G937" s="10"/>
      <c r="H937" s="11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7"/>
      <c r="B938" s="7"/>
      <c r="C938" s="5"/>
      <c r="D938" s="5"/>
      <c r="E938" s="9"/>
      <c r="F938" s="9"/>
      <c r="G938" s="10"/>
      <c r="H938" s="11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7"/>
      <c r="B939" s="7"/>
      <c r="C939" s="5"/>
      <c r="D939" s="5"/>
      <c r="E939" s="9"/>
      <c r="F939" s="9"/>
      <c r="G939" s="10"/>
      <c r="H939" s="11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7"/>
      <c r="B940" s="7"/>
      <c r="C940" s="5"/>
      <c r="D940" s="5"/>
      <c r="E940" s="9"/>
      <c r="F940" s="9"/>
      <c r="G940" s="10"/>
      <c r="H940" s="11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7"/>
      <c r="B941" s="7"/>
      <c r="C941" s="5"/>
      <c r="D941" s="5"/>
      <c r="E941" s="9"/>
      <c r="F941" s="9"/>
      <c r="G941" s="10"/>
      <c r="H941" s="11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7"/>
      <c r="B942" s="7"/>
      <c r="C942" s="5"/>
      <c r="D942" s="5"/>
      <c r="E942" s="9"/>
      <c r="F942" s="9"/>
      <c r="G942" s="10"/>
      <c r="H942" s="11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7"/>
      <c r="B943" s="7"/>
      <c r="C943" s="5"/>
      <c r="D943" s="5"/>
      <c r="E943" s="9"/>
      <c r="F943" s="9"/>
      <c r="G943" s="10"/>
      <c r="H943" s="11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7"/>
      <c r="B944" s="7"/>
      <c r="C944" s="5"/>
      <c r="D944" s="5"/>
      <c r="E944" s="9"/>
      <c r="F944" s="9"/>
      <c r="G944" s="10"/>
      <c r="H944" s="11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7"/>
      <c r="B945" s="7"/>
      <c r="C945" s="5"/>
      <c r="D945" s="5"/>
      <c r="E945" s="9"/>
      <c r="F945" s="9"/>
      <c r="G945" s="10"/>
      <c r="H945" s="11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7"/>
      <c r="B946" s="7"/>
      <c r="C946" s="5"/>
      <c r="D946" s="5"/>
      <c r="E946" s="9"/>
      <c r="F946" s="9"/>
      <c r="G946" s="10"/>
      <c r="H946" s="11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7"/>
      <c r="B947" s="7"/>
      <c r="C947" s="5"/>
      <c r="D947" s="5"/>
      <c r="E947" s="9"/>
      <c r="F947" s="9"/>
      <c r="G947" s="10"/>
      <c r="H947" s="11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7"/>
      <c r="B948" s="7"/>
      <c r="C948" s="5"/>
      <c r="D948" s="5"/>
      <c r="E948" s="9"/>
      <c r="F948" s="9"/>
      <c r="G948" s="10"/>
      <c r="H948" s="11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7"/>
      <c r="B949" s="7"/>
      <c r="C949" s="5"/>
      <c r="D949" s="5"/>
      <c r="E949" s="9"/>
      <c r="F949" s="9"/>
      <c r="G949" s="10"/>
      <c r="H949" s="11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7"/>
      <c r="B950" s="7"/>
      <c r="C950" s="5"/>
      <c r="D950" s="5"/>
      <c r="E950" s="9"/>
      <c r="F950" s="9"/>
      <c r="G950" s="10"/>
      <c r="H950" s="11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7"/>
      <c r="B951" s="7"/>
      <c r="C951" s="5"/>
      <c r="D951" s="5"/>
      <c r="E951" s="9"/>
      <c r="F951" s="9"/>
      <c r="G951" s="10"/>
      <c r="H951" s="11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7"/>
      <c r="B952" s="7"/>
      <c r="C952" s="5"/>
      <c r="D952" s="5"/>
      <c r="E952" s="9"/>
      <c r="F952" s="9"/>
      <c r="G952" s="10"/>
      <c r="H952" s="11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7"/>
      <c r="B953" s="7"/>
      <c r="C953" s="5"/>
      <c r="D953" s="5"/>
      <c r="E953" s="9"/>
      <c r="F953" s="9"/>
      <c r="G953" s="10"/>
      <c r="H953" s="11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7"/>
      <c r="B954" s="7"/>
      <c r="C954" s="5"/>
      <c r="D954" s="5"/>
      <c r="E954" s="9"/>
      <c r="F954" s="9"/>
      <c r="G954" s="10"/>
      <c r="H954" s="11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7"/>
      <c r="B955" s="7"/>
      <c r="C955" s="5"/>
      <c r="D955" s="5"/>
      <c r="E955" s="9"/>
      <c r="F955" s="9"/>
      <c r="G955" s="10"/>
      <c r="H955" s="11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7"/>
      <c r="B956" s="7"/>
      <c r="C956" s="5"/>
      <c r="D956" s="5"/>
      <c r="E956" s="9"/>
      <c r="F956" s="9"/>
      <c r="G956" s="10"/>
      <c r="H956" s="11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7"/>
      <c r="B957" s="7"/>
      <c r="C957" s="5"/>
      <c r="D957" s="5"/>
      <c r="E957" s="9"/>
      <c r="F957" s="9"/>
      <c r="G957" s="10"/>
      <c r="H957" s="11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7"/>
      <c r="B958" s="7"/>
      <c r="C958" s="5"/>
      <c r="D958" s="5"/>
      <c r="E958" s="9"/>
      <c r="F958" s="9"/>
      <c r="G958" s="10"/>
      <c r="H958" s="11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7"/>
      <c r="B959" s="7"/>
      <c r="C959" s="5"/>
      <c r="D959" s="5"/>
      <c r="E959" s="9"/>
      <c r="F959" s="9"/>
      <c r="G959" s="10"/>
      <c r="H959" s="11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7"/>
      <c r="B960" s="7"/>
      <c r="C960" s="5"/>
      <c r="D960" s="5"/>
      <c r="E960" s="9"/>
      <c r="F960" s="9"/>
      <c r="G960" s="10"/>
      <c r="H960" s="11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7"/>
      <c r="B961" s="7"/>
      <c r="C961" s="5"/>
      <c r="D961" s="5"/>
      <c r="E961" s="9"/>
      <c r="F961" s="9"/>
      <c r="G961" s="10"/>
      <c r="H961" s="11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7"/>
      <c r="B962" s="7"/>
      <c r="C962" s="5"/>
      <c r="D962" s="5"/>
      <c r="E962" s="9"/>
      <c r="F962" s="9"/>
      <c r="G962" s="10"/>
      <c r="H962" s="11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7"/>
      <c r="B963" s="7"/>
      <c r="C963" s="5"/>
      <c r="D963" s="5"/>
      <c r="E963" s="9"/>
      <c r="F963" s="9"/>
      <c r="G963" s="10"/>
      <c r="H963" s="11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7"/>
      <c r="B964" s="7"/>
      <c r="C964" s="5"/>
      <c r="D964" s="5"/>
      <c r="E964" s="9"/>
      <c r="F964" s="9"/>
      <c r="G964" s="10"/>
      <c r="H964" s="11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7"/>
      <c r="B965" s="7"/>
      <c r="C965" s="5"/>
      <c r="D965" s="5"/>
      <c r="E965" s="9"/>
      <c r="F965" s="9"/>
      <c r="G965" s="10"/>
      <c r="H965" s="11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7"/>
      <c r="B966" s="7"/>
      <c r="C966" s="5"/>
      <c r="D966" s="5"/>
      <c r="E966" s="9"/>
      <c r="F966" s="9"/>
      <c r="G966" s="10"/>
      <c r="H966" s="11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7"/>
      <c r="B967" s="7"/>
      <c r="C967" s="5"/>
      <c r="D967" s="5"/>
      <c r="E967" s="9"/>
      <c r="F967" s="9"/>
      <c r="G967" s="10"/>
      <c r="H967" s="11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7"/>
      <c r="B968" s="7"/>
      <c r="C968" s="5"/>
      <c r="D968" s="5"/>
      <c r="E968" s="9"/>
      <c r="F968" s="9"/>
      <c r="G968" s="10"/>
      <c r="H968" s="11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7"/>
      <c r="B969" s="7"/>
      <c r="C969" s="5"/>
      <c r="D969" s="5"/>
      <c r="E969" s="9"/>
      <c r="F969" s="9"/>
      <c r="G969" s="10"/>
      <c r="H969" s="11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7"/>
      <c r="B970" s="7"/>
      <c r="C970" s="5"/>
      <c r="D970" s="5"/>
      <c r="E970" s="9"/>
      <c r="F970" s="9"/>
      <c r="G970" s="10"/>
      <c r="H970" s="11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7"/>
      <c r="B971" s="7"/>
      <c r="C971" s="5"/>
      <c r="D971" s="5"/>
      <c r="E971" s="9"/>
      <c r="F971" s="9"/>
      <c r="G971" s="10"/>
      <c r="H971" s="11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7"/>
      <c r="B972" s="7"/>
      <c r="C972" s="5"/>
      <c r="D972" s="5"/>
      <c r="E972" s="9"/>
      <c r="F972" s="9"/>
      <c r="G972" s="10"/>
      <c r="H972" s="11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7"/>
      <c r="B973" s="7"/>
      <c r="C973" s="5"/>
      <c r="D973" s="5"/>
      <c r="E973" s="9"/>
      <c r="F973" s="9"/>
      <c r="G973" s="10"/>
      <c r="H973" s="11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7"/>
      <c r="B974" s="7"/>
      <c r="C974" s="5"/>
      <c r="D974" s="5"/>
      <c r="E974" s="9"/>
      <c r="F974" s="9"/>
      <c r="G974" s="10"/>
      <c r="H974" s="11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7"/>
      <c r="B975" s="7"/>
      <c r="C975" s="5"/>
      <c r="D975" s="5"/>
      <c r="E975" s="9"/>
      <c r="F975" s="9"/>
      <c r="G975" s="10"/>
      <c r="H975" s="11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7"/>
      <c r="B976" s="7"/>
      <c r="C976" s="5"/>
      <c r="D976" s="5"/>
      <c r="E976" s="9"/>
      <c r="F976" s="9"/>
      <c r="G976" s="10"/>
      <c r="H976" s="11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7"/>
      <c r="B977" s="7"/>
      <c r="C977" s="5"/>
      <c r="D977" s="5"/>
      <c r="E977" s="9"/>
      <c r="F977" s="9"/>
      <c r="G977" s="10"/>
      <c r="H977" s="11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7"/>
      <c r="B978" s="7"/>
      <c r="C978" s="5"/>
      <c r="D978" s="5"/>
      <c r="E978" s="9"/>
      <c r="F978" s="9"/>
      <c r="G978" s="10"/>
      <c r="H978" s="11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7"/>
      <c r="B979" s="7"/>
      <c r="C979" s="5"/>
      <c r="D979" s="5"/>
      <c r="E979" s="9"/>
      <c r="F979" s="9"/>
      <c r="G979" s="10"/>
      <c r="H979" s="11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7"/>
      <c r="B980" s="7"/>
      <c r="C980" s="5"/>
      <c r="D980" s="5"/>
      <c r="E980" s="9"/>
      <c r="F980" s="9"/>
      <c r="G980" s="10"/>
      <c r="H980" s="11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7"/>
      <c r="B981" s="7"/>
      <c r="C981" s="5"/>
      <c r="D981" s="5"/>
      <c r="E981" s="9"/>
      <c r="F981" s="9"/>
      <c r="G981" s="10"/>
      <c r="H981" s="11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7"/>
      <c r="B982" s="7"/>
      <c r="C982" s="5"/>
      <c r="D982" s="5"/>
      <c r="E982" s="9"/>
      <c r="F982" s="9"/>
      <c r="G982" s="10"/>
      <c r="H982" s="11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7"/>
      <c r="B983" s="7"/>
      <c r="C983" s="5"/>
      <c r="D983" s="5"/>
      <c r="E983" s="9"/>
      <c r="F983" s="9"/>
      <c r="G983" s="10"/>
      <c r="H983" s="11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7"/>
      <c r="B984" s="7"/>
      <c r="C984" s="5"/>
      <c r="D984" s="5"/>
      <c r="E984" s="9"/>
      <c r="F984" s="9"/>
      <c r="G984" s="10"/>
      <c r="H984" s="11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7"/>
      <c r="B985" s="7"/>
      <c r="C985" s="5"/>
      <c r="D985" s="5"/>
      <c r="E985" s="9"/>
      <c r="F985" s="9"/>
      <c r="G985" s="10"/>
      <c r="H985" s="11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7"/>
      <c r="B986" s="7"/>
      <c r="C986" s="5"/>
      <c r="D986" s="5"/>
      <c r="E986" s="9"/>
      <c r="F986" s="9"/>
      <c r="G986" s="10"/>
      <c r="H986" s="11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7"/>
      <c r="B987" s="7"/>
      <c r="C987" s="5"/>
      <c r="D987" s="5"/>
      <c r="E987" s="9"/>
      <c r="F987" s="9"/>
      <c r="G987" s="10"/>
      <c r="H987" s="11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7"/>
      <c r="B988" s="7"/>
      <c r="C988" s="5"/>
      <c r="D988" s="5"/>
      <c r="E988" s="9"/>
      <c r="F988" s="9"/>
      <c r="G988" s="10"/>
      <c r="H988" s="11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7"/>
      <c r="B989" s="7"/>
      <c r="C989" s="5"/>
      <c r="D989" s="5"/>
      <c r="E989" s="9"/>
      <c r="F989" s="9"/>
      <c r="G989" s="10"/>
      <c r="H989" s="11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7"/>
      <c r="B990" s="7"/>
      <c r="C990" s="5"/>
      <c r="D990" s="5"/>
      <c r="E990" s="9"/>
      <c r="F990" s="9"/>
      <c r="G990" s="10"/>
      <c r="H990" s="11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7"/>
      <c r="B991" s="7"/>
      <c r="C991" s="5"/>
      <c r="D991" s="5"/>
      <c r="E991" s="9"/>
      <c r="F991" s="9"/>
      <c r="G991" s="10"/>
      <c r="H991" s="11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7"/>
      <c r="B992" s="7"/>
      <c r="C992" s="5"/>
      <c r="D992" s="5"/>
      <c r="E992" s="9"/>
      <c r="F992" s="9"/>
      <c r="G992" s="10"/>
      <c r="H992" s="11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7"/>
      <c r="B993" s="7"/>
      <c r="C993" s="5"/>
      <c r="D993" s="5"/>
      <c r="E993" s="9"/>
      <c r="F993" s="9"/>
      <c r="G993" s="10"/>
      <c r="H993" s="11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7"/>
      <c r="B994" s="7"/>
      <c r="C994" s="5"/>
      <c r="D994" s="5"/>
      <c r="E994" s="9"/>
      <c r="F994" s="9"/>
      <c r="G994" s="10"/>
      <c r="H994" s="11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7"/>
      <c r="B995" s="7"/>
      <c r="C995" s="5"/>
      <c r="D995" s="5"/>
      <c r="E995" s="9"/>
      <c r="F995" s="9"/>
      <c r="G995" s="10"/>
      <c r="H995" s="11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7"/>
      <c r="B996" s="7"/>
      <c r="C996" s="5"/>
      <c r="D996" s="5"/>
      <c r="E996" s="9"/>
      <c r="F996" s="9"/>
      <c r="G996" s="10"/>
      <c r="H996" s="11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7"/>
      <c r="B997" s="7"/>
      <c r="C997" s="5"/>
      <c r="D997" s="5"/>
      <c r="E997" s="9"/>
      <c r="F997" s="9"/>
      <c r="G997" s="10"/>
      <c r="H997" s="11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7"/>
      <c r="B998" s="7"/>
      <c r="C998" s="5"/>
      <c r="D998" s="5"/>
      <c r="E998" s="9"/>
      <c r="F998" s="9"/>
      <c r="G998" s="10"/>
      <c r="H998" s="11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7"/>
      <c r="B999" s="7"/>
      <c r="C999" s="5"/>
      <c r="D999" s="5"/>
      <c r="E999" s="9"/>
      <c r="F999" s="9"/>
      <c r="G999" s="10"/>
      <c r="H999" s="11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7"/>
      <c r="B1000" s="7"/>
      <c r="C1000" s="5"/>
      <c r="D1000" s="5"/>
      <c r="E1000" s="9"/>
      <c r="F1000" s="9"/>
      <c r="G1000" s="10"/>
      <c r="H1000" s="11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6:$H$31">
    <sortState ref="A6:H31">
      <sortCondition descending="1" ref="F6:F31"/>
    </sortState>
  </autoFilter>
  <mergeCells count="4">
    <mergeCell ref="A1:H1"/>
    <mergeCell ref="A2:H2"/>
    <mergeCell ref="A5:H5"/>
    <mergeCell ref="A42:B42"/>
  </mergeCells>
  <printOptions/>
  <pageMargins bottom="0.75" footer="0.0" header="0.0" left="0.7" right="0.2" top="0.75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4.71"/>
    <col customWidth="1" min="2" max="2" width="25.86"/>
    <col customWidth="1" min="3" max="3" width="12.57"/>
    <col customWidth="1" min="4" max="4" width="6.14"/>
    <col customWidth="1" min="5" max="6" width="13.57"/>
    <col customWidth="1" min="7" max="7" width="14.29"/>
    <col customWidth="1" min="8" max="8" width="15.29"/>
    <col customWidth="1" min="9" max="11" width="9.14"/>
    <col customWidth="1" min="12" max="26" width="8.71"/>
  </cols>
  <sheetData>
    <row r="1" ht="16.5" customHeight="1">
      <c r="A1" s="2" t="s">
        <v>0</v>
      </c>
      <c r="B1" s="3"/>
      <c r="C1" s="3"/>
      <c r="D1" s="3"/>
      <c r="E1" s="3"/>
      <c r="F1" s="3"/>
      <c r="G1" s="3"/>
      <c r="H1" s="4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6" t="s">
        <v>2</v>
      </c>
      <c r="B2" s="3"/>
      <c r="C2" s="3"/>
      <c r="D2" s="3"/>
      <c r="E2" s="3"/>
      <c r="F2" s="3"/>
      <c r="G2" s="3"/>
      <c r="H2" s="4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7"/>
      <c r="B3" s="7"/>
      <c r="C3" s="5"/>
      <c r="D3" s="5"/>
      <c r="E3" s="9"/>
      <c r="F3" s="9"/>
      <c r="G3" s="10"/>
      <c r="H3" s="11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7"/>
      <c r="B4" s="7"/>
      <c r="C4" s="5"/>
      <c r="D4" s="5"/>
      <c r="E4" s="9"/>
      <c r="F4" s="9"/>
      <c r="G4" s="10"/>
      <c r="H4" s="11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9.0" customHeight="1">
      <c r="A5" s="128"/>
      <c r="B5" s="129"/>
      <c r="C5" s="129"/>
      <c r="D5" s="129"/>
      <c r="E5" s="129"/>
      <c r="F5" s="129"/>
      <c r="G5" s="129"/>
      <c r="H5" s="131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143" t="s">
        <v>3</v>
      </c>
      <c r="B6" s="143" t="s">
        <v>4</v>
      </c>
      <c r="C6" s="144" t="s">
        <v>5</v>
      </c>
      <c r="D6" s="143" t="s">
        <v>115</v>
      </c>
      <c r="E6" s="147" t="s">
        <v>116</v>
      </c>
      <c r="F6" s="147" t="s">
        <v>182</v>
      </c>
      <c r="G6" s="147" t="s">
        <v>183</v>
      </c>
      <c r="H6" s="143" t="s">
        <v>119</v>
      </c>
      <c r="I6" s="19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1.75" customHeight="1">
      <c r="A7" s="148" t="s">
        <v>14</v>
      </c>
      <c r="B7" s="149" t="s">
        <v>144</v>
      </c>
      <c r="C7" s="150">
        <v>45791.0</v>
      </c>
      <c r="D7" s="151">
        <v>31.0</v>
      </c>
      <c r="E7" s="152">
        <v>145000.0</v>
      </c>
      <c r="F7" s="152">
        <f t="shared" ref="F7:F8" si="1">E7/31*D7-1200</f>
        <v>143800</v>
      </c>
      <c r="G7" s="213">
        <f>F7-143800</f>
        <v>0</v>
      </c>
      <c r="H7" s="154" t="s">
        <v>74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1.75" customHeight="1">
      <c r="A8" s="148" t="s">
        <v>18</v>
      </c>
      <c r="B8" s="149" t="s">
        <v>168</v>
      </c>
      <c r="C8" s="150">
        <v>45704.0</v>
      </c>
      <c r="D8" s="151">
        <v>31.0</v>
      </c>
      <c r="E8" s="152">
        <v>130000.0</v>
      </c>
      <c r="F8" s="152">
        <f t="shared" si="1"/>
        <v>128800</v>
      </c>
      <c r="G8" s="213">
        <f>F8-18800-14000-3000-93000</f>
        <v>0</v>
      </c>
      <c r="H8" s="156" t="s">
        <v>84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1.75" customHeight="1">
      <c r="A9" s="148" t="s">
        <v>22</v>
      </c>
      <c r="B9" s="149" t="s">
        <v>169</v>
      </c>
      <c r="C9" s="150">
        <v>45792.0</v>
      </c>
      <c r="D9" s="151">
        <f>31-3-1</f>
        <v>27</v>
      </c>
      <c r="E9" s="152">
        <v>85000.0</v>
      </c>
      <c r="F9" s="152">
        <f>E9/31*D9-1150</f>
        <v>72882.25806</v>
      </c>
      <c r="G9" s="213">
        <f>F9-5000-10000-57882</f>
        <v>0.2580645161</v>
      </c>
      <c r="H9" s="154" t="s">
        <v>21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1.75" customHeight="1">
      <c r="A10" s="148" t="s">
        <v>51</v>
      </c>
      <c r="B10" s="161" t="s">
        <v>33</v>
      </c>
      <c r="C10" s="150">
        <v>45871.0</v>
      </c>
      <c r="D10" s="151">
        <f t="shared" ref="D10:D11" si="2">31</f>
        <v>31</v>
      </c>
      <c r="E10" s="162">
        <v>50000.0</v>
      </c>
      <c r="F10" s="152">
        <f>E10/31*D10-1100</f>
        <v>48900</v>
      </c>
      <c r="G10" s="213">
        <f>F10-3000-45900</f>
        <v>0</v>
      </c>
      <c r="H10" s="154" t="s">
        <v>32</v>
      </c>
      <c r="I10" s="5"/>
      <c r="J10" s="5"/>
      <c r="K10" s="51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1.75" customHeight="1">
      <c r="A11" s="148" t="s">
        <v>25</v>
      </c>
      <c r="B11" s="149" t="s">
        <v>28</v>
      </c>
      <c r="C11" s="150">
        <v>45792.0</v>
      </c>
      <c r="D11" s="151">
        <f t="shared" si="2"/>
        <v>31</v>
      </c>
      <c r="E11" s="152">
        <v>50000.0</v>
      </c>
      <c r="F11" s="152">
        <f>E11/31*D11-1200</f>
        <v>48800</v>
      </c>
      <c r="G11" s="213">
        <f>F11-48800</f>
        <v>0</v>
      </c>
      <c r="H11" s="154" t="s">
        <v>32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1.75" customHeight="1">
      <c r="A12" s="148" t="s">
        <v>27</v>
      </c>
      <c r="B12" s="222" t="s">
        <v>120</v>
      </c>
      <c r="C12" s="150">
        <v>45710.0</v>
      </c>
      <c r="D12" s="151">
        <v>31.0</v>
      </c>
      <c r="E12" s="152">
        <v>50000.0</v>
      </c>
      <c r="F12" s="152">
        <f>E12/31*D12-950</f>
        <v>49050</v>
      </c>
      <c r="G12" s="213">
        <f>F12-49050</f>
        <v>0</v>
      </c>
      <c r="H12" s="154" t="s">
        <v>40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1.75" customHeight="1">
      <c r="A13" s="148" t="s">
        <v>30</v>
      </c>
      <c r="B13" s="211" t="s">
        <v>81</v>
      </c>
      <c r="C13" s="163">
        <v>45783.0</v>
      </c>
      <c r="D13" s="151">
        <f>31</f>
        <v>31</v>
      </c>
      <c r="E13" s="152">
        <v>40000.0</v>
      </c>
      <c r="F13" s="152">
        <f>E13/31*D13</f>
        <v>40000</v>
      </c>
      <c r="G13" s="213">
        <f>F13-40000</f>
        <v>0</v>
      </c>
      <c r="H13" s="154" t="s">
        <v>40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1.75" customHeight="1">
      <c r="A14" s="148" t="s">
        <v>62</v>
      </c>
      <c r="B14" s="161" t="s">
        <v>121</v>
      </c>
      <c r="C14" s="150">
        <v>45890.0</v>
      </c>
      <c r="D14" s="151">
        <f>31-1-1</f>
        <v>29</v>
      </c>
      <c r="E14" s="162">
        <v>30000.0</v>
      </c>
      <c r="F14" s="152">
        <f>E14/31*D14-1250</f>
        <v>26814.51613</v>
      </c>
      <c r="G14" s="213">
        <f>F14-26815</f>
        <v>-0.4838709677</v>
      </c>
      <c r="H14" s="164" t="s">
        <v>36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1.75" customHeight="1">
      <c r="A15" s="148" t="s">
        <v>53</v>
      </c>
      <c r="B15" s="161" t="s">
        <v>31</v>
      </c>
      <c r="C15" s="150">
        <v>45871.0</v>
      </c>
      <c r="D15" s="151">
        <f>31-2</f>
        <v>29</v>
      </c>
      <c r="E15" s="162">
        <v>30000.0</v>
      </c>
      <c r="F15" s="152">
        <f>E15/31*D15-900</f>
        <v>27164.51613</v>
      </c>
      <c r="G15" s="213">
        <f>F15-27165</f>
        <v>-0.4838709677</v>
      </c>
      <c r="H15" s="164" t="s">
        <v>36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1.75" customHeight="1">
      <c r="A16" s="148" t="s">
        <v>47</v>
      </c>
      <c r="B16" s="161" t="s">
        <v>122</v>
      </c>
      <c r="C16" s="163">
        <v>45859.0</v>
      </c>
      <c r="D16" s="151">
        <f t="shared" ref="D16:D17" si="3">31</f>
        <v>31</v>
      </c>
      <c r="E16" s="152">
        <v>25000.0</v>
      </c>
      <c r="F16" s="152">
        <f>E16/31*D16-850</f>
        <v>24150</v>
      </c>
      <c r="G16" s="213">
        <f>F16-24150</f>
        <v>0</v>
      </c>
      <c r="H16" s="154" t="s">
        <v>43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1.75" customHeight="1">
      <c r="A17" s="148" t="s">
        <v>68</v>
      </c>
      <c r="B17" s="161" t="s">
        <v>35</v>
      </c>
      <c r="C17" s="150">
        <v>45886.0</v>
      </c>
      <c r="D17" s="151">
        <f t="shared" si="3"/>
        <v>31</v>
      </c>
      <c r="E17" s="162">
        <v>25000.0</v>
      </c>
      <c r="F17" s="152">
        <f t="shared" ref="F17:F18" si="4">E17/31*D17-950</f>
        <v>24050</v>
      </c>
      <c r="G17" s="213">
        <f>F17-4050-4000-16000</f>
        <v>0</v>
      </c>
      <c r="H17" s="164" t="s">
        <v>36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1.75" customHeight="1">
      <c r="A18" s="148" t="s">
        <v>65</v>
      </c>
      <c r="B18" s="161" t="s">
        <v>163</v>
      </c>
      <c r="C18" s="150">
        <v>45879.0</v>
      </c>
      <c r="D18" s="151">
        <f>31-1</f>
        <v>30</v>
      </c>
      <c r="E18" s="162">
        <v>25000.0</v>
      </c>
      <c r="F18" s="152">
        <f t="shared" si="4"/>
        <v>23243.54839</v>
      </c>
      <c r="G18" s="213">
        <f>F18-23244</f>
        <v>-0.4516129032</v>
      </c>
      <c r="H18" s="164" t="s">
        <v>36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1.75" customHeight="1">
      <c r="A19" s="148" t="s">
        <v>41</v>
      </c>
      <c r="B19" s="149" t="s">
        <v>123</v>
      </c>
      <c r="C19" s="163">
        <v>45840.0</v>
      </c>
      <c r="D19" s="151">
        <f>31</f>
        <v>31</v>
      </c>
      <c r="E19" s="152">
        <v>22000.0</v>
      </c>
      <c r="F19" s="152">
        <f t="shared" ref="F19:F20" si="5">E19/31*D19-1150</f>
        <v>20850</v>
      </c>
      <c r="G19" s="213">
        <f>F19-5850-2000-13000</f>
        <v>0</v>
      </c>
      <c r="H19" s="154" t="s">
        <v>43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1.75" customHeight="1">
      <c r="A20" s="148" t="s">
        <v>57</v>
      </c>
      <c r="B20" s="161" t="s">
        <v>179</v>
      </c>
      <c r="C20" s="150">
        <v>45889.0</v>
      </c>
      <c r="D20" s="151">
        <f>31-2-2</f>
        <v>27</v>
      </c>
      <c r="E20" s="162">
        <v>25000.0</v>
      </c>
      <c r="F20" s="152">
        <f t="shared" si="5"/>
        <v>20624.19355</v>
      </c>
      <c r="G20" s="213">
        <f>F20-10000-10624</f>
        <v>0.1935483871</v>
      </c>
      <c r="H20" s="164" t="s">
        <v>36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1.75" customHeight="1">
      <c r="A21" s="227" t="s">
        <v>89</v>
      </c>
      <c r="B21" s="228" t="s">
        <v>87</v>
      </c>
      <c r="C21" s="229">
        <v>45934.0</v>
      </c>
      <c r="D21" s="230">
        <v>28.0</v>
      </c>
      <c r="E21" s="231">
        <v>20000.0</v>
      </c>
      <c r="F21" s="231">
        <f>E21/31*D21</f>
        <v>18064.51613</v>
      </c>
      <c r="G21" s="214">
        <f>F21-18065</f>
        <v>-0.4838709677</v>
      </c>
      <c r="H21" s="233" t="s">
        <v>43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1.75" customHeight="1">
      <c r="A22" s="148" t="s">
        <v>60</v>
      </c>
      <c r="B22" s="149" t="s">
        <v>124</v>
      </c>
      <c r="C22" s="150">
        <v>45879.0</v>
      </c>
      <c r="D22" s="151">
        <f t="shared" ref="D22:D24" si="6">31-1-1</f>
        <v>29</v>
      </c>
      <c r="E22" s="162">
        <v>20000.0</v>
      </c>
      <c r="F22" s="152">
        <f>E22/31*D22-950</f>
        <v>17759.67742</v>
      </c>
      <c r="G22" s="213">
        <f>F22-17760</f>
        <v>-0.3225806452</v>
      </c>
      <c r="H22" s="154" t="s">
        <v>43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1.75" customHeight="1">
      <c r="A23" s="148" t="s">
        <v>37</v>
      </c>
      <c r="B23" s="159" t="s">
        <v>42</v>
      </c>
      <c r="C23" s="163">
        <v>45823.0</v>
      </c>
      <c r="D23" s="151">
        <f t="shared" si="6"/>
        <v>29</v>
      </c>
      <c r="E23" s="152">
        <v>20000.0</v>
      </c>
      <c r="F23" s="152">
        <f>E23/31*D23-1150</f>
        <v>17559.67742</v>
      </c>
      <c r="G23" s="213">
        <f>F23-17560</f>
        <v>-0.3225806452</v>
      </c>
      <c r="H23" s="154" t="s">
        <v>43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1.75" customHeight="1">
      <c r="A24" s="148" t="s">
        <v>55</v>
      </c>
      <c r="B24" s="161" t="s">
        <v>170</v>
      </c>
      <c r="C24" s="150">
        <v>45871.0</v>
      </c>
      <c r="D24" s="151">
        <f t="shared" si="6"/>
        <v>29</v>
      </c>
      <c r="E24" s="162">
        <v>20000.0</v>
      </c>
      <c r="F24" s="152">
        <f>E24/31*D24-1200</f>
        <v>17509.67742</v>
      </c>
      <c r="G24" s="213">
        <f>F24-17510</f>
        <v>-0.3225806452</v>
      </c>
      <c r="H24" s="164" t="s">
        <v>36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1.75" customHeight="1">
      <c r="A25" s="148" t="s">
        <v>75</v>
      </c>
      <c r="B25" s="149" t="s">
        <v>181</v>
      </c>
      <c r="C25" s="150">
        <v>45916.0</v>
      </c>
      <c r="D25" s="151">
        <f>31-3</f>
        <v>28</v>
      </c>
      <c r="E25" s="162">
        <v>20000.0</v>
      </c>
      <c r="F25" s="152">
        <f t="shared" ref="F25:F26" si="7">E25/31*D25-950</f>
        <v>17114.51613</v>
      </c>
      <c r="G25" s="213">
        <f>F25-2000-15115</f>
        <v>-0.4838709677</v>
      </c>
      <c r="H25" s="164" t="s">
        <v>36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1.75" customHeight="1">
      <c r="A26" s="148" t="s">
        <v>70</v>
      </c>
      <c r="B26" s="215" t="s">
        <v>171</v>
      </c>
      <c r="C26" s="150">
        <v>45901.0</v>
      </c>
      <c r="D26" s="151">
        <f>31-4</f>
        <v>27</v>
      </c>
      <c r="E26" s="162">
        <v>20000.0</v>
      </c>
      <c r="F26" s="152">
        <f t="shared" si="7"/>
        <v>16469.35484</v>
      </c>
      <c r="G26" s="213">
        <f>F26-16469</f>
        <v>0.3548387097</v>
      </c>
      <c r="H26" s="164" t="s">
        <v>36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1.75" customHeight="1">
      <c r="A27" s="148" t="s">
        <v>49</v>
      </c>
      <c r="B27" s="161" t="s">
        <v>172</v>
      </c>
      <c r="C27" s="163">
        <v>45859.0</v>
      </c>
      <c r="D27" s="151">
        <f>31-1</f>
        <v>30</v>
      </c>
      <c r="E27" s="152">
        <v>18000.0</v>
      </c>
      <c r="F27" s="152">
        <f t="shared" ref="F27:F28" si="8">E27/31*D27-1050</f>
        <v>16369.35484</v>
      </c>
      <c r="G27" s="213">
        <f>F27-16369</f>
        <v>0.3548387097</v>
      </c>
      <c r="H27" s="154" t="s">
        <v>43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1.75" customHeight="1">
      <c r="A28" s="148" t="s">
        <v>72</v>
      </c>
      <c r="B28" s="215" t="s">
        <v>126</v>
      </c>
      <c r="C28" s="150">
        <v>45901.0</v>
      </c>
      <c r="D28" s="151">
        <f>31-3-1</f>
        <v>27</v>
      </c>
      <c r="E28" s="162">
        <v>20000.0</v>
      </c>
      <c r="F28" s="152">
        <f t="shared" si="8"/>
        <v>16369.35484</v>
      </c>
      <c r="G28" s="213">
        <f>F28-10000-6369</f>
        <v>0.3548387097</v>
      </c>
      <c r="H28" s="154" t="s">
        <v>43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1.75" customHeight="1">
      <c r="A29" s="148" t="s">
        <v>64</v>
      </c>
      <c r="B29" s="215" t="s">
        <v>180</v>
      </c>
      <c r="C29" s="150">
        <v>45901.0</v>
      </c>
      <c r="D29" s="151">
        <f>31-7</f>
        <v>24</v>
      </c>
      <c r="E29" s="162">
        <v>20000.0</v>
      </c>
      <c r="F29" s="152">
        <f>E29/31*D29-750</f>
        <v>14733.87097</v>
      </c>
      <c r="G29" s="213">
        <f>F29-4734-2000-8000</f>
        <v>-0.1290322581</v>
      </c>
      <c r="H29" s="164" t="s">
        <v>36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1.75" customHeight="1">
      <c r="A30" s="148" t="s">
        <v>34</v>
      </c>
      <c r="B30" s="159" t="s">
        <v>38</v>
      </c>
      <c r="C30" s="150">
        <v>45787.0</v>
      </c>
      <c r="D30" s="187">
        <f>31-5-3</f>
        <v>23</v>
      </c>
      <c r="E30" s="162">
        <v>20000.0</v>
      </c>
      <c r="F30" s="152">
        <f>E30/31*D30-18</f>
        <v>14820.70968</v>
      </c>
      <c r="G30" s="213">
        <f>F30-14821</f>
        <v>-0.2903225806</v>
      </c>
      <c r="H30" s="154" t="s">
        <v>43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1.75" customHeight="1">
      <c r="A31" s="227" t="s">
        <v>91</v>
      </c>
      <c r="B31" s="236" t="s">
        <v>125</v>
      </c>
      <c r="C31" s="229">
        <v>45943.0</v>
      </c>
      <c r="D31" s="230">
        <f>19-1</f>
        <v>18</v>
      </c>
      <c r="E31" s="231">
        <v>20000.0</v>
      </c>
      <c r="F31" s="231">
        <f>E31/31*D31-500</f>
        <v>11112.90323</v>
      </c>
      <c r="G31" s="214">
        <f>F31-2000-9113</f>
        <v>-0.09677419355</v>
      </c>
      <c r="H31" s="233" t="s">
        <v>43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21.75" customHeight="1">
      <c r="A32" s="148" t="s">
        <v>44</v>
      </c>
      <c r="B32" s="161" t="s">
        <v>189</v>
      </c>
      <c r="C32" s="163">
        <v>45845.0</v>
      </c>
      <c r="D32" s="151">
        <f>31-31</f>
        <v>0</v>
      </c>
      <c r="E32" s="152">
        <v>25000.0</v>
      </c>
      <c r="F32" s="152">
        <f>E32/31*D32</f>
        <v>0</v>
      </c>
      <c r="G32" s="213">
        <f>F32</f>
        <v>0</v>
      </c>
      <c r="H32" s="164" t="s">
        <v>36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21.75" customHeight="1">
      <c r="A33" s="211"/>
      <c r="B33" s="161" t="s">
        <v>166</v>
      </c>
      <c r="C33" s="163"/>
      <c r="D33" s="151"/>
      <c r="E33" s="212">
        <v>44000.0</v>
      </c>
      <c r="F33" s="212">
        <v>44000.0</v>
      </c>
      <c r="G33" s="213"/>
      <c r="H33" s="154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21.75" customHeight="1">
      <c r="A34" s="189" t="s">
        <v>78</v>
      </c>
      <c r="B34" s="190"/>
      <c r="C34" s="191"/>
      <c r="D34" s="191"/>
      <c r="E34" s="152">
        <f t="shared" ref="E34:G34" si="9">SUM(E7:E33)</f>
        <v>1019000</v>
      </c>
      <c r="F34" s="152">
        <f t="shared" si="9"/>
        <v>921012.6452</v>
      </c>
      <c r="G34" s="152">
        <f t="shared" si="9"/>
        <v>-2.35483871</v>
      </c>
      <c r="H34" s="154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120"/>
      <c r="B35" s="120"/>
      <c r="C35" s="121"/>
      <c r="D35" s="121"/>
      <c r="E35" s="122"/>
      <c r="F35" s="122"/>
      <c r="G35" s="123"/>
      <c r="H35" s="11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120"/>
      <c r="B36" s="120"/>
      <c r="C36" s="121"/>
      <c r="D36" s="121"/>
      <c r="E36" s="122"/>
      <c r="F36" s="122"/>
      <c r="G36" s="123"/>
      <c r="H36" s="11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120"/>
      <c r="B37" s="120"/>
      <c r="C37" s="121"/>
      <c r="D37" s="121"/>
      <c r="E37" s="122"/>
      <c r="F37" s="122"/>
      <c r="G37" s="123"/>
      <c r="H37" s="11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120"/>
      <c r="B38" s="120"/>
      <c r="C38" s="121"/>
      <c r="D38" s="121"/>
      <c r="E38" s="122"/>
      <c r="F38" s="122"/>
      <c r="G38" s="123"/>
      <c r="H38" s="11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6.5" customHeight="1">
      <c r="A39" s="120"/>
      <c r="B39" s="120"/>
      <c r="C39" s="121"/>
      <c r="D39" s="121"/>
      <c r="E39" s="122"/>
      <c r="F39" s="122"/>
      <c r="G39" s="123"/>
      <c r="H39" s="11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6.5" customHeight="1">
      <c r="A40" s="120"/>
      <c r="B40" s="120"/>
      <c r="C40" s="121"/>
      <c r="D40" s="121"/>
      <c r="E40" s="122"/>
      <c r="F40" s="122"/>
      <c r="G40" s="123"/>
      <c r="H40" s="11"/>
      <c r="I40" s="5"/>
      <c r="J40" s="5"/>
      <c r="K40" s="5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6.5" customHeight="1">
      <c r="A41" s="120"/>
      <c r="B41" s="120"/>
      <c r="C41" s="121"/>
      <c r="D41" s="121"/>
      <c r="E41" s="122"/>
      <c r="F41" s="122"/>
      <c r="G41" s="123"/>
      <c r="H41" s="11"/>
      <c r="I41" s="5"/>
      <c r="J41" s="5"/>
      <c r="K41" s="5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6.5" customHeight="1">
      <c r="A42" s="120"/>
      <c r="B42" s="120"/>
      <c r="C42" s="121"/>
      <c r="D42" s="121"/>
      <c r="E42" s="122"/>
      <c r="F42" s="122"/>
      <c r="G42" s="123"/>
      <c r="H42" s="11"/>
      <c r="I42" s="5"/>
      <c r="J42" s="5"/>
      <c r="K42" s="5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6.5" customHeight="1">
      <c r="A43" s="120"/>
      <c r="B43" s="120"/>
      <c r="C43" s="121"/>
      <c r="D43" s="121"/>
      <c r="E43" s="122"/>
      <c r="F43" s="122"/>
      <c r="G43" s="123"/>
      <c r="H43" s="11"/>
      <c r="I43" s="5"/>
      <c r="J43" s="5"/>
      <c r="K43" s="5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6.5" customHeight="1">
      <c r="A44" s="120"/>
      <c r="B44" s="120"/>
      <c r="C44" s="121"/>
      <c r="D44" s="121"/>
      <c r="E44" s="122"/>
      <c r="F44" s="122"/>
      <c r="G44" s="123"/>
      <c r="H44" s="11"/>
      <c r="I44" s="5"/>
      <c r="J44" s="5"/>
      <c r="K44" s="5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6.5" customHeight="1">
      <c r="A45" s="7"/>
      <c r="B45" s="7"/>
      <c r="C45" s="5"/>
      <c r="D45" s="5"/>
      <c r="E45" s="9"/>
      <c r="F45" s="9"/>
      <c r="G45" s="10"/>
      <c r="H45" s="11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7"/>
      <c r="B46" s="7"/>
      <c r="C46" s="5"/>
      <c r="D46" s="5"/>
      <c r="E46" s="9"/>
      <c r="F46" s="9"/>
      <c r="G46" s="10"/>
      <c r="H46" s="11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7"/>
      <c r="B47" s="7"/>
      <c r="C47" s="5"/>
      <c r="D47" s="5"/>
      <c r="E47" s="9"/>
      <c r="F47" s="9"/>
      <c r="G47" s="10"/>
      <c r="H47" s="11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7"/>
      <c r="B48" s="7"/>
      <c r="C48" s="5"/>
      <c r="D48" s="5"/>
      <c r="E48" s="9"/>
      <c r="F48" s="9"/>
      <c r="G48" s="10"/>
      <c r="H48" s="11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7"/>
      <c r="B49" s="7"/>
      <c r="C49" s="5"/>
      <c r="D49" s="5"/>
      <c r="E49" s="9"/>
      <c r="F49" s="9"/>
      <c r="G49" s="10"/>
      <c r="H49" s="11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7"/>
      <c r="B50" s="7"/>
      <c r="C50" s="5"/>
      <c r="D50" s="5"/>
      <c r="E50" s="9"/>
      <c r="F50" s="9"/>
      <c r="G50" s="10"/>
      <c r="H50" s="11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7"/>
      <c r="B51" s="7"/>
      <c r="C51" s="5"/>
      <c r="D51" s="5"/>
      <c r="E51" s="9"/>
      <c r="F51" s="9"/>
      <c r="G51" s="10"/>
      <c r="H51" s="11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7"/>
      <c r="B52" s="7"/>
      <c r="C52" s="5"/>
      <c r="D52" s="5"/>
      <c r="E52" s="9"/>
      <c r="F52" s="9"/>
      <c r="G52" s="10"/>
      <c r="H52" s="11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7"/>
      <c r="B53" s="7"/>
      <c r="C53" s="5"/>
      <c r="D53" s="5"/>
      <c r="E53" s="9"/>
      <c r="F53" s="9"/>
      <c r="G53" s="10"/>
      <c r="H53" s="11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7"/>
      <c r="B54" s="7"/>
      <c r="C54" s="5"/>
      <c r="D54" s="5"/>
      <c r="E54" s="9"/>
      <c r="F54" s="9"/>
      <c r="G54" s="10"/>
      <c r="H54" s="11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7"/>
      <c r="B55" s="7"/>
      <c r="C55" s="5"/>
      <c r="D55" s="5"/>
      <c r="E55" s="9"/>
      <c r="F55" s="9"/>
      <c r="G55" s="10"/>
      <c r="H55" s="11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6.5" customHeight="1">
      <c r="A56" s="7"/>
      <c r="B56" s="7"/>
      <c r="C56" s="5"/>
      <c r="D56" s="5"/>
      <c r="E56" s="9"/>
      <c r="F56" s="9"/>
      <c r="G56" s="10"/>
      <c r="H56" s="11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6.5" customHeight="1">
      <c r="A57" s="7"/>
      <c r="B57" s="7"/>
      <c r="C57" s="5"/>
      <c r="D57" s="5"/>
      <c r="E57" s="9"/>
      <c r="F57" s="9"/>
      <c r="G57" s="10"/>
      <c r="H57" s="11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7"/>
      <c r="B58" s="7"/>
      <c r="C58" s="5"/>
      <c r="D58" s="5"/>
      <c r="E58" s="9"/>
      <c r="F58" s="9"/>
      <c r="G58" s="10"/>
      <c r="H58" s="11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7"/>
      <c r="B59" s="7"/>
      <c r="C59" s="5"/>
      <c r="D59" s="5"/>
      <c r="E59" s="9"/>
      <c r="F59" s="9"/>
      <c r="G59" s="10"/>
      <c r="H59" s="11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7"/>
      <c r="B60" s="7"/>
      <c r="C60" s="5"/>
      <c r="D60" s="5"/>
      <c r="E60" s="9"/>
      <c r="F60" s="9"/>
      <c r="G60" s="10"/>
      <c r="H60" s="11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7"/>
      <c r="B61" s="7"/>
      <c r="C61" s="5"/>
      <c r="D61" s="5"/>
      <c r="E61" s="9"/>
      <c r="F61" s="9"/>
      <c r="G61" s="10"/>
      <c r="H61" s="11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7"/>
      <c r="B62" s="7"/>
      <c r="C62" s="5"/>
      <c r="D62" s="5"/>
      <c r="E62" s="9"/>
      <c r="F62" s="9"/>
      <c r="G62" s="10"/>
      <c r="H62" s="11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7"/>
      <c r="B63" s="7"/>
      <c r="C63" s="5"/>
      <c r="D63" s="5"/>
      <c r="E63" s="9"/>
      <c r="F63" s="9"/>
      <c r="G63" s="10"/>
      <c r="H63" s="11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7"/>
      <c r="B64" s="7"/>
      <c r="C64" s="5"/>
      <c r="D64" s="5"/>
      <c r="E64" s="9"/>
      <c r="F64" s="9"/>
      <c r="G64" s="10"/>
      <c r="H64" s="11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7"/>
      <c r="B65" s="7"/>
      <c r="C65" s="5"/>
      <c r="D65" s="5"/>
      <c r="E65" s="9"/>
      <c r="F65" s="9"/>
      <c r="G65" s="10"/>
      <c r="H65" s="11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7"/>
      <c r="B66" s="7"/>
      <c r="C66" s="5"/>
      <c r="D66" s="5"/>
      <c r="E66" s="9"/>
      <c r="F66" s="9"/>
      <c r="G66" s="10"/>
      <c r="H66" s="11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7"/>
      <c r="B67" s="7"/>
      <c r="C67" s="5"/>
      <c r="D67" s="5"/>
      <c r="E67" s="9"/>
      <c r="F67" s="9"/>
      <c r="G67" s="10"/>
      <c r="H67" s="11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7"/>
      <c r="B68" s="7"/>
      <c r="C68" s="5"/>
      <c r="D68" s="5"/>
      <c r="E68" s="9"/>
      <c r="F68" s="9"/>
      <c r="G68" s="10"/>
      <c r="H68" s="11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7"/>
      <c r="B69" s="7"/>
      <c r="C69" s="5"/>
      <c r="D69" s="5"/>
      <c r="E69" s="9"/>
      <c r="F69" s="9"/>
      <c r="G69" s="10"/>
      <c r="H69" s="11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7"/>
      <c r="B70" s="7"/>
      <c r="C70" s="5"/>
      <c r="D70" s="5"/>
      <c r="E70" s="9"/>
      <c r="F70" s="9"/>
      <c r="G70" s="10"/>
      <c r="H70" s="11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7"/>
      <c r="B71" s="7"/>
      <c r="C71" s="5"/>
      <c r="D71" s="5"/>
      <c r="E71" s="9"/>
      <c r="F71" s="9"/>
      <c r="G71" s="10"/>
      <c r="H71" s="11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7"/>
      <c r="B72" s="7"/>
      <c r="C72" s="5"/>
      <c r="D72" s="5"/>
      <c r="E72" s="9"/>
      <c r="F72" s="9"/>
      <c r="G72" s="10"/>
      <c r="H72" s="11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7"/>
      <c r="B73" s="7"/>
      <c r="C73" s="5"/>
      <c r="D73" s="5"/>
      <c r="E73" s="9"/>
      <c r="F73" s="9"/>
      <c r="G73" s="10"/>
      <c r="H73" s="11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7"/>
      <c r="B74" s="7"/>
      <c r="C74" s="5"/>
      <c r="D74" s="5"/>
      <c r="E74" s="9"/>
      <c r="F74" s="9"/>
      <c r="G74" s="10"/>
      <c r="H74" s="11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7"/>
      <c r="B75" s="7"/>
      <c r="C75" s="5"/>
      <c r="D75" s="5"/>
      <c r="E75" s="9"/>
      <c r="F75" s="9"/>
      <c r="G75" s="10"/>
      <c r="H75" s="11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7"/>
      <c r="B76" s="7"/>
      <c r="C76" s="5"/>
      <c r="D76" s="5"/>
      <c r="E76" s="9"/>
      <c r="F76" s="9"/>
      <c r="G76" s="10"/>
      <c r="H76" s="11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7"/>
      <c r="B77" s="7"/>
      <c r="C77" s="5"/>
      <c r="D77" s="5"/>
      <c r="E77" s="9"/>
      <c r="F77" s="9"/>
      <c r="G77" s="10"/>
      <c r="H77" s="11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7"/>
      <c r="B78" s="7"/>
      <c r="C78" s="5"/>
      <c r="D78" s="5"/>
      <c r="E78" s="9"/>
      <c r="F78" s="9"/>
      <c r="G78" s="10"/>
      <c r="H78" s="11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7"/>
      <c r="B79" s="7"/>
      <c r="C79" s="5"/>
      <c r="D79" s="5"/>
      <c r="E79" s="9"/>
      <c r="F79" s="9"/>
      <c r="G79" s="10"/>
      <c r="H79" s="11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7"/>
      <c r="B80" s="7"/>
      <c r="C80" s="5"/>
      <c r="D80" s="5"/>
      <c r="E80" s="9"/>
      <c r="F80" s="9"/>
      <c r="G80" s="10"/>
      <c r="H80" s="11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7"/>
      <c r="B81" s="7"/>
      <c r="C81" s="5"/>
      <c r="D81" s="5"/>
      <c r="E81" s="9"/>
      <c r="F81" s="9"/>
      <c r="G81" s="10"/>
      <c r="H81" s="11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7"/>
      <c r="B82" s="7"/>
      <c r="C82" s="5"/>
      <c r="D82" s="5"/>
      <c r="E82" s="9"/>
      <c r="F82" s="9"/>
      <c r="G82" s="10"/>
      <c r="H82" s="11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7"/>
      <c r="B83" s="7"/>
      <c r="C83" s="5"/>
      <c r="D83" s="5"/>
      <c r="E83" s="9"/>
      <c r="F83" s="9"/>
      <c r="G83" s="10"/>
      <c r="H83" s="11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7"/>
      <c r="B84" s="7"/>
      <c r="C84" s="5"/>
      <c r="D84" s="5"/>
      <c r="E84" s="9"/>
      <c r="F84" s="9"/>
      <c r="G84" s="10"/>
      <c r="H84" s="11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7"/>
      <c r="B85" s="7"/>
      <c r="C85" s="5"/>
      <c r="D85" s="5"/>
      <c r="E85" s="9"/>
      <c r="F85" s="9"/>
      <c r="G85" s="10"/>
      <c r="H85" s="11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7"/>
      <c r="B86" s="7"/>
      <c r="C86" s="5"/>
      <c r="D86" s="5"/>
      <c r="E86" s="9"/>
      <c r="F86" s="9"/>
      <c r="G86" s="10"/>
      <c r="H86" s="11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7"/>
      <c r="B87" s="7"/>
      <c r="C87" s="5"/>
      <c r="D87" s="5"/>
      <c r="E87" s="9"/>
      <c r="F87" s="9"/>
      <c r="G87" s="10"/>
      <c r="H87" s="11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7"/>
      <c r="B88" s="7"/>
      <c r="C88" s="5"/>
      <c r="D88" s="5"/>
      <c r="E88" s="9"/>
      <c r="F88" s="9"/>
      <c r="G88" s="10"/>
      <c r="H88" s="11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7"/>
      <c r="B89" s="7"/>
      <c r="C89" s="5"/>
      <c r="D89" s="5"/>
      <c r="E89" s="9"/>
      <c r="F89" s="9"/>
      <c r="G89" s="10"/>
      <c r="H89" s="11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7"/>
      <c r="B90" s="7"/>
      <c r="C90" s="5"/>
      <c r="D90" s="5"/>
      <c r="E90" s="9"/>
      <c r="F90" s="9"/>
      <c r="G90" s="10"/>
      <c r="H90" s="11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7"/>
      <c r="B91" s="7"/>
      <c r="C91" s="5"/>
      <c r="D91" s="5"/>
      <c r="E91" s="9"/>
      <c r="F91" s="9"/>
      <c r="G91" s="10"/>
      <c r="H91" s="11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7"/>
      <c r="B92" s="7"/>
      <c r="C92" s="5"/>
      <c r="D92" s="5"/>
      <c r="E92" s="9"/>
      <c r="F92" s="9"/>
      <c r="G92" s="10"/>
      <c r="H92" s="11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7"/>
      <c r="B93" s="7"/>
      <c r="C93" s="5"/>
      <c r="D93" s="5"/>
      <c r="E93" s="9"/>
      <c r="F93" s="9"/>
      <c r="G93" s="10"/>
      <c r="H93" s="11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7"/>
      <c r="B94" s="7"/>
      <c r="C94" s="5"/>
      <c r="D94" s="5"/>
      <c r="E94" s="9"/>
      <c r="F94" s="9"/>
      <c r="G94" s="10"/>
      <c r="H94" s="11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7"/>
      <c r="B95" s="7"/>
      <c r="C95" s="5"/>
      <c r="D95" s="5"/>
      <c r="E95" s="9"/>
      <c r="F95" s="9"/>
      <c r="G95" s="10"/>
      <c r="H95" s="11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7"/>
      <c r="B96" s="7"/>
      <c r="C96" s="5"/>
      <c r="D96" s="5"/>
      <c r="E96" s="9"/>
      <c r="F96" s="9"/>
      <c r="G96" s="10"/>
      <c r="H96" s="11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7"/>
      <c r="B97" s="7"/>
      <c r="C97" s="5"/>
      <c r="D97" s="5"/>
      <c r="E97" s="9"/>
      <c r="F97" s="9"/>
      <c r="G97" s="10"/>
      <c r="H97" s="11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7"/>
      <c r="B98" s="7"/>
      <c r="C98" s="5"/>
      <c r="D98" s="5"/>
      <c r="E98" s="9"/>
      <c r="F98" s="9"/>
      <c r="G98" s="10"/>
      <c r="H98" s="11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7"/>
      <c r="B99" s="7"/>
      <c r="C99" s="5"/>
      <c r="D99" s="5"/>
      <c r="E99" s="9"/>
      <c r="F99" s="9"/>
      <c r="G99" s="10"/>
      <c r="H99" s="11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7"/>
      <c r="B100" s="7"/>
      <c r="C100" s="5"/>
      <c r="D100" s="5"/>
      <c r="E100" s="9"/>
      <c r="F100" s="9"/>
      <c r="G100" s="10"/>
      <c r="H100" s="11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7"/>
      <c r="B101" s="7"/>
      <c r="C101" s="5"/>
      <c r="D101" s="5"/>
      <c r="E101" s="9"/>
      <c r="F101" s="9"/>
      <c r="G101" s="10"/>
      <c r="H101" s="11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7"/>
      <c r="B102" s="7"/>
      <c r="C102" s="5"/>
      <c r="D102" s="5"/>
      <c r="E102" s="9"/>
      <c r="F102" s="9"/>
      <c r="G102" s="10"/>
      <c r="H102" s="11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7"/>
      <c r="B103" s="7"/>
      <c r="C103" s="5"/>
      <c r="D103" s="5"/>
      <c r="E103" s="9"/>
      <c r="F103" s="9"/>
      <c r="G103" s="10"/>
      <c r="H103" s="11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7"/>
      <c r="B104" s="7"/>
      <c r="C104" s="5"/>
      <c r="D104" s="5"/>
      <c r="E104" s="9"/>
      <c r="F104" s="9"/>
      <c r="G104" s="10"/>
      <c r="H104" s="11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7"/>
      <c r="B105" s="7"/>
      <c r="C105" s="5"/>
      <c r="D105" s="5"/>
      <c r="E105" s="9"/>
      <c r="F105" s="9"/>
      <c r="G105" s="10"/>
      <c r="H105" s="11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7"/>
      <c r="B106" s="7"/>
      <c r="C106" s="5"/>
      <c r="D106" s="5"/>
      <c r="E106" s="9"/>
      <c r="F106" s="9"/>
      <c r="G106" s="10"/>
      <c r="H106" s="11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7"/>
      <c r="B107" s="7"/>
      <c r="C107" s="5"/>
      <c r="D107" s="5"/>
      <c r="E107" s="9"/>
      <c r="F107" s="9"/>
      <c r="G107" s="10"/>
      <c r="H107" s="11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7"/>
      <c r="B108" s="7"/>
      <c r="C108" s="5"/>
      <c r="D108" s="5"/>
      <c r="E108" s="9"/>
      <c r="F108" s="9"/>
      <c r="G108" s="10"/>
      <c r="H108" s="11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7"/>
      <c r="B109" s="7"/>
      <c r="C109" s="5"/>
      <c r="D109" s="5"/>
      <c r="E109" s="9"/>
      <c r="F109" s="9"/>
      <c r="G109" s="10"/>
      <c r="H109" s="11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7"/>
      <c r="B110" s="7"/>
      <c r="C110" s="5"/>
      <c r="D110" s="5"/>
      <c r="E110" s="9"/>
      <c r="F110" s="9"/>
      <c r="G110" s="10"/>
      <c r="H110" s="11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7"/>
      <c r="B111" s="7"/>
      <c r="C111" s="5"/>
      <c r="D111" s="5"/>
      <c r="E111" s="9"/>
      <c r="F111" s="9"/>
      <c r="G111" s="10"/>
      <c r="H111" s="11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7"/>
      <c r="B112" s="7"/>
      <c r="C112" s="5"/>
      <c r="D112" s="5"/>
      <c r="E112" s="9"/>
      <c r="F112" s="9"/>
      <c r="G112" s="10"/>
      <c r="H112" s="11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7"/>
      <c r="B113" s="7"/>
      <c r="C113" s="5"/>
      <c r="D113" s="5"/>
      <c r="E113" s="9"/>
      <c r="F113" s="9"/>
      <c r="G113" s="10"/>
      <c r="H113" s="11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7"/>
      <c r="B114" s="7"/>
      <c r="C114" s="5"/>
      <c r="D114" s="5"/>
      <c r="E114" s="9"/>
      <c r="F114" s="9"/>
      <c r="G114" s="10"/>
      <c r="H114" s="11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7"/>
      <c r="B115" s="7"/>
      <c r="C115" s="5"/>
      <c r="D115" s="5"/>
      <c r="E115" s="9"/>
      <c r="F115" s="9"/>
      <c r="G115" s="10"/>
      <c r="H115" s="11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7"/>
      <c r="B116" s="7"/>
      <c r="C116" s="5"/>
      <c r="D116" s="5"/>
      <c r="E116" s="9"/>
      <c r="F116" s="9"/>
      <c r="G116" s="10"/>
      <c r="H116" s="11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7"/>
      <c r="B117" s="7"/>
      <c r="C117" s="5"/>
      <c r="D117" s="5"/>
      <c r="E117" s="9"/>
      <c r="F117" s="9"/>
      <c r="G117" s="10"/>
      <c r="H117" s="11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7"/>
      <c r="B118" s="7"/>
      <c r="C118" s="5"/>
      <c r="D118" s="5"/>
      <c r="E118" s="9"/>
      <c r="F118" s="9"/>
      <c r="G118" s="10"/>
      <c r="H118" s="11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7"/>
      <c r="B119" s="7"/>
      <c r="C119" s="5"/>
      <c r="D119" s="5"/>
      <c r="E119" s="9"/>
      <c r="F119" s="9"/>
      <c r="G119" s="10"/>
      <c r="H119" s="11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7"/>
      <c r="B120" s="7"/>
      <c r="C120" s="5"/>
      <c r="D120" s="5"/>
      <c r="E120" s="9"/>
      <c r="F120" s="9"/>
      <c r="G120" s="10"/>
      <c r="H120" s="11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7"/>
      <c r="B121" s="7"/>
      <c r="C121" s="5"/>
      <c r="D121" s="5"/>
      <c r="E121" s="9"/>
      <c r="F121" s="9"/>
      <c r="G121" s="10"/>
      <c r="H121" s="11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7"/>
      <c r="B122" s="7"/>
      <c r="C122" s="5"/>
      <c r="D122" s="5"/>
      <c r="E122" s="9"/>
      <c r="F122" s="9"/>
      <c r="G122" s="10"/>
      <c r="H122" s="11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7"/>
      <c r="B123" s="7"/>
      <c r="C123" s="5"/>
      <c r="D123" s="5"/>
      <c r="E123" s="9"/>
      <c r="F123" s="9"/>
      <c r="G123" s="10"/>
      <c r="H123" s="11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7"/>
      <c r="B124" s="7"/>
      <c r="C124" s="5"/>
      <c r="D124" s="5"/>
      <c r="E124" s="9"/>
      <c r="F124" s="9"/>
      <c r="G124" s="10"/>
      <c r="H124" s="11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7"/>
      <c r="B125" s="7"/>
      <c r="C125" s="5"/>
      <c r="D125" s="5"/>
      <c r="E125" s="9"/>
      <c r="F125" s="9"/>
      <c r="G125" s="10"/>
      <c r="H125" s="11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7"/>
      <c r="B126" s="7"/>
      <c r="C126" s="5"/>
      <c r="D126" s="5"/>
      <c r="E126" s="9"/>
      <c r="F126" s="9"/>
      <c r="G126" s="10"/>
      <c r="H126" s="11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7"/>
      <c r="B127" s="7"/>
      <c r="C127" s="5"/>
      <c r="D127" s="5"/>
      <c r="E127" s="9"/>
      <c r="F127" s="9"/>
      <c r="G127" s="10"/>
      <c r="H127" s="11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7"/>
      <c r="B128" s="7"/>
      <c r="C128" s="5"/>
      <c r="D128" s="5"/>
      <c r="E128" s="9"/>
      <c r="F128" s="9"/>
      <c r="G128" s="10"/>
      <c r="H128" s="11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7"/>
      <c r="B129" s="7"/>
      <c r="C129" s="5"/>
      <c r="D129" s="5"/>
      <c r="E129" s="9"/>
      <c r="F129" s="9"/>
      <c r="G129" s="10"/>
      <c r="H129" s="11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7"/>
      <c r="B130" s="7"/>
      <c r="C130" s="5"/>
      <c r="D130" s="5"/>
      <c r="E130" s="9"/>
      <c r="F130" s="9"/>
      <c r="G130" s="10"/>
      <c r="H130" s="11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7"/>
      <c r="B131" s="7"/>
      <c r="C131" s="5"/>
      <c r="D131" s="5"/>
      <c r="E131" s="9"/>
      <c r="F131" s="9"/>
      <c r="G131" s="10"/>
      <c r="H131" s="11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7"/>
      <c r="B132" s="7"/>
      <c r="C132" s="5"/>
      <c r="D132" s="5"/>
      <c r="E132" s="9"/>
      <c r="F132" s="9"/>
      <c r="G132" s="10"/>
      <c r="H132" s="11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7"/>
      <c r="B133" s="7"/>
      <c r="C133" s="5"/>
      <c r="D133" s="5"/>
      <c r="E133" s="9"/>
      <c r="F133" s="9"/>
      <c r="G133" s="10"/>
      <c r="H133" s="11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7"/>
      <c r="B134" s="7"/>
      <c r="C134" s="5"/>
      <c r="D134" s="5"/>
      <c r="E134" s="9"/>
      <c r="F134" s="9"/>
      <c r="G134" s="10"/>
      <c r="H134" s="11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7"/>
      <c r="B135" s="7"/>
      <c r="C135" s="5"/>
      <c r="D135" s="5"/>
      <c r="E135" s="9"/>
      <c r="F135" s="9"/>
      <c r="G135" s="10"/>
      <c r="H135" s="11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7"/>
      <c r="B136" s="7"/>
      <c r="C136" s="5"/>
      <c r="D136" s="5"/>
      <c r="E136" s="9"/>
      <c r="F136" s="9"/>
      <c r="G136" s="10"/>
      <c r="H136" s="11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7"/>
      <c r="B137" s="7"/>
      <c r="C137" s="5"/>
      <c r="D137" s="5"/>
      <c r="E137" s="9"/>
      <c r="F137" s="9"/>
      <c r="G137" s="10"/>
      <c r="H137" s="11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7"/>
      <c r="B138" s="7"/>
      <c r="C138" s="5"/>
      <c r="D138" s="5"/>
      <c r="E138" s="9"/>
      <c r="F138" s="9"/>
      <c r="G138" s="10"/>
      <c r="H138" s="11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7"/>
      <c r="B139" s="7"/>
      <c r="C139" s="5"/>
      <c r="D139" s="5"/>
      <c r="E139" s="9"/>
      <c r="F139" s="9"/>
      <c r="G139" s="10"/>
      <c r="H139" s="11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7"/>
      <c r="B140" s="7"/>
      <c r="C140" s="5"/>
      <c r="D140" s="5"/>
      <c r="E140" s="9"/>
      <c r="F140" s="9"/>
      <c r="G140" s="10"/>
      <c r="H140" s="11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7"/>
      <c r="B141" s="7"/>
      <c r="C141" s="5"/>
      <c r="D141" s="5"/>
      <c r="E141" s="9"/>
      <c r="F141" s="9"/>
      <c r="G141" s="10"/>
      <c r="H141" s="11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7"/>
      <c r="B142" s="7"/>
      <c r="C142" s="5"/>
      <c r="D142" s="5"/>
      <c r="E142" s="9"/>
      <c r="F142" s="9"/>
      <c r="G142" s="10"/>
      <c r="H142" s="11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7"/>
      <c r="B143" s="7"/>
      <c r="C143" s="5"/>
      <c r="D143" s="5"/>
      <c r="E143" s="9"/>
      <c r="F143" s="9"/>
      <c r="G143" s="10"/>
      <c r="H143" s="11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7"/>
      <c r="B144" s="7"/>
      <c r="C144" s="5"/>
      <c r="D144" s="5"/>
      <c r="E144" s="9"/>
      <c r="F144" s="9"/>
      <c r="G144" s="10"/>
      <c r="H144" s="11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7"/>
      <c r="B145" s="7"/>
      <c r="C145" s="5"/>
      <c r="D145" s="5"/>
      <c r="E145" s="9"/>
      <c r="F145" s="9"/>
      <c r="G145" s="10"/>
      <c r="H145" s="11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7"/>
      <c r="B146" s="7"/>
      <c r="C146" s="5"/>
      <c r="D146" s="5"/>
      <c r="E146" s="9"/>
      <c r="F146" s="9"/>
      <c r="G146" s="10"/>
      <c r="H146" s="11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7"/>
      <c r="B147" s="7"/>
      <c r="C147" s="5"/>
      <c r="D147" s="5"/>
      <c r="E147" s="9"/>
      <c r="F147" s="9"/>
      <c r="G147" s="10"/>
      <c r="H147" s="11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7"/>
      <c r="B148" s="7"/>
      <c r="C148" s="5"/>
      <c r="D148" s="5"/>
      <c r="E148" s="9"/>
      <c r="F148" s="9"/>
      <c r="G148" s="10"/>
      <c r="H148" s="11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7"/>
      <c r="B149" s="7"/>
      <c r="C149" s="5"/>
      <c r="D149" s="5"/>
      <c r="E149" s="9"/>
      <c r="F149" s="9"/>
      <c r="G149" s="10"/>
      <c r="H149" s="11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7"/>
      <c r="B150" s="7"/>
      <c r="C150" s="5"/>
      <c r="D150" s="5"/>
      <c r="E150" s="9"/>
      <c r="F150" s="9"/>
      <c r="G150" s="10"/>
      <c r="H150" s="11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7"/>
      <c r="B151" s="7"/>
      <c r="C151" s="5"/>
      <c r="D151" s="5"/>
      <c r="E151" s="9"/>
      <c r="F151" s="9"/>
      <c r="G151" s="10"/>
      <c r="H151" s="11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7"/>
      <c r="B152" s="7"/>
      <c r="C152" s="5"/>
      <c r="D152" s="5"/>
      <c r="E152" s="9"/>
      <c r="F152" s="9"/>
      <c r="G152" s="10"/>
      <c r="H152" s="11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7"/>
      <c r="B153" s="7"/>
      <c r="C153" s="5"/>
      <c r="D153" s="5"/>
      <c r="E153" s="9"/>
      <c r="F153" s="9"/>
      <c r="G153" s="10"/>
      <c r="H153" s="11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7"/>
      <c r="B154" s="7"/>
      <c r="C154" s="5"/>
      <c r="D154" s="5"/>
      <c r="E154" s="9"/>
      <c r="F154" s="9"/>
      <c r="G154" s="10"/>
      <c r="H154" s="11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7"/>
      <c r="B155" s="7"/>
      <c r="C155" s="5"/>
      <c r="D155" s="5"/>
      <c r="E155" s="9"/>
      <c r="F155" s="9"/>
      <c r="G155" s="10"/>
      <c r="H155" s="11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7"/>
      <c r="B156" s="7"/>
      <c r="C156" s="5"/>
      <c r="D156" s="5"/>
      <c r="E156" s="9"/>
      <c r="F156" s="9"/>
      <c r="G156" s="10"/>
      <c r="H156" s="11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7"/>
      <c r="B157" s="7"/>
      <c r="C157" s="5"/>
      <c r="D157" s="5"/>
      <c r="E157" s="9"/>
      <c r="F157" s="9"/>
      <c r="G157" s="10"/>
      <c r="H157" s="11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7"/>
      <c r="B158" s="7"/>
      <c r="C158" s="5"/>
      <c r="D158" s="5"/>
      <c r="E158" s="9"/>
      <c r="F158" s="9"/>
      <c r="G158" s="10"/>
      <c r="H158" s="11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7"/>
      <c r="B159" s="7"/>
      <c r="C159" s="5"/>
      <c r="D159" s="5"/>
      <c r="E159" s="9"/>
      <c r="F159" s="9"/>
      <c r="G159" s="10"/>
      <c r="H159" s="11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7"/>
      <c r="B160" s="7"/>
      <c r="C160" s="5"/>
      <c r="D160" s="5"/>
      <c r="E160" s="9"/>
      <c r="F160" s="9"/>
      <c r="G160" s="10"/>
      <c r="H160" s="11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7"/>
      <c r="B161" s="7"/>
      <c r="C161" s="5"/>
      <c r="D161" s="5"/>
      <c r="E161" s="9"/>
      <c r="F161" s="9"/>
      <c r="G161" s="10"/>
      <c r="H161" s="11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7"/>
      <c r="B162" s="7"/>
      <c r="C162" s="5"/>
      <c r="D162" s="5"/>
      <c r="E162" s="9"/>
      <c r="F162" s="9"/>
      <c r="G162" s="10"/>
      <c r="H162" s="11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7"/>
      <c r="B163" s="7"/>
      <c r="C163" s="5"/>
      <c r="D163" s="5"/>
      <c r="E163" s="9"/>
      <c r="F163" s="9"/>
      <c r="G163" s="10"/>
      <c r="H163" s="11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7"/>
      <c r="B164" s="7"/>
      <c r="C164" s="5"/>
      <c r="D164" s="5"/>
      <c r="E164" s="9"/>
      <c r="F164" s="9"/>
      <c r="G164" s="10"/>
      <c r="H164" s="11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7"/>
      <c r="B165" s="7"/>
      <c r="C165" s="5"/>
      <c r="D165" s="5"/>
      <c r="E165" s="9"/>
      <c r="F165" s="9"/>
      <c r="G165" s="10"/>
      <c r="H165" s="11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7"/>
      <c r="B166" s="7"/>
      <c r="C166" s="5"/>
      <c r="D166" s="5"/>
      <c r="E166" s="9"/>
      <c r="F166" s="9"/>
      <c r="G166" s="10"/>
      <c r="H166" s="11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7"/>
      <c r="B167" s="7"/>
      <c r="C167" s="5"/>
      <c r="D167" s="5"/>
      <c r="E167" s="9"/>
      <c r="F167" s="9"/>
      <c r="G167" s="10"/>
      <c r="H167" s="11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7"/>
      <c r="B168" s="7"/>
      <c r="C168" s="5"/>
      <c r="D168" s="5"/>
      <c r="E168" s="9"/>
      <c r="F168" s="9"/>
      <c r="G168" s="10"/>
      <c r="H168" s="11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7"/>
      <c r="B169" s="7"/>
      <c r="C169" s="5"/>
      <c r="D169" s="5"/>
      <c r="E169" s="9"/>
      <c r="F169" s="9"/>
      <c r="G169" s="10"/>
      <c r="H169" s="11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7"/>
      <c r="B170" s="7"/>
      <c r="C170" s="5"/>
      <c r="D170" s="5"/>
      <c r="E170" s="9"/>
      <c r="F170" s="9"/>
      <c r="G170" s="10"/>
      <c r="H170" s="11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7"/>
      <c r="B171" s="7"/>
      <c r="C171" s="5"/>
      <c r="D171" s="5"/>
      <c r="E171" s="9"/>
      <c r="F171" s="9"/>
      <c r="G171" s="10"/>
      <c r="H171" s="11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7"/>
      <c r="B172" s="7"/>
      <c r="C172" s="5"/>
      <c r="D172" s="5"/>
      <c r="E172" s="9"/>
      <c r="F172" s="9"/>
      <c r="G172" s="10"/>
      <c r="H172" s="11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7"/>
      <c r="B173" s="7"/>
      <c r="C173" s="5"/>
      <c r="D173" s="5"/>
      <c r="E173" s="9"/>
      <c r="F173" s="9"/>
      <c r="G173" s="10"/>
      <c r="H173" s="11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7"/>
      <c r="B174" s="7"/>
      <c r="C174" s="5"/>
      <c r="D174" s="5"/>
      <c r="E174" s="9"/>
      <c r="F174" s="9"/>
      <c r="G174" s="10"/>
      <c r="H174" s="11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7"/>
      <c r="B175" s="7"/>
      <c r="C175" s="5"/>
      <c r="D175" s="5"/>
      <c r="E175" s="9"/>
      <c r="F175" s="9"/>
      <c r="G175" s="10"/>
      <c r="H175" s="11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7"/>
      <c r="B176" s="7"/>
      <c r="C176" s="5"/>
      <c r="D176" s="5"/>
      <c r="E176" s="9"/>
      <c r="F176" s="9"/>
      <c r="G176" s="10"/>
      <c r="H176" s="11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7"/>
      <c r="B177" s="7"/>
      <c r="C177" s="5"/>
      <c r="D177" s="5"/>
      <c r="E177" s="9"/>
      <c r="F177" s="9"/>
      <c r="G177" s="10"/>
      <c r="H177" s="11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7"/>
      <c r="B178" s="7"/>
      <c r="C178" s="5"/>
      <c r="D178" s="5"/>
      <c r="E178" s="9"/>
      <c r="F178" s="9"/>
      <c r="G178" s="10"/>
      <c r="H178" s="11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7"/>
      <c r="B179" s="7"/>
      <c r="C179" s="5"/>
      <c r="D179" s="5"/>
      <c r="E179" s="9"/>
      <c r="F179" s="9"/>
      <c r="G179" s="10"/>
      <c r="H179" s="11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7"/>
      <c r="B180" s="7"/>
      <c r="C180" s="5"/>
      <c r="D180" s="5"/>
      <c r="E180" s="9"/>
      <c r="F180" s="9"/>
      <c r="G180" s="10"/>
      <c r="H180" s="11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7"/>
      <c r="B181" s="7"/>
      <c r="C181" s="5"/>
      <c r="D181" s="5"/>
      <c r="E181" s="9"/>
      <c r="F181" s="9"/>
      <c r="G181" s="10"/>
      <c r="H181" s="11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7"/>
      <c r="B182" s="7"/>
      <c r="C182" s="5"/>
      <c r="D182" s="5"/>
      <c r="E182" s="9"/>
      <c r="F182" s="9"/>
      <c r="G182" s="10"/>
      <c r="H182" s="11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7"/>
      <c r="B183" s="7"/>
      <c r="C183" s="5"/>
      <c r="D183" s="5"/>
      <c r="E183" s="9"/>
      <c r="F183" s="9"/>
      <c r="G183" s="10"/>
      <c r="H183" s="11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7"/>
      <c r="B184" s="7"/>
      <c r="C184" s="5"/>
      <c r="D184" s="5"/>
      <c r="E184" s="9"/>
      <c r="F184" s="9"/>
      <c r="G184" s="10"/>
      <c r="H184" s="11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7"/>
      <c r="B185" s="7"/>
      <c r="C185" s="5"/>
      <c r="D185" s="5"/>
      <c r="E185" s="9"/>
      <c r="F185" s="9"/>
      <c r="G185" s="10"/>
      <c r="H185" s="11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7"/>
      <c r="B186" s="7"/>
      <c r="C186" s="5"/>
      <c r="D186" s="5"/>
      <c r="E186" s="9"/>
      <c r="F186" s="9"/>
      <c r="G186" s="10"/>
      <c r="H186" s="11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7"/>
      <c r="B187" s="7"/>
      <c r="C187" s="5"/>
      <c r="D187" s="5"/>
      <c r="E187" s="9"/>
      <c r="F187" s="9"/>
      <c r="G187" s="10"/>
      <c r="H187" s="11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7"/>
      <c r="B188" s="7"/>
      <c r="C188" s="5"/>
      <c r="D188" s="5"/>
      <c r="E188" s="9"/>
      <c r="F188" s="9"/>
      <c r="G188" s="10"/>
      <c r="H188" s="11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7"/>
      <c r="B189" s="7"/>
      <c r="C189" s="5"/>
      <c r="D189" s="5"/>
      <c r="E189" s="9"/>
      <c r="F189" s="9"/>
      <c r="G189" s="10"/>
      <c r="H189" s="11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7"/>
      <c r="B190" s="7"/>
      <c r="C190" s="5"/>
      <c r="D190" s="5"/>
      <c r="E190" s="9"/>
      <c r="F190" s="9"/>
      <c r="G190" s="10"/>
      <c r="H190" s="11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7"/>
      <c r="B191" s="7"/>
      <c r="C191" s="5"/>
      <c r="D191" s="5"/>
      <c r="E191" s="9"/>
      <c r="F191" s="9"/>
      <c r="G191" s="10"/>
      <c r="H191" s="11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7"/>
      <c r="B192" s="7"/>
      <c r="C192" s="5"/>
      <c r="D192" s="5"/>
      <c r="E192" s="9"/>
      <c r="F192" s="9"/>
      <c r="G192" s="10"/>
      <c r="H192" s="11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7"/>
      <c r="B193" s="7"/>
      <c r="C193" s="5"/>
      <c r="D193" s="5"/>
      <c r="E193" s="9"/>
      <c r="F193" s="9"/>
      <c r="G193" s="10"/>
      <c r="H193" s="11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7"/>
      <c r="B194" s="7"/>
      <c r="C194" s="5"/>
      <c r="D194" s="5"/>
      <c r="E194" s="9"/>
      <c r="F194" s="9"/>
      <c r="G194" s="10"/>
      <c r="H194" s="11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7"/>
      <c r="B195" s="7"/>
      <c r="C195" s="5"/>
      <c r="D195" s="5"/>
      <c r="E195" s="9"/>
      <c r="F195" s="9"/>
      <c r="G195" s="10"/>
      <c r="H195" s="11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7"/>
      <c r="B196" s="7"/>
      <c r="C196" s="5"/>
      <c r="D196" s="5"/>
      <c r="E196" s="9"/>
      <c r="F196" s="9"/>
      <c r="G196" s="10"/>
      <c r="H196" s="11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7"/>
      <c r="B197" s="7"/>
      <c r="C197" s="5"/>
      <c r="D197" s="5"/>
      <c r="E197" s="9"/>
      <c r="F197" s="9"/>
      <c r="G197" s="10"/>
      <c r="H197" s="11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7"/>
      <c r="B198" s="7"/>
      <c r="C198" s="5"/>
      <c r="D198" s="5"/>
      <c r="E198" s="9"/>
      <c r="F198" s="9"/>
      <c r="G198" s="10"/>
      <c r="H198" s="11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7"/>
      <c r="B199" s="7"/>
      <c r="C199" s="5"/>
      <c r="D199" s="5"/>
      <c r="E199" s="9"/>
      <c r="F199" s="9"/>
      <c r="G199" s="10"/>
      <c r="H199" s="11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7"/>
      <c r="B200" s="7"/>
      <c r="C200" s="5"/>
      <c r="D200" s="5"/>
      <c r="E200" s="9"/>
      <c r="F200" s="9"/>
      <c r="G200" s="10"/>
      <c r="H200" s="11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7"/>
      <c r="B201" s="7"/>
      <c r="C201" s="5"/>
      <c r="D201" s="5"/>
      <c r="E201" s="9"/>
      <c r="F201" s="9"/>
      <c r="G201" s="10"/>
      <c r="H201" s="11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7"/>
      <c r="B202" s="7"/>
      <c r="C202" s="5"/>
      <c r="D202" s="5"/>
      <c r="E202" s="9"/>
      <c r="F202" s="9"/>
      <c r="G202" s="10"/>
      <c r="H202" s="11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7"/>
      <c r="B203" s="7"/>
      <c r="C203" s="5"/>
      <c r="D203" s="5"/>
      <c r="E203" s="9"/>
      <c r="F203" s="9"/>
      <c r="G203" s="10"/>
      <c r="H203" s="11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7"/>
      <c r="B204" s="7"/>
      <c r="C204" s="5"/>
      <c r="D204" s="5"/>
      <c r="E204" s="9"/>
      <c r="F204" s="9"/>
      <c r="G204" s="10"/>
      <c r="H204" s="11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7"/>
      <c r="B205" s="7"/>
      <c r="C205" s="5"/>
      <c r="D205" s="5"/>
      <c r="E205" s="9"/>
      <c r="F205" s="9"/>
      <c r="G205" s="10"/>
      <c r="H205" s="11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7"/>
      <c r="B206" s="7"/>
      <c r="C206" s="5"/>
      <c r="D206" s="5"/>
      <c r="E206" s="9"/>
      <c r="F206" s="9"/>
      <c r="G206" s="10"/>
      <c r="H206" s="11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7"/>
      <c r="B207" s="7"/>
      <c r="C207" s="5"/>
      <c r="D207" s="5"/>
      <c r="E207" s="9"/>
      <c r="F207" s="9"/>
      <c r="G207" s="10"/>
      <c r="H207" s="11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7"/>
      <c r="B208" s="7"/>
      <c r="C208" s="5"/>
      <c r="D208" s="5"/>
      <c r="E208" s="9"/>
      <c r="F208" s="9"/>
      <c r="G208" s="10"/>
      <c r="H208" s="11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7"/>
      <c r="B209" s="7"/>
      <c r="C209" s="5"/>
      <c r="D209" s="5"/>
      <c r="E209" s="9"/>
      <c r="F209" s="9"/>
      <c r="G209" s="10"/>
      <c r="H209" s="11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7"/>
      <c r="B210" s="7"/>
      <c r="C210" s="5"/>
      <c r="D210" s="5"/>
      <c r="E210" s="9"/>
      <c r="F210" s="9"/>
      <c r="G210" s="10"/>
      <c r="H210" s="11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7"/>
      <c r="B211" s="7"/>
      <c r="C211" s="5"/>
      <c r="D211" s="5"/>
      <c r="E211" s="9"/>
      <c r="F211" s="9"/>
      <c r="G211" s="10"/>
      <c r="H211" s="11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7"/>
      <c r="B212" s="7"/>
      <c r="C212" s="5"/>
      <c r="D212" s="5"/>
      <c r="E212" s="9"/>
      <c r="F212" s="9"/>
      <c r="G212" s="10"/>
      <c r="H212" s="11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7"/>
      <c r="B213" s="7"/>
      <c r="C213" s="5"/>
      <c r="D213" s="5"/>
      <c r="E213" s="9"/>
      <c r="F213" s="9"/>
      <c r="G213" s="10"/>
      <c r="H213" s="11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7"/>
      <c r="B214" s="7"/>
      <c r="C214" s="5"/>
      <c r="D214" s="5"/>
      <c r="E214" s="9"/>
      <c r="F214" s="9"/>
      <c r="G214" s="10"/>
      <c r="H214" s="11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7"/>
      <c r="B215" s="7"/>
      <c r="C215" s="5"/>
      <c r="D215" s="5"/>
      <c r="E215" s="9"/>
      <c r="F215" s="9"/>
      <c r="G215" s="10"/>
      <c r="H215" s="11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7"/>
      <c r="B216" s="7"/>
      <c r="C216" s="5"/>
      <c r="D216" s="5"/>
      <c r="E216" s="9"/>
      <c r="F216" s="9"/>
      <c r="G216" s="10"/>
      <c r="H216" s="11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7"/>
      <c r="B217" s="7"/>
      <c r="C217" s="5"/>
      <c r="D217" s="5"/>
      <c r="E217" s="9"/>
      <c r="F217" s="9"/>
      <c r="G217" s="10"/>
      <c r="H217" s="11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7"/>
      <c r="B218" s="7"/>
      <c r="C218" s="5"/>
      <c r="D218" s="5"/>
      <c r="E218" s="9"/>
      <c r="F218" s="9"/>
      <c r="G218" s="10"/>
      <c r="H218" s="11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7"/>
      <c r="B219" s="7"/>
      <c r="C219" s="5"/>
      <c r="D219" s="5"/>
      <c r="E219" s="9"/>
      <c r="F219" s="9"/>
      <c r="G219" s="10"/>
      <c r="H219" s="11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7"/>
      <c r="B220" s="7"/>
      <c r="C220" s="5"/>
      <c r="D220" s="5"/>
      <c r="E220" s="9"/>
      <c r="F220" s="9"/>
      <c r="G220" s="10"/>
      <c r="H220" s="11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7"/>
      <c r="B221" s="7"/>
      <c r="C221" s="5"/>
      <c r="D221" s="5"/>
      <c r="E221" s="9"/>
      <c r="F221" s="9"/>
      <c r="G221" s="10"/>
      <c r="H221" s="11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7"/>
      <c r="B222" s="7"/>
      <c r="C222" s="5"/>
      <c r="D222" s="5"/>
      <c r="E222" s="9"/>
      <c r="F222" s="9"/>
      <c r="G222" s="10"/>
      <c r="H222" s="11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7"/>
      <c r="B223" s="7"/>
      <c r="C223" s="5"/>
      <c r="D223" s="5"/>
      <c r="E223" s="9"/>
      <c r="F223" s="9"/>
      <c r="G223" s="10"/>
      <c r="H223" s="11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7"/>
      <c r="B224" s="7"/>
      <c r="C224" s="5"/>
      <c r="D224" s="5"/>
      <c r="E224" s="9"/>
      <c r="F224" s="9"/>
      <c r="G224" s="10"/>
      <c r="H224" s="11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7"/>
      <c r="B225" s="7"/>
      <c r="C225" s="5"/>
      <c r="D225" s="5"/>
      <c r="E225" s="9"/>
      <c r="F225" s="9"/>
      <c r="G225" s="10"/>
      <c r="H225" s="11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7"/>
      <c r="B226" s="7"/>
      <c r="C226" s="5"/>
      <c r="D226" s="5"/>
      <c r="E226" s="9"/>
      <c r="F226" s="9"/>
      <c r="G226" s="10"/>
      <c r="H226" s="11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7"/>
      <c r="B227" s="7"/>
      <c r="C227" s="5"/>
      <c r="D227" s="5"/>
      <c r="E227" s="9"/>
      <c r="F227" s="9"/>
      <c r="G227" s="10"/>
      <c r="H227" s="11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7"/>
      <c r="B228" s="7"/>
      <c r="C228" s="5"/>
      <c r="D228" s="5"/>
      <c r="E228" s="9"/>
      <c r="F228" s="9"/>
      <c r="G228" s="10"/>
      <c r="H228" s="11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7"/>
      <c r="B229" s="7"/>
      <c r="C229" s="5"/>
      <c r="D229" s="5"/>
      <c r="E229" s="9"/>
      <c r="F229" s="9"/>
      <c r="G229" s="10"/>
      <c r="H229" s="11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7"/>
      <c r="B230" s="7"/>
      <c r="C230" s="5"/>
      <c r="D230" s="5"/>
      <c r="E230" s="9"/>
      <c r="F230" s="9"/>
      <c r="G230" s="10"/>
      <c r="H230" s="11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7"/>
      <c r="B231" s="7"/>
      <c r="C231" s="5"/>
      <c r="D231" s="5"/>
      <c r="E231" s="9"/>
      <c r="F231" s="9"/>
      <c r="G231" s="10"/>
      <c r="H231" s="11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7"/>
      <c r="B232" s="7"/>
      <c r="C232" s="5"/>
      <c r="D232" s="5"/>
      <c r="E232" s="9"/>
      <c r="F232" s="9"/>
      <c r="G232" s="10"/>
      <c r="H232" s="11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7"/>
      <c r="B233" s="7"/>
      <c r="C233" s="5"/>
      <c r="D233" s="5"/>
      <c r="E233" s="9"/>
      <c r="F233" s="9"/>
      <c r="G233" s="10"/>
      <c r="H233" s="11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7"/>
      <c r="B234" s="7"/>
      <c r="C234" s="5"/>
      <c r="D234" s="5"/>
      <c r="E234" s="9"/>
      <c r="F234" s="9"/>
      <c r="G234" s="10"/>
      <c r="H234" s="11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7"/>
      <c r="B235" s="7"/>
      <c r="C235" s="5"/>
      <c r="D235" s="5"/>
      <c r="E235" s="9"/>
      <c r="F235" s="9"/>
      <c r="G235" s="10"/>
      <c r="H235" s="11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7"/>
      <c r="B236" s="7"/>
      <c r="C236" s="5"/>
      <c r="D236" s="5"/>
      <c r="E236" s="9"/>
      <c r="F236" s="9"/>
      <c r="G236" s="10"/>
      <c r="H236" s="11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7"/>
      <c r="B237" s="7"/>
      <c r="C237" s="5"/>
      <c r="D237" s="5"/>
      <c r="E237" s="9"/>
      <c r="F237" s="9"/>
      <c r="G237" s="10"/>
      <c r="H237" s="11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7"/>
      <c r="B238" s="7"/>
      <c r="C238" s="5"/>
      <c r="D238" s="5"/>
      <c r="E238" s="9"/>
      <c r="F238" s="9"/>
      <c r="G238" s="10"/>
      <c r="H238" s="11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7"/>
      <c r="B239" s="7"/>
      <c r="C239" s="5"/>
      <c r="D239" s="5"/>
      <c r="E239" s="9"/>
      <c r="F239" s="9"/>
      <c r="G239" s="10"/>
      <c r="H239" s="11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7"/>
      <c r="B240" s="7"/>
      <c r="C240" s="5"/>
      <c r="D240" s="5"/>
      <c r="E240" s="9"/>
      <c r="F240" s="9"/>
      <c r="G240" s="10"/>
      <c r="H240" s="11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7"/>
      <c r="B241" s="7"/>
      <c r="C241" s="5"/>
      <c r="D241" s="5"/>
      <c r="E241" s="9"/>
      <c r="F241" s="9"/>
      <c r="G241" s="10"/>
      <c r="H241" s="11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7"/>
      <c r="B242" s="7"/>
      <c r="C242" s="5"/>
      <c r="D242" s="5"/>
      <c r="E242" s="9"/>
      <c r="F242" s="9"/>
      <c r="G242" s="10"/>
      <c r="H242" s="11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7"/>
      <c r="B243" s="7"/>
      <c r="C243" s="5"/>
      <c r="D243" s="5"/>
      <c r="E243" s="9"/>
      <c r="F243" s="9"/>
      <c r="G243" s="10"/>
      <c r="H243" s="11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7"/>
      <c r="B244" s="7"/>
      <c r="C244" s="5"/>
      <c r="D244" s="5"/>
      <c r="E244" s="9"/>
      <c r="F244" s="9"/>
      <c r="G244" s="10"/>
      <c r="H244" s="11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7"/>
      <c r="B245" s="7"/>
      <c r="C245" s="5"/>
      <c r="D245" s="5"/>
      <c r="E245" s="9"/>
      <c r="F245" s="9"/>
      <c r="G245" s="10"/>
      <c r="H245" s="11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7"/>
      <c r="B246" s="7"/>
      <c r="C246" s="5"/>
      <c r="D246" s="5"/>
      <c r="E246" s="9"/>
      <c r="F246" s="9"/>
      <c r="G246" s="10"/>
      <c r="H246" s="11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7"/>
      <c r="B247" s="7"/>
      <c r="C247" s="5"/>
      <c r="D247" s="5"/>
      <c r="E247" s="9"/>
      <c r="F247" s="9"/>
      <c r="G247" s="10"/>
      <c r="H247" s="11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7"/>
      <c r="B248" s="7"/>
      <c r="C248" s="5"/>
      <c r="D248" s="5"/>
      <c r="E248" s="9"/>
      <c r="F248" s="9"/>
      <c r="G248" s="10"/>
      <c r="H248" s="11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7"/>
      <c r="B249" s="7"/>
      <c r="C249" s="5"/>
      <c r="D249" s="5"/>
      <c r="E249" s="9"/>
      <c r="F249" s="9"/>
      <c r="G249" s="10"/>
      <c r="H249" s="11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7"/>
      <c r="B250" s="7"/>
      <c r="C250" s="5"/>
      <c r="D250" s="5"/>
      <c r="E250" s="9"/>
      <c r="F250" s="9"/>
      <c r="G250" s="10"/>
      <c r="H250" s="11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7"/>
      <c r="B251" s="7"/>
      <c r="C251" s="5"/>
      <c r="D251" s="5"/>
      <c r="E251" s="9"/>
      <c r="F251" s="9"/>
      <c r="G251" s="10"/>
      <c r="H251" s="11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7"/>
      <c r="B252" s="7"/>
      <c r="C252" s="5"/>
      <c r="D252" s="5"/>
      <c r="E252" s="9"/>
      <c r="F252" s="9"/>
      <c r="G252" s="10"/>
      <c r="H252" s="11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7"/>
      <c r="B253" s="7"/>
      <c r="C253" s="5"/>
      <c r="D253" s="5"/>
      <c r="E253" s="9"/>
      <c r="F253" s="9"/>
      <c r="G253" s="10"/>
      <c r="H253" s="11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7"/>
      <c r="B254" s="7"/>
      <c r="C254" s="5"/>
      <c r="D254" s="5"/>
      <c r="E254" s="9"/>
      <c r="F254" s="9"/>
      <c r="G254" s="10"/>
      <c r="H254" s="11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7"/>
      <c r="B255" s="7"/>
      <c r="C255" s="5"/>
      <c r="D255" s="5"/>
      <c r="E255" s="9"/>
      <c r="F255" s="9"/>
      <c r="G255" s="10"/>
      <c r="H255" s="11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7"/>
      <c r="B256" s="7"/>
      <c r="C256" s="5"/>
      <c r="D256" s="5"/>
      <c r="E256" s="9"/>
      <c r="F256" s="9"/>
      <c r="G256" s="10"/>
      <c r="H256" s="11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7"/>
      <c r="B257" s="7"/>
      <c r="C257" s="5"/>
      <c r="D257" s="5"/>
      <c r="E257" s="9"/>
      <c r="F257" s="9"/>
      <c r="G257" s="10"/>
      <c r="H257" s="11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7"/>
      <c r="B258" s="7"/>
      <c r="C258" s="5"/>
      <c r="D258" s="5"/>
      <c r="E258" s="9"/>
      <c r="F258" s="9"/>
      <c r="G258" s="10"/>
      <c r="H258" s="11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7"/>
      <c r="B259" s="7"/>
      <c r="C259" s="5"/>
      <c r="D259" s="5"/>
      <c r="E259" s="9"/>
      <c r="F259" s="9"/>
      <c r="G259" s="10"/>
      <c r="H259" s="11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7"/>
      <c r="B260" s="7"/>
      <c r="C260" s="5"/>
      <c r="D260" s="5"/>
      <c r="E260" s="9"/>
      <c r="F260" s="9"/>
      <c r="G260" s="10"/>
      <c r="H260" s="11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7"/>
      <c r="B261" s="7"/>
      <c r="C261" s="5"/>
      <c r="D261" s="5"/>
      <c r="E261" s="9"/>
      <c r="F261" s="9"/>
      <c r="G261" s="10"/>
      <c r="H261" s="11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7"/>
      <c r="B262" s="7"/>
      <c r="C262" s="5"/>
      <c r="D262" s="5"/>
      <c r="E262" s="9"/>
      <c r="F262" s="9"/>
      <c r="G262" s="10"/>
      <c r="H262" s="11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7"/>
      <c r="B263" s="7"/>
      <c r="C263" s="5"/>
      <c r="D263" s="5"/>
      <c r="E263" s="9"/>
      <c r="F263" s="9"/>
      <c r="G263" s="10"/>
      <c r="H263" s="11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7"/>
      <c r="B264" s="7"/>
      <c r="C264" s="5"/>
      <c r="D264" s="5"/>
      <c r="E264" s="9"/>
      <c r="F264" s="9"/>
      <c r="G264" s="10"/>
      <c r="H264" s="11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7"/>
      <c r="B265" s="7"/>
      <c r="C265" s="5"/>
      <c r="D265" s="5"/>
      <c r="E265" s="9"/>
      <c r="F265" s="9"/>
      <c r="G265" s="10"/>
      <c r="H265" s="11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7"/>
      <c r="B266" s="7"/>
      <c r="C266" s="5"/>
      <c r="D266" s="5"/>
      <c r="E266" s="9"/>
      <c r="F266" s="9"/>
      <c r="G266" s="10"/>
      <c r="H266" s="11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7"/>
      <c r="B267" s="7"/>
      <c r="C267" s="5"/>
      <c r="D267" s="5"/>
      <c r="E267" s="9"/>
      <c r="F267" s="9"/>
      <c r="G267" s="10"/>
      <c r="H267" s="11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7"/>
      <c r="B268" s="7"/>
      <c r="C268" s="5"/>
      <c r="D268" s="5"/>
      <c r="E268" s="9"/>
      <c r="F268" s="9"/>
      <c r="G268" s="10"/>
      <c r="H268" s="11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7"/>
      <c r="B269" s="7"/>
      <c r="C269" s="5"/>
      <c r="D269" s="5"/>
      <c r="E269" s="9"/>
      <c r="F269" s="9"/>
      <c r="G269" s="10"/>
      <c r="H269" s="11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7"/>
      <c r="B270" s="7"/>
      <c r="C270" s="5"/>
      <c r="D270" s="5"/>
      <c r="E270" s="9"/>
      <c r="F270" s="9"/>
      <c r="G270" s="10"/>
      <c r="H270" s="11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7"/>
      <c r="B271" s="7"/>
      <c r="C271" s="5"/>
      <c r="D271" s="5"/>
      <c r="E271" s="9"/>
      <c r="F271" s="9"/>
      <c r="G271" s="10"/>
      <c r="H271" s="11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7"/>
      <c r="B272" s="7"/>
      <c r="C272" s="5"/>
      <c r="D272" s="5"/>
      <c r="E272" s="9"/>
      <c r="F272" s="9"/>
      <c r="G272" s="10"/>
      <c r="H272" s="11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7"/>
      <c r="B273" s="7"/>
      <c r="C273" s="5"/>
      <c r="D273" s="5"/>
      <c r="E273" s="9"/>
      <c r="F273" s="9"/>
      <c r="G273" s="10"/>
      <c r="H273" s="11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7"/>
      <c r="B274" s="7"/>
      <c r="C274" s="5"/>
      <c r="D274" s="5"/>
      <c r="E274" s="9"/>
      <c r="F274" s="9"/>
      <c r="G274" s="10"/>
      <c r="H274" s="11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7"/>
      <c r="B275" s="7"/>
      <c r="C275" s="5"/>
      <c r="D275" s="5"/>
      <c r="E275" s="9"/>
      <c r="F275" s="9"/>
      <c r="G275" s="10"/>
      <c r="H275" s="11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7"/>
      <c r="B276" s="7"/>
      <c r="C276" s="5"/>
      <c r="D276" s="5"/>
      <c r="E276" s="9"/>
      <c r="F276" s="9"/>
      <c r="G276" s="10"/>
      <c r="H276" s="11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7"/>
      <c r="B277" s="7"/>
      <c r="C277" s="5"/>
      <c r="D277" s="5"/>
      <c r="E277" s="9"/>
      <c r="F277" s="9"/>
      <c r="G277" s="10"/>
      <c r="H277" s="11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7"/>
      <c r="B278" s="7"/>
      <c r="C278" s="5"/>
      <c r="D278" s="5"/>
      <c r="E278" s="9"/>
      <c r="F278" s="9"/>
      <c r="G278" s="10"/>
      <c r="H278" s="11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7"/>
      <c r="B279" s="7"/>
      <c r="C279" s="5"/>
      <c r="D279" s="5"/>
      <c r="E279" s="9"/>
      <c r="F279" s="9"/>
      <c r="G279" s="10"/>
      <c r="H279" s="11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7"/>
      <c r="B280" s="7"/>
      <c r="C280" s="5"/>
      <c r="D280" s="5"/>
      <c r="E280" s="9"/>
      <c r="F280" s="9"/>
      <c r="G280" s="10"/>
      <c r="H280" s="11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7"/>
      <c r="B281" s="7"/>
      <c r="C281" s="5"/>
      <c r="D281" s="5"/>
      <c r="E281" s="9"/>
      <c r="F281" s="9"/>
      <c r="G281" s="10"/>
      <c r="H281" s="11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7"/>
      <c r="B282" s="7"/>
      <c r="C282" s="5"/>
      <c r="D282" s="5"/>
      <c r="E282" s="9"/>
      <c r="F282" s="9"/>
      <c r="G282" s="10"/>
      <c r="H282" s="11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7"/>
      <c r="B283" s="7"/>
      <c r="C283" s="5"/>
      <c r="D283" s="5"/>
      <c r="E283" s="9"/>
      <c r="F283" s="9"/>
      <c r="G283" s="10"/>
      <c r="H283" s="11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7"/>
      <c r="B284" s="7"/>
      <c r="C284" s="5"/>
      <c r="D284" s="5"/>
      <c r="E284" s="9"/>
      <c r="F284" s="9"/>
      <c r="G284" s="10"/>
      <c r="H284" s="11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7"/>
      <c r="B285" s="7"/>
      <c r="C285" s="5"/>
      <c r="D285" s="5"/>
      <c r="E285" s="9"/>
      <c r="F285" s="9"/>
      <c r="G285" s="10"/>
      <c r="H285" s="11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7"/>
      <c r="B286" s="7"/>
      <c r="C286" s="5"/>
      <c r="D286" s="5"/>
      <c r="E286" s="9"/>
      <c r="F286" s="9"/>
      <c r="G286" s="10"/>
      <c r="H286" s="11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7"/>
      <c r="B287" s="7"/>
      <c r="C287" s="5"/>
      <c r="D287" s="5"/>
      <c r="E287" s="9"/>
      <c r="F287" s="9"/>
      <c r="G287" s="10"/>
      <c r="H287" s="11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7"/>
      <c r="B288" s="7"/>
      <c r="C288" s="5"/>
      <c r="D288" s="5"/>
      <c r="E288" s="9"/>
      <c r="F288" s="9"/>
      <c r="G288" s="10"/>
      <c r="H288" s="11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7"/>
      <c r="B289" s="7"/>
      <c r="C289" s="5"/>
      <c r="D289" s="5"/>
      <c r="E289" s="9"/>
      <c r="F289" s="9"/>
      <c r="G289" s="10"/>
      <c r="H289" s="11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7"/>
      <c r="B290" s="7"/>
      <c r="C290" s="5"/>
      <c r="D290" s="5"/>
      <c r="E290" s="9"/>
      <c r="F290" s="9"/>
      <c r="G290" s="10"/>
      <c r="H290" s="11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7"/>
      <c r="B291" s="7"/>
      <c r="C291" s="5"/>
      <c r="D291" s="5"/>
      <c r="E291" s="9"/>
      <c r="F291" s="9"/>
      <c r="G291" s="10"/>
      <c r="H291" s="11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7"/>
      <c r="B292" s="7"/>
      <c r="C292" s="5"/>
      <c r="D292" s="5"/>
      <c r="E292" s="9"/>
      <c r="F292" s="9"/>
      <c r="G292" s="10"/>
      <c r="H292" s="11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7"/>
      <c r="B293" s="7"/>
      <c r="C293" s="5"/>
      <c r="D293" s="5"/>
      <c r="E293" s="9"/>
      <c r="F293" s="9"/>
      <c r="G293" s="10"/>
      <c r="H293" s="11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7"/>
      <c r="B294" s="7"/>
      <c r="C294" s="5"/>
      <c r="D294" s="5"/>
      <c r="E294" s="9"/>
      <c r="F294" s="9"/>
      <c r="G294" s="10"/>
      <c r="H294" s="11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7"/>
      <c r="B295" s="7"/>
      <c r="C295" s="5"/>
      <c r="D295" s="5"/>
      <c r="E295" s="9"/>
      <c r="F295" s="9"/>
      <c r="G295" s="10"/>
      <c r="H295" s="11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7"/>
      <c r="B296" s="7"/>
      <c r="C296" s="5"/>
      <c r="D296" s="5"/>
      <c r="E296" s="9"/>
      <c r="F296" s="9"/>
      <c r="G296" s="10"/>
      <c r="H296" s="11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7"/>
      <c r="B297" s="7"/>
      <c r="C297" s="5"/>
      <c r="D297" s="5"/>
      <c r="E297" s="9"/>
      <c r="F297" s="9"/>
      <c r="G297" s="10"/>
      <c r="H297" s="11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7"/>
      <c r="B298" s="7"/>
      <c r="C298" s="5"/>
      <c r="D298" s="5"/>
      <c r="E298" s="9"/>
      <c r="F298" s="9"/>
      <c r="G298" s="10"/>
      <c r="H298" s="11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7"/>
      <c r="B299" s="7"/>
      <c r="C299" s="5"/>
      <c r="D299" s="5"/>
      <c r="E299" s="9"/>
      <c r="F299" s="9"/>
      <c r="G299" s="10"/>
      <c r="H299" s="11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7"/>
      <c r="B300" s="7"/>
      <c r="C300" s="5"/>
      <c r="D300" s="5"/>
      <c r="E300" s="9"/>
      <c r="F300" s="9"/>
      <c r="G300" s="10"/>
      <c r="H300" s="11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7"/>
      <c r="B301" s="7"/>
      <c r="C301" s="5"/>
      <c r="D301" s="5"/>
      <c r="E301" s="9"/>
      <c r="F301" s="9"/>
      <c r="G301" s="10"/>
      <c r="H301" s="11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7"/>
      <c r="B302" s="7"/>
      <c r="C302" s="5"/>
      <c r="D302" s="5"/>
      <c r="E302" s="9"/>
      <c r="F302" s="9"/>
      <c r="G302" s="10"/>
      <c r="H302" s="11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7"/>
      <c r="B303" s="7"/>
      <c r="C303" s="5"/>
      <c r="D303" s="5"/>
      <c r="E303" s="9"/>
      <c r="F303" s="9"/>
      <c r="G303" s="10"/>
      <c r="H303" s="11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7"/>
      <c r="B304" s="7"/>
      <c r="C304" s="5"/>
      <c r="D304" s="5"/>
      <c r="E304" s="9"/>
      <c r="F304" s="9"/>
      <c r="G304" s="10"/>
      <c r="H304" s="11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7"/>
      <c r="B305" s="7"/>
      <c r="C305" s="5"/>
      <c r="D305" s="5"/>
      <c r="E305" s="9"/>
      <c r="F305" s="9"/>
      <c r="G305" s="10"/>
      <c r="H305" s="11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7"/>
      <c r="B306" s="7"/>
      <c r="C306" s="5"/>
      <c r="D306" s="5"/>
      <c r="E306" s="9"/>
      <c r="F306" s="9"/>
      <c r="G306" s="10"/>
      <c r="H306" s="11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7"/>
      <c r="B307" s="7"/>
      <c r="C307" s="5"/>
      <c r="D307" s="5"/>
      <c r="E307" s="9"/>
      <c r="F307" s="9"/>
      <c r="G307" s="10"/>
      <c r="H307" s="11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7"/>
      <c r="B308" s="7"/>
      <c r="C308" s="5"/>
      <c r="D308" s="5"/>
      <c r="E308" s="9"/>
      <c r="F308" s="9"/>
      <c r="G308" s="10"/>
      <c r="H308" s="11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7"/>
      <c r="B309" s="7"/>
      <c r="C309" s="5"/>
      <c r="D309" s="5"/>
      <c r="E309" s="9"/>
      <c r="F309" s="9"/>
      <c r="G309" s="10"/>
      <c r="H309" s="11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7"/>
      <c r="B310" s="7"/>
      <c r="C310" s="5"/>
      <c r="D310" s="5"/>
      <c r="E310" s="9"/>
      <c r="F310" s="9"/>
      <c r="G310" s="10"/>
      <c r="H310" s="11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7"/>
      <c r="B311" s="7"/>
      <c r="C311" s="5"/>
      <c r="D311" s="5"/>
      <c r="E311" s="9"/>
      <c r="F311" s="9"/>
      <c r="G311" s="10"/>
      <c r="H311" s="11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7"/>
      <c r="B312" s="7"/>
      <c r="C312" s="5"/>
      <c r="D312" s="5"/>
      <c r="E312" s="9"/>
      <c r="F312" s="9"/>
      <c r="G312" s="10"/>
      <c r="H312" s="11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7"/>
      <c r="B313" s="7"/>
      <c r="C313" s="5"/>
      <c r="D313" s="5"/>
      <c r="E313" s="9"/>
      <c r="F313" s="9"/>
      <c r="G313" s="10"/>
      <c r="H313" s="11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7"/>
      <c r="B314" s="7"/>
      <c r="C314" s="5"/>
      <c r="D314" s="5"/>
      <c r="E314" s="9"/>
      <c r="F314" s="9"/>
      <c r="G314" s="10"/>
      <c r="H314" s="11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7"/>
      <c r="B315" s="7"/>
      <c r="C315" s="5"/>
      <c r="D315" s="5"/>
      <c r="E315" s="9"/>
      <c r="F315" s="9"/>
      <c r="G315" s="10"/>
      <c r="H315" s="11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7"/>
      <c r="B316" s="7"/>
      <c r="C316" s="5"/>
      <c r="D316" s="5"/>
      <c r="E316" s="9"/>
      <c r="F316" s="9"/>
      <c r="G316" s="10"/>
      <c r="H316" s="11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7"/>
      <c r="B317" s="7"/>
      <c r="C317" s="5"/>
      <c r="D317" s="5"/>
      <c r="E317" s="9"/>
      <c r="F317" s="9"/>
      <c r="G317" s="10"/>
      <c r="H317" s="11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7"/>
      <c r="B318" s="7"/>
      <c r="C318" s="5"/>
      <c r="D318" s="5"/>
      <c r="E318" s="9"/>
      <c r="F318" s="9"/>
      <c r="G318" s="10"/>
      <c r="H318" s="11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7"/>
      <c r="B319" s="7"/>
      <c r="C319" s="5"/>
      <c r="D319" s="5"/>
      <c r="E319" s="9"/>
      <c r="F319" s="9"/>
      <c r="G319" s="10"/>
      <c r="H319" s="11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7"/>
      <c r="B320" s="7"/>
      <c r="C320" s="5"/>
      <c r="D320" s="5"/>
      <c r="E320" s="9"/>
      <c r="F320" s="9"/>
      <c r="G320" s="10"/>
      <c r="H320" s="11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7"/>
      <c r="B321" s="7"/>
      <c r="C321" s="5"/>
      <c r="D321" s="5"/>
      <c r="E321" s="9"/>
      <c r="F321" s="9"/>
      <c r="G321" s="10"/>
      <c r="H321" s="11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7"/>
      <c r="B322" s="7"/>
      <c r="C322" s="5"/>
      <c r="D322" s="5"/>
      <c r="E322" s="9"/>
      <c r="F322" s="9"/>
      <c r="G322" s="10"/>
      <c r="H322" s="11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7"/>
      <c r="B323" s="7"/>
      <c r="C323" s="5"/>
      <c r="D323" s="5"/>
      <c r="E323" s="9"/>
      <c r="F323" s="9"/>
      <c r="G323" s="10"/>
      <c r="H323" s="11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7"/>
      <c r="B324" s="7"/>
      <c r="C324" s="5"/>
      <c r="D324" s="5"/>
      <c r="E324" s="9"/>
      <c r="F324" s="9"/>
      <c r="G324" s="10"/>
      <c r="H324" s="11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7"/>
      <c r="B325" s="7"/>
      <c r="C325" s="5"/>
      <c r="D325" s="5"/>
      <c r="E325" s="9"/>
      <c r="F325" s="9"/>
      <c r="G325" s="10"/>
      <c r="H325" s="11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7"/>
      <c r="B326" s="7"/>
      <c r="C326" s="5"/>
      <c r="D326" s="5"/>
      <c r="E326" s="9"/>
      <c r="F326" s="9"/>
      <c r="G326" s="10"/>
      <c r="H326" s="11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7"/>
      <c r="B327" s="7"/>
      <c r="C327" s="5"/>
      <c r="D327" s="5"/>
      <c r="E327" s="9"/>
      <c r="F327" s="9"/>
      <c r="G327" s="10"/>
      <c r="H327" s="11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7"/>
      <c r="B328" s="7"/>
      <c r="C328" s="5"/>
      <c r="D328" s="5"/>
      <c r="E328" s="9"/>
      <c r="F328" s="9"/>
      <c r="G328" s="10"/>
      <c r="H328" s="11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7"/>
      <c r="B329" s="7"/>
      <c r="C329" s="5"/>
      <c r="D329" s="5"/>
      <c r="E329" s="9"/>
      <c r="F329" s="9"/>
      <c r="G329" s="10"/>
      <c r="H329" s="11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7"/>
      <c r="B330" s="7"/>
      <c r="C330" s="5"/>
      <c r="D330" s="5"/>
      <c r="E330" s="9"/>
      <c r="F330" s="9"/>
      <c r="G330" s="10"/>
      <c r="H330" s="11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7"/>
      <c r="B331" s="7"/>
      <c r="C331" s="5"/>
      <c r="D331" s="5"/>
      <c r="E331" s="9"/>
      <c r="F331" s="9"/>
      <c r="G331" s="10"/>
      <c r="H331" s="11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7"/>
      <c r="B332" s="7"/>
      <c r="C332" s="5"/>
      <c r="D332" s="5"/>
      <c r="E332" s="9"/>
      <c r="F332" s="9"/>
      <c r="G332" s="10"/>
      <c r="H332" s="11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7"/>
      <c r="B333" s="7"/>
      <c r="C333" s="5"/>
      <c r="D333" s="5"/>
      <c r="E333" s="9"/>
      <c r="F333" s="9"/>
      <c r="G333" s="10"/>
      <c r="H333" s="11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7"/>
      <c r="B334" s="7"/>
      <c r="C334" s="5"/>
      <c r="D334" s="5"/>
      <c r="E334" s="9"/>
      <c r="F334" s="9"/>
      <c r="G334" s="10"/>
      <c r="H334" s="11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7"/>
      <c r="B335" s="7"/>
      <c r="C335" s="5"/>
      <c r="D335" s="5"/>
      <c r="E335" s="9"/>
      <c r="F335" s="9"/>
      <c r="G335" s="10"/>
      <c r="H335" s="11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7"/>
      <c r="B336" s="7"/>
      <c r="C336" s="5"/>
      <c r="D336" s="5"/>
      <c r="E336" s="9"/>
      <c r="F336" s="9"/>
      <c r="G336" s="10"/>
      <c r="H336" s="11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7"/>
      <c r="B337" s="7"/>
      <c r="C337" s="5"/>
      <c r="D337" s="5"/>
      <c r="E337" s="9"/>
      <c r="F337" s="9"/>
      <c r="G337" s="10"/>
      <c r="H337" s="11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7"/>
      <c r="B338" s="7"/>
      <c r="C338" s="5"/>
      <c r="D338" s="5"/>
      <c r="E338" s="9"/>
      <c r="F338" s="9"/>
      <c r="G338" s="10"/>
      <c r="H338" s="11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7"/>
      <c r="B339" s="7"/>
      <c r="C339" s="5"/>
      <c r="D339" s="5"/>
      <c r="E339" s="9"/>
      <c r="F339" s="9"/>
      <c r="G339" s="10"/>
      <c r="H339" s="11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7"/>
      <c r="B340" s="7"/>
      <c r="C340" s="5"/>
      <c r="D340" s="5"/>
      <c r="E340" s="9"/>
      <c r="F340" s="9"/>
      <c r="G340" s="10"/>
      <c r="H340" s="11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7"/>
      <c r="B341" s="7"/>
      <c r="C341" s="5"/>
      <c r="D341" s="5"/>
      <c r="E341" s="9"/>
      <c r="F341" s="9"/>
      <c r="G341" s="10"/>
      <c r="H341" s="11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7"/>
      <c r="B342" s="7"/>
      <c r="C342" s="5"/>
      <c r="D342" s="5"/>
      <c r="E342" s="9"/>
      <c r="F342" s="9"/>
      <c r="G342" s="10"/>
      <c r="H342" s="11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7"/>
      <c r="B343" s="7"/>
      <c r="C343" s="5"/>
      <c r="D343" s="5"/>
      <c r="E343" s="9"/>
      <c r="F343" s="9"/>
      <c r="G343" s="10"/>
      <c r="H343" s="11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7"/>
      <c r="B344" s="7"/>
      <c r="C344" s="5"/>
      <c r="D344" s="5"/>
      <c r="E344" s="9"/>
      <c r="F344" s="9"/>
      <c r="G344" s="10"/>
      <c r="H344" s="11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7"/>
      <c r="B345" s="7"/>
      <c r="C345" s="5"/>
      <c r="D345" s="5"/>
      <c r="E345" s="9"/>
      <c r="F345" s="9"/>
      <c r="G345" s="10"/>
      <c r="H345" s="11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7"/>
      <c r="B346" s="7"/>
      <c r="C346" s="5"/>
      <c r="D346" s="5"/>
      <c r="E346" s="9"/>
      <c r="F346" s="9"/>
      <c r="G346" s="10"/>
      <c r="H346" s="11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7"/>
      <c r="B347" s="7"/>
      <c r="C347" s="5"/>
      <c r="D347" s="5"/>
      <c r="E347" s="9"/>
      <c r="F347" s="9"/>
      <c r="G347" s="10"/>
      <c r="H347" s="11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7"/>
      <c r="B348" s="7"/>
      <c r="C348" s="5"/>
      <c r="D348" s="5"/>
      <c r="E348" s="9"/>
      <c r="F348" s="9"/>
      <c r="G348" s="10"/>
      <c r="H348" s="11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7"/>
      <c r="B349" s="7"/>
      <c r="C349" s="5"/>
      <c r="D349" s="5"/>
      <c r="E349" s="9"/>
      <c r="F349" s="9"/>
      <c r="G349" s="10"/>
      <c r="H349" s="11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7"/>
      <c r="B350" s="7"/>
      <c r="C350" s="5"/>
      <c r="D350" s="5"/>
      <c r="E350" s="9"/>
      <c r="F350" s="9"/>
      <c r="G350" s="10"/>
      <c r="H350" s="11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7"/>
      <c r="B351" s="7"/>
      <c r="C351" s="5"/>
      <c r="D351" s="5"/>
      <c r="E351" s="9"/>
      <c r="F351" s="9"/>
      <c r="G351" s="10"/>
      <c r="H351" s="11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7"/>
      <c r="B352" s="7"/>
      <c r="C352" s="5"/>
      <c r="D352" s="5"/>
      <c r="E352" s="9"/>
      <c r="F352" s="9"/>
      <c r="G352" s="10"/>
      <c r="H352" s="11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7"/>
      <c r="B353" s="7"/>
      <c r="C353" s="5"/>
      <c r="D353" s="5"/>
      <c r="E353" s="9"/>
      <c r="F353" s="9"/>
      <c r="G353" s="10"/>
      <c r="H353" s="11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7"/>
      <c r="B354" s="7"/>
      <c r="C354" s="5"/>
      <c r="D354" s="5"/>
      <c r="E354" s="9"/>
      <c r="F354" s="9"/>
      <c r="G354" s="10"/>
      <c r="H354" s="11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7"/>
      <c r="B355" s="7"/>
      <c r="C355" s="5"/>
      <c r="D355" s="5"/>
      <c r="E355" s="9"/>
      <c r="F355" s="9"/>
      <c r="G355" s="10"/>
      <c r="H355" s="11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7"/>
      <c r="B356" s="7"/>
      <c r="C356" s="5"/>
      <c r="D356" s="5"/>
      <c r="E356" s="9"/>
      <c r="F356" s="9"/>
      <c r="G356" s="10"/>
      <c r="H356" s="11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7"/>
      <c r="B357" s="7"/>
      <c r="C357" s="5"/>
      <c r="D357" s="5"/>
      <c r="E357" s="9"/>
      <c r="F357" s="9"/>
      <c r="G357" s="10"/>
      <c r="H357" s="11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7"/>
      <c r="B358" s="7"/>
      <c r="C358" s="5"/>
      <c r="D358" s="5"/>
      <c r="E358" s="9"/>
      <c r="F358" s="9"/>
      <c r="G358" s="10"/>
      <c r="H358" s="11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7"/>
      <c r="B359" s="7"/>
      <c r="C359" s="5"/>
      <c r="D359" s="5"/>
      <c r="E359" s="9"/>
      <c r="F359" s="9"/>
      <c r="G359" s="10"/>
      <c r="H359" s="11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7"/>
      <c r="B360" s="7"/>
      <c r="C360" s="5"/>
      <c r="D360" s="5"/>
      <c r="E360" s="9"/>
      <c r="F360" s="9"/>
      <c r="G360" s="10"/>
      <c r="H360" s="11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7"/>
      <c r="B361" s="7"/>
      <c r="C361" s="5"/>
      <c r="D361" s="5"/>
      <c r="E361" s="9"/>
      <c r="F361" s="9"/>
      <c r="G361" s="10"/>
      <c r="H361" s="11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7"/>
      <c r="B362" s="7"/>
      <c r="C362" s="5"/>
      <c r="D362" s="5"/>
      <c r="E362" s="9"/>
      <c r="F362" s="9"/>
      <c r="G362" s="10"/>
      <c r="H362" s="11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7"/>
      <c r="B363" s="7"/>
      <c r="C363" s="5"/>
      <c r="D363" s="5"/>
      <c r="E363" s="9"/>
      <c r="F363" s="9"/>
      <c r="G363" s="10"/>
      <c r="H363" s="11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7"/>
      <c r="B364" s="7"/>
      <c r="C364" s="5"/>
      <c r="D364" s="5"/>
      <c r="E364" s="9"/>
      <c r="F364" s="9"/>
      <c r="G364" s="10"/>
      <c r="H364" s="11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7"/>
      <c r="B365" s="7"/>
      <c r="C365" s="5"/>
      <c r="D365" s="5"/>
      <c r="E365" s="9"/>
      <c r="F365" s="9"/>
      <c r="G365" s="10"/>
      <c r="H365" s="11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7"/>
      <c r="B366" s="7"/>
      <c r="C366" s="5"/>
      <c r="D366" s="5"/>
      <c r="E366" s="9"/>
      <c r="F366" s="9"/>
      <c r="G366" s="10"/>
      <c r="H366" s="11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7"/>
      <c r="B367" s="7"/>
      <c r="C367" s="5"/>
      <c r="D367" s="5"/>
      <c r="E367" s="9"/>
      <c r="F367" s="9"/>
      <c r="G367" s="10"/>
      <c r="H367" s="11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7"/>
      <c r="B368" s="7"/>
      <c r="C368" s="5"/>
      <c r="D368" s="5"/>
      <c r="E368" s="9"/>
      <c r="F368" s="9"/>
      <c r="G368" s="10"/>
      <c r="H368" s="11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7"/>
      <c r="B369" s="7"/>
      <c r="C369" s="5"/>
      <c r="D369" s="5"/>
      <c r="E369" s="9"/>
      <c r="F369" s="9"/>
      <c r="G369" s="10"/>
      <c r="H369" s="11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7"/>
      <c r="B370" s="7"/>
      <c r="C370" s="5"/>
      <c r="D370" s="5"/>
      <c r="E370" s="9"/>
      <c r="F370" s="9"/>
      <c r="G370" s="10"/>
      <c r="H370" s="11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7"/>
      <c r="B371" s="7"/>
      <c r="C371" s="5"/>
      <c r="D371" s="5"/>
      <c r="E371" s="9"/>
      <c r="F371" s="9"/>
      <c r="G371" s="10"/>
      <c r="H371" s="11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7"/>
      <c r="B372" s="7"/>
      <c r="C372" s="5"/>
      <c r="D372" s="5"/>
      <c r="E372" s="9"/>
      <c r="F372" s="9"/>
      <c r="G372" s="10"/>
      <c r="H372" s="11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7"/>
      <c r="B373" s="7"/>
      <c r="C373" s="5"/>
      <c r="D373" s="5"/>
      <c r="E373" s="9"/>
      <c r="F373" s="9"/>
      <c r="G373" s="10"/>
      <c r="H373" s="11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7"/>
      <c r="B374" s="7"/>
      <c r="C374" s="5"/>
      <c r="D374" s="5"/>
      <c r="E374" s="9"/>
      <c r="F374" s="9"/>
      <c r="G374" s="10"/>
      <c r="H374" s="11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7"/>
      <c r="B375" s="7"/>
      <c r="C375" s="5"/>
      <c r="D375" s="5"/>
      <c r="E375" s="9"/>
      <c r="F375" s="9"/>
      <c r="G375" s="10"/>
      <c r="H375" s="11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7"/>
      <c r="B376" s="7"/>
      <c r="C376" s="5"/>
      <c r="D376" s="5"/>
      <c r="E376" s="9"/>
      <c r="F376" s="9"/>
      <c r="G376" s="10"/>
      <c r="H376" s="11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7"/>
      <c r="B377" s="7"/>
      <c r="C377" s="5"/>
      <c r="D377" s="5"/>
      <c r="E377" s="9"/>
      <c r="F377" s="9"/>
      <c r="G377" s="10"/>
      <c r="H377" s="11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7"/>
      <c r="B378" s="7"/>
      <c r="C378" s="5"/>
      <c r="D378" s="5"/>
      <c r="E378" s="9"/>
      <c r="F378" s="9"/>
      <c r="G378" s="10"/>
      <c r="H378" s="11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7"/>
      <c r="B379" s="7"/>
      <c r="C379" s="5"/>
      <c r="D379" s="5"/>
      <c r="E379" s="9"/>
      <c r="F379" s="9"/>
      <c r="G379" s="10"/>
      <c r="H379" s="11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7"/>
      <c r="B380" s="7"/>
      <c r="C380" s="5"/>
      <c r="D380" s="5"/>
      <c r="E380" s="9"/>
      <c r="F380" s="9"/>
      <c r="G380" s="10"/>
      <c r="H380" s="11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7"/>
      <c r="B381" s="7"/>
      <c r="C381" s="5"/>
      <c r="D381" s="5"/>
      <c r="E381" s="9"/>
      <c r="F381" s="9"/>
      <c r="G381" s="10"/>
      <c r="H381" s="11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7"/>
      <c r="B382" s="7"/>
      <c r="C382" s="5"/>
      <c r="D382" s="5"/>
      <c r="E382" s="9"/>
      <c r="F382" s="9"/>
      <c r="G382" s="10"/>
      <c r="H382" s="11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7"/>
      <c r="B383" s="7"/>
      <c r="C383" s="5"/>
      <c r="D383" s="5"/>
      <c r="E383" s="9"/>
      <c r="F383" s="9"/>
      <c r="G383" s="10"/>
      <c r="H383" s="11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7"/>
      <c r="B384" s="7"/>
      <c r="C384" s="5"/>
      <c r="D384" s="5"/>
      <c r="E384" s="9"/>
      <c r="F384" s="9"/>
      <c r="G384" s="10"/>
      <c r="H384" s="11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7"/>
      <c r="B385" s="7"/>
      <c r="C385" s="5"/>
      <c r="D385" s="5"/>
      <c r="E385" s="9"/>
      <c r="F385" s="9"/>
      <c r="G385" s="10"/>
      <c r="H385" s="11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7"/>
      <c r="B386" s="7"/>
      <c r="C386" s="5"/>
      <c r="D386" s="5"/>
      <c r="E386" s="9"/>
      <c r="F386" s="9"/>
      <c r="G386" s="10"/>
      <c r="H386" s="11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7"/>
      <c r="B387" s="7"/>
      <c r="C387" s="5"/>
      <c r="D387" s="5"/>
      <c r="E387" s="9"/>
      <c r="F387" s="9"/>
      <c r="G387" s="10"/>
      <c r="H387" s="11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7"/>
      <c r="B388" s="7"/>
      <c r="C388" s="5"/>
      <c r="D388" s="5"/>
      <c r="E388" s="9"/>
      <c r="F388" s="9"/>
      <c r="G388" s="10"/>
      <c r="H388" s="11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7"/>
      <c r="B389" s="7"/>
      <c r="C389" s="5"/>
      <c r="D389" s="5"/>
      <c r="E389" s="9"/>
      <c r="F389" s="9"/>
      <c r="G389" s="10"/>
      <c r="H389" s="11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7"/>
      <c r="B390" s="7"/>
      <c r="C390" s="5"/>
      <c r="D390" s="5"/>
      <c r="E390" s="9"/>
      <c r="F390" s="9"/>
      <c r="G390" s="10"/>
      <c r="H390" s="11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7"/>
      <c r="B391" s="7"/>
      <c r="C391" s="5"/>
      <c r="D391" s="5"/>
      <c r="E391" s="9"/>
      <c r="F391" s="9"/>
      <c r="G391" s="10"/>
      <c r="H391" s="11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7"/>
      <c r="B392" s="7"/>
      <c r="C392" s="5"/>
      <c r="D392" s="5"/>
      <c r="E392" s="9"/>
      <c r="F392" s="9"/>
      <c r="G392" s="10"/>
      <c r="H392" s="11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7"/>
      <c r="B393" s="7"/>
      <c r="C393" s="5"/>
      <c r="D393" s="5"/>
      <c r="E393" s="9"/>
      <c r="F393" s="9"/>
      <c r="G393" s="10"/>
      <c r="H393" s="11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7"/>
      <c r="B394" s="7"/>
      <c r="C394" s="5"/>
      <c r="D394" s="5"/>
      <c r="E394" s="9"/>
      <c r="F394" s="9"/>
      <c r="G394" s="10"/>
      <c r="H394" s="11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7"/>
      <c r="B395" s="7"/>
      <c r="C395" s="5"/>
      <c r="D395" s="5"/>
      <c r="E395" s="9"/>
      <c r="F395" s="9"/>
      <c r="G395" s="10"/>
      <c r="H395" s="11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7"/>
      <c r="B396" s="7"/>
      <c r="C396" s="5"/>
      <c r="D396" s="5"/>
      <c r="E396" s="9"/>
      <c r="F396" s="9"/>
      <c r="G396" s="10"/>
      <c r="H396" s="11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7"/>
      <c r="B397" s="7"/>
      <c r="C397" s="5"/>
      <c r="D397" s="5"/>
      <c r="E397" s="9"/>
      <c r="F397" s="9"/>
      <c r="G397" s="10"/>
      <c r="H397" s="11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7"/>
      <c r="B398" s="7"/>
      <c r="C398" s="5"/>
      <c r="D398" s="5"/>
      <c r="E398" s="9"/>
      <c r="F398" s="9"/>
      <c r="G398" s="10"/>
      <c r="H398" s="11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7"/>
      <c r="B399" s="7"/>
      <c r="C399" s="5"/>
      <c r="D399" s="5"/>
      <c r="E399" s="9"/>
      <c r="F399" s="9"/>
      <c r="G399" s="10"/>
      <c r="H399" s="11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7"/>
      <c r="B400" s="7"/>
      <c r="C400" s="5"/>
      <c r="D400" s="5"/>
      <c r="E400" s="9"/>
      <c r="F400" s="9"/>
      <c r="G400" s="10"/>
      <c r="H400" s="11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7"/>
      <c r="B401" s="7"/>
      <c r="C401" s="5"/>
      <c r="D401" s="5"/>
      <c r="E401" s="9"/>
      <c r="F401" s="9"/>
      <c r="G401" s="10"/>
      <c r="H401" s="11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7"/>
      <c r="B402" s="7"/>
      <c r="C402" s="5"/>
      <c r="D402" s="5"/>
      <c r="E402" s="9"/>
      <c r="F402" s="9"/>
      <c r="G402" s="10"/>
      <c r="H402" s="11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7"/>
      <c r="B403" s="7"/>
      <c r="C403" s="5"/>
      <c r="D403" s="5"/>
      <c r="E403" s="9"/>
      <c r="F403" s="9"/>
      <c r="G403" s="10"/>
      <c r="H403" s="11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7"/>
      <c r="B404" s="7"/>
      <c r="C404" s="5"/>
      <c r="D404" s="5"/>
      <c r="E404" s="9"/>
      <c r="F404" s="9"/>
      <c r="G404" s="10"/>
      <c r="H404" s="11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7"/>
      <c r="B405" s="7"/>
      <c r="C405" s="5"/>
      <c r="D405" s="5"/>
      <c r="E405" s="9"/>
      <c r="F405" s="9"/>
      <c r="G405" s="10"/>
      <c r="H405" s="11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7"/>
      <c r="B406" s="7"/>
      <c r="C406" s="5"/>
      <c r="D406" s="5"/>
      <c r="E406" s="9"/>
      <c r="F406" s="9"/>
      <c r="G406" s="10"/>
      <c r="H406" s="11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7"/>
      <c r="B407" s="7"/>
      <c r="C407" s="5"/>
      <c r="D407" s="5"/>
      <c r="E407" s="9"/>
      <c r="F407" s="9"/>
      <c r="G407" s="10"/>
      <c r="H407" s="11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7"/>
      <c r="B408" s="7"/>
      <c r="C408" s="5"/>
      <c r="D408" s="5"/>
      <c r="E408" s="9"/>
      <c r="F408" s="9"/>
      <c r="G408" s="10"/>
      <c r="H408" s="11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7"/>
      <c r="B409" s="7"/>
      <c r="C409" s="5"/>
      <c r="D409" s="5"/>
      <c r="E409" s="9"/>
      <c r="F409" s="9"/>
      <c r="G409" s="10"/>
      <c r="H409" s="11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7"/>
      <c r="B410" s="7"/>
      <c r="C410" s="5"/>
      <c r="D410" s="5"/>
      <c r="E410" s="9"/>
      <c r="F410" s="9"/>
      <c r="G410" s="10"/>
      <c r="H410" s="11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7"/>
      <c r="B411" s="7"/>
      <c r="C411" s="5"/>
      <c r="D411" s="5"/>
      <c r="E411" s="9"/>
      <c r="F411" s="9"/>
      <c r="G411" s="10"/>
      <c r="H411" s="11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7"/>
      <c r="B412" s="7"/>
      <c r="C412" s="5"/>
      <c r="D412" s="5"/>
      <c r="E412" s="9"/>
      <c r="F412" s="9"/>
      <c r="G412" s="10"/>
      <c r="H412" s="11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7"/>
      <c r="B413" s="7"/>
      <c r="C413" s="5"/>
      <c r="D413" s="5"/>
      <c r="E413" s="9"/>
      <c r="F413" s="9"/>
      <c r="G413" s="10"/>
      <c r="H413" s="11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7"/>
      <c r="B414" s="7"/>
      <c r="C414" s="5"/>
      <c r="D414" s="5"/>
      <c r="E414" s="9"/>
      <c r="F414" s="9"/>
      <c r="G414" s="10"/>
      <c r="H414" s="11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7"/>
      <c r="B415" s="7"/>
      <c r="C415" s="5"/>
      <c r="D415" s="5"/>
      <c r="E415" s="9"/>
      <c r="F415" s="9"/>
      <c r="G415" s="10"/>
      <c r="H415" s="11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7"/>
      <c r="B416" s="7"/>
      <c r="C416" s="5"/>
      <c r="D416" s="5"/>
      <c r="E416" s="9"/>
      <c r="F416" s="9"/>
      <c r="G416" s="10"/>
      <c r="H416" s="11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7"/>
      <c r="B417" s="7"/>
      <c r="C417" s="5"/>
      <c r="D417" s="5"/>
      <c r="E417" s="9"/>
      <c r="F417" s="9"/>
      <c r="G417" s="10"/>
      <c r="H417" s="11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7"/>
      <c r="B418" s="7"/>
      <c r="C418" s="5"/>
      <c r="D418" s="5"/>
      <c r="E418" s="9"/>
      <c r="F418" s="9"/>
      <c r="G418" s="10"/>
      <c r="H418" s="11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7"/>
      <c r="B419" s="7"/>
      <c r="C419" s="5"/>
      <c r="D419" s="5"/>
      <c r="E419" s="9"/>
      <c r="F419" s="9"/>
      <c r="G419" s="10"/>
      <c r="H419" s="11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7"/>
      <c r="B420" s="7"/>
      <c r="C420" s="5"/>
      <c r="D420" s="5"/>
      <c r="E420" s="9"/>
      <c r="F420" s="9"/>
      <c r="G420" s="10"/>
      <c r="H420" s="11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7"/>
      <c r="B421" s="7"/>
      <c r="C421" s="5"/>
      <c r="D421" s="5"/>
      <c r="E421" s="9"/>
      <c r="F421" s="9"/>
      <c r="G421" s="10"/>
      <c r="H421" s="11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7"/>
      <c r="B422" s="7"/>
      <c r="C422" s="5"/>
      <c r="D422" s="5"/>
      <c r="E422" s="9"/>
      <c r="F422" s="9"/>
      <c r="G422" s="10"/>
      <c r="H422" s="11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7"/>
      <c r="B423" s="7"/>
      <c r="C423" s="5"/>
      <c r="D423" s="5"/>
      <c r="E423" s="9"/>
      <c r="F423" s="9"/>
      <c r="G423" s="10"/>
      <c r="H423" s="11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7"/>
      <c r="B424" s="7"/>
      <c r="C424" s="5"/>
      <c r="D424" s="5"/>
      <c r="E424" s="9"/>
      <c r="F424" s="9"/>
      <c r="G424" s="10"/>
      <c r="H424" s="11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7"/>
      <c r="B425" s="7"/>
      <c r="C425" s="5"/>
      <c r="D425" s="5"/>
      <c r="E425" s="9"/>
      <c r="F425" s="9"/>
      <c r="G425" s="10"/>
      <c r="H425" s="11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7"/>
      <c r="B426" s="7"/>
      <c r="C426" s="5"/>
      <c r="D426" s="5"/>
      <c r="E426" s="9"/>
      <c r="F426" s="9"/>
      <c r="G426" s="10"/>
      <c r="H426" s="11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7"/>
      <c r="B427" s="7"/>
      <c r="C427" s="5"/>
      <c r="D427" s="5"/>
      <c r="E427" s="9"/>
      <c r="F427" s="9"/>
      <c r="G427" s="10"/>
      <c r="H427" s="11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7"/>
      <c r="B428" s="7"/>
      <c r="C428" s="5"/>
      <c r="D428" s="5"/>
      <c r="E428" s="9"/>
      <c r="F428" s="9"/>
      <c r="G428" s="10"/>
      <c r="H428" s="11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7"/>
      <c r="B429" s="7"/>
      <c r="C429" s="5"/>
      <c r="D429" s="5"/>
      <c r="E429" s="9"/>
      <c r="F429" s="9"/>
      <c r="G429" s="10"/>
      <c r="H429" s="11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7"/>
      <c r="B430" s="7"/>
      <c r="C430" s="5"/>
      <c r="D430" s="5"/>
      <c r="E430" s="9"/>
      <c r="F430" s="9"/>
      <c r="G430" s="10"/>
      <c r="H430" s="11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7"/>
      <c r="B431" s="7"/>
      <c r="C431" s="5"/>
      <c r="D431" s="5"/>
      <c r="E431" s="9"/>
      <c r="F431" s="9"/>
      <c r="G431" s="10"/>
      <c r="H431" s="11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7"/>
      <c r="B432" s="7"/>
      <c r="C432" s="5"/>
      <c r="D432" s="5"/>
      <c r="E432" s="9"/>
      <c r="F432" s="9"/>
      <c r="G432" s="10"/>
      <c r="H432" s="11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7"/>
      <c r="B433" s="7"/>
      <c r="C433" s="5"/>
      <c r="D433" s="5"/>
      <c r="E433" s="9"/>
      <c r="F433" s="9"/>
      <c r="G433" s="10"/>
      <c r="H433" s="11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7"/>
      <c r="B434" s="7"/>
      <c r="C434" s="5"/>
      <c r="D434" s="5"/>
      <c r="E434" s="9"/>
      <c r="F434" s="9"/>
      <c r="G434" s="10"/>
      <c r="H434" s="11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7"/>
      <c r="B435" s="7"/>
      <c r="C435" s="5"/>
      <c r="D435" s="5"/>
      <c r="E435" s="9"/>
      <c r="F435" s="9"/>
      <c r="G435" s="10"/>
      <c r="H435" s="11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7"/>
      <c r="B436" s="7"/>
      <c r="C436" s="5"/>
      <c r="D436" s="5"/>
      <c r="E436" s="9"/>
      <c r="F436" s="9"/>
      <c r="G436" s="10"/>
      <c r="H436" s="11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7"/>
      <c r="B437" s="7"/>
      <c r="C437" s="5"/>
      <c r="D437" s="5"/>
      <c r="E437" s="9"/>
      <c r="F437" s="9"/>
      <c r="G437" s="10"/>
      <c r="H437" s="11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7"/>
      <c r="B438" s="7"/>
      <c r="C438" s="5"/>
      <c r="D438" s="5"/>
      <c r="E438" s="9"/>
      <c r="F438" s="9"/>
      <c r="G438" s="10"/>
      <c r="H438" s="11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7"/>
      <c r="B439" s="7"/>
      <c r="C439" s="5"/>
      <c r="D439" s="5"/>
      <c r="E439" s="9"/>
      <c r="F439" s="9"/>
      <c r="G439" s="10"/>
      <c r="H439" s="11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7"/>
      <c r="B440" s="7"/>
      <c r="C440" s="5"/>
      <c r="D440" s="5"/>
      <c r="E440" s="9"/>
      <c r="F440" s="9"/>
      <c r="G440" s="10"/>
      <c r="H440" s="11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7"/>
      <c r="B441" s="7"/>
      <c r="C441" s="5"/>
      <c r="D441" s="5"/>
      <c r="E441" s="9"/>
      <c r="F441" s="9"/>
      <c r="G441" s="10"/>
      <c r="H441" s="11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7"/>
      <c r="B442" s="7"/>
      <c r="C442" s="5"/>
      <c r="D442" s="5"/>
      <c r="E442" s="9"/>
      <c r="F442" s="9"/>
      <c r="G442" s="10"/>
      <c r="H442" s="11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7"/>
      <c r="B443" s="7"/>
      <c r="C443" s="5"/>
      <c r="D443" s="5"/>
      <c r="E443" s="9"/>
      <c r="F443" s="9"/>
      <c r="G443" s="10"/>
      <c r="H443" s="11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7"/>
      <c r="B444" s="7"/>
      <c r="C444" s="5"/>
      <c r="D444" s="5"/>
      <c r="E444" s="9"/>
      <c r="F444" s="9"/>
      <c r="G444" s="10"/>
      <c r="H444" s="11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7"/>
      <c r="B445" s="7"/>
      <c r="C445" s="5"/>
      <c r="D445" s="5"/>
      <c r="E445" s="9"/>
      <c r="F445" s="9"/>
      <c r="G445" s="10"/>
      <c r="H445" s="11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7"/>
      <c r="B446" s="7"/>
      <c r="C446" s="5"/>
      <c r="D446" s="5"/>
      <c r="E446" s="9"/>
      <c r="F446" s="9"/>
      <c r="G446" s="10"/>
      <c r="H446" s="11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7"/>
      <c r="B447" s="7"/>
      <c r="C447" s="5"/>
      <c r="D447" s="5"/>
      <c r="E447" s="9"/>
      <c r="F447" s="9"/>
      <c r="G447" s="10"/>
      <c r="H447" s="11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7"/>
      <c r="B448" s="7"/>
      <c r="C448" s="5"/>
      <c r="D448" s="5"/>
      <c r="E448" s="9"/>
      <c r="F448" s="9"/>
      <c r="G448" s="10"/>
      <c r="H448" s="11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7"/>
      <c r="B449" s="7"/>
      <c r="C449" s="5"/>
      <c r="D449" s="5"/>
      <c r="E449" s="9"/>
      <c r="F449" s="9"/>
      <c r="G449" s="10"/>
      <c r="H449" s="11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7"/>
      <c r="B450" s="7"/>
      <c r="C450" s="5"/>
      <c r="D450" s="5"/>
      <c r="E450" s="9"/>
      <c r="F450" s="9"/>
      <c r="G450" s="10"/>
      <c r="H450" s="11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7"/>
      <c r="B451" s="7"/>
      <c r="C451" s="5"/>
      <c r="D451" s="5"/>
      <c r="E451" s="9"/>
      <c r="F451" s="9"/>
      <c r="G451" s="10"/>
      <c r="H451" s="11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7"/>
      <c r="B452" s="7"/>
      <c r="C452" s="5"/>
      <c r="D452" s="5"/>
      <c r="E452" s="9"/>
      <c r="F452" s="9"/>
      <c r="G452" s="10"/>
      <c r="H452" s="11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7"/>
      <c r="B453" s="7"/>
      <c r="C453" s="5"/>
      <c r="D453" s="5"/>
      <c r="E453" s="9"/>
      <c r="F453" s="9"/>
      <c r="G453" s="10"/>
      <c r="H453" s="11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7"/>
      <c r="B454" s="7"/>
      <c r="C454" s="5"/>
      <c r="D454" s="5"/>
      <c r="E454" s="9"/>
      <c r="F454" s="9"/>
      <c r="G454" s="10"/>
      <c r="H454" s="11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7"/>
      <c r="B455" s="7"/>
      <c r="C455" s="5"/>
      <c r="D455" s="5"/>
      <c r="E455" s="9"/>
      <c r="F455" s="9"/>
      <c r="G455" s="10"/>
      <c r="H455" s="11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7"/>
      <c r="B456" s="7"/>
      <c r="C456" s="5"/>
      <c r="D456" s="5"/>
      <c r="E456" s="9"/>
      <c r="F456" s="9"/>
      <c r="G456" s="10"/>
      <c r="H456" s="11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7"/>
      <c r="B457" s="7"/>
      <c r="C457" s="5"/>
      <c r="D457" s="5"/>
      <c r="E457" s="9"/>
      <c r="F457" s="9"/>
      <c r="G457" s="10"/>
      <c r="H457" s="11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7"/>
      <c r="B458" s="7"/>
      <c r="C458" s="5"/>
      <c r="D458" s="5"/>
      <c r="E458" s="9"/>
      <c r="F458" s="9"/>
      <c r="G458" s="10"/>
      <c r="H458" s="11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7"/>
      <c r="B459" s="7"/>
      <c r="C459" s="5"/>
      <c r="D459" s="5"/>
      <c r="E459" s="9"/>
      <c r="F459" s="9"/>
      <c r="G459" s="10"/>
      <c r="H459" s="11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7"/>
      <c r="B460" s="7"/>
      <c r="C460" s="5"/>
      <c r="D460" s="5"/>
      <c r="E460" s="9"/>
      <c r="F460" s="9"/>
      <c r="G460" s="10"/>
      <c r="H460" s="11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7"/>
      <c r="B461" s="7"/>
      <c r="C461" s="5"/>
      <c r="D461" s="5"/>
      <c r="E461" s="9"/>
      <c r="F461" s="9"/>
      <c r="G461" s="10"/>
      <c r="H461" s="11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7"/>
      <c r="B462" s="7"/>
      <c r="C462" s="5"/>
      <c r="D462" s="5"/>
      <c r="E462" s="9"/>
      <c r="F462" s="9"/>
      <c r="G462" s="10"/>
      <c r="H462" s="11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7"/>
      <c r="B463" s="7"/>
      <c r="C463" s="5"/>
      <c r="D463" s="5"/>
      <c r="E463" s="9"/>
      <c r="F463" s="9"/>
      <c r="G463" s="10"/>
      <c r="H463" s="11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7"/>
      <c r="B464" s="7"/>
      <c r="C464" s="5"/>
      <c r="D464" s="5"/>
      <c r="E464" s="9"/>
      <c r="F464" s="9"/>
      <c r="G464" s="10"/>
      <c r="H464" s="11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7"/>
      <c r="B465" s="7"/>
      <c r="C465" s="5"/>
      <c r="D465" s="5"/>
      <c r="E465" s="9"/>
      <c r="F465" s="9"/>
      <c r="G465" s="10"/>
      <c r="H465" s="11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7"/>
      <c r="B466" s="7"/>
      <c r="C466" s="5"/>
      <c r="D466" s="5"/>
      <c r="E466" s="9"/>
      <c r="F466" s="9"/>
      <c r="G466" s="10"/>
      <c r="H466" s="11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7"/>
      <c r="B467" s="7"/>
      <c r="C467" s="5"/>
      <c r="D467" s="5"/>
      <c r="E467" s="9"/>
      <c r="F467" s="9"/>
      <c r="G467" s="10"/>
      <c r="H467" s="11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7"/>
      <c r="B468" s="7"/>
      <c r="C468" s="5"/>
      <c r="D468" s="5"/>
      <c r="E468" s="9"/>
      <c r="F468" s="9"/>
      <c r="G468" s="10"/>
      <c r="H468" s="11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7"/>
      <c r="B469" s="7"/>
      <c r="C469" s="5"/>
      <c r="D469" s="5"/>
      <c r="E469" s="9"/>
      <c r="F469" s="9"/>
      <c r="G469" s="10"/>
      <c r="H469" s="11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7"/>
      <c r="B470" s="7"/>
      <c r="C470" s="5"/>
      <c r="D470" s="5"/>
      <c r="E470" s="9"/>
      <c r="F470" s="9"/>
      <c r="G470" s="10"/>
      <c r="H470" s="11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7"/>
      <c r="B471" s="7"/>
      <c r="C471" s="5"/>
      <c r="D471" s="5"/>
      <c r="E471" s="9"/>
      <c r="F471" s="9"/>
      <c r="G471" s="10"/>
      <c r="H471" s="11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7"/>
      <c r="B472" s="7"/>
      <c r="C472" s="5"/>
      <c r="D472" s="5"/>
      <c r="E472" s="9"/>
      <c r="F472" s="9"/>
      <c r="G472" s="10"/>
      <c r="H472" s="11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7"/>
      <c r="B473" s="7"/>
      <c r="C473" s="5"/>
      <c r="D473" s="5"/>
      <c r="E473" s="9"/>
      <c r="F473" s="9"/>
      <c r="G473" s="10"/>
      <c r="H473" s="11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7"/>
      <c r="B474" s="7"/>
      <c r="C474" s="5"/>
      <c r="D474" s="5"/>
      <c r="E474" s="9"/>
      <c r="F474" s="9"/>
      <c r="G474" s="10"/>
      <c r="H474" s="11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7"/>
      <c r="B475" s="7"/>
      <c r="C475" s="5"/>
      <c r="D475" s="5"/>
      <c r="E475" s="9"/>
      <c r="F475" s="9"/>
      <c r="G475" s="10"/>
      <c r="H475" s="11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7"/>
      <c r="B476" s="7"/>
      <c r="C476" s="5"/>
      <c r="D476" s="5"/>
      <c r="E476" s="9"/>
      <c r="F476" s="9"/>
      <c r="G476" s="10"/>
      <c r="H476" s="11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7"/>
      <c r="B477" s="7"/>
      <c r="C477" s="5"/>
      <c r="D477" s="5"/>
      <c r="E477" s="9"/>
      <c r="F477" s="9"/>
      <c r="G477" s="10"/>
      <c r="H477" s="11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7"/>
      <c r="B478" s="7"/>
      <c r="C478" s="5"/>
      <c r="D478" s="5"/>
      <c r="E478" s="9"/>
      <c r="F478" s="9"/>
      <c r="G478" s="10"/>
      <c r="H478" s="11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7"/>
      <c r="B479" s="7"/>
      <c r="C479" s="5"/>
      <c r="D479" s="5"/>
      <c r="E479" s="9"/>
      <c r="F479" s="9"/>
      <c r="G479" s="10"/>
      <c r="H479" s="11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7"/>
      <c r="B480" s="7"/>
      <c r="C480" s="5"/>
      <c r="D480" s="5"/>
      <c r="E480" s="9"/>
      <c r="F480" s="9"/>
      <c r="G480" s="10"/>
      <c r="H480" s="11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7"/>
      <c r="B481" s="7"/>
      <c r="C481" s="5"/>
      <c r="D481" s="5"/>
      <c r="E481" s="9"/>
      <c r="F481" s="9"/>
      <c r="G481" s="10"/>
      <c r="H481" s="11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7"/>
      <c r="B482" s="7"/>
      <c r="C482" s="5"/>
      <c r="D482" s="5"/>
      <c r="E482" s="9"/>
      <c r="F482" s="9"/>
      <c r="G482" s="10"/>
      <c r="H482" s="11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7"/>
      <c r="B483" s="7"/>
      <c r="C483" s="5"/>
      <c r="D483" s="5"/>
      <c r="E483" s="9"/>
      <c r="F483" s="9"/>
      <c r="G483" s="10"/>
      <c r="H483" s="11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7"/>
      <c r="B484" s="7"/>
      <c r="C484" s="5"/>
      <c r="D484" s="5"/>
      <c r="E484" s="9"/>
      <c r="F484" s="9"/>
      <c r="G484" s="10"/>
      <c r="H484" s="11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7"/>
      <c r="B485" s="7"/>
      <c r="C485" s="5"/>
      <c r="D485" s="5"/>
      <c r="E485" s="9"/>
      <c r="F485" s="9"/>
      <c r="G485" s="10"/>
      <c r="H485" s="11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7"/>
      <c r="B486" s="7"/>
      <c r="C486" s="5"/>
      <c r="D486" s="5"/>
      <c r="E486" s="9"/>
      <c r="F486" s="9"/>
      <c r="G486" s="10"/>
      <c r="H486" s="11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7"/>
      <c r="B487" s="7"/>
      <c r="C487" s="5"/>
      <c r="D487" s="5"/>
      <c r="E487" s="9"/>
      <c r="F487" s="9"/>
      <c r="G487" s="10"/>
      <c r="H487" s="11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7"/>
      <c r="B488" s="7"/>
      <c r="C488" s="5"/>
      <c r="D488" s="5"/>
      <c r="E488" s="9"/>
      <c r="F488" s="9"/>
      <c r="G488" s="10"/>
      <c r="H488" s="11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7"/>
      <c r="B489" s="7"/>
      <c r="C489" s="5"/>
      <c r="D489" s="5"/>
      <c r="E489" s="9"/>
      <c r="F489" s="9"/>
      <c r="G489" s="10"/>
      <c r="H489" s="11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7"/>
      <c r="B490" s="7"/>
      <c r="C490" s="5"/>
      <c r="D490" s="5"/>
      <c r="E490" s="9"/>
      <c r="F490" s="9"/>
      <c r="G490" s="10"/>
      <c r="H490" s="11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7"/>
      <c r="B491" s="7"/>
      <c r="C491" s="5"/>
      <c r="D491" s="5"/>
      <c r="E491" s="9"/>
      <c r="F491" s="9"/>
      <c r="G491" s="10"/>
      <c r="H491" s="11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7"/>
      <c r="B492" s="7"/>
      <c r="C492" s="5"/>
      <c r="D492" s="5"/>
      <c r="E492" s="9"/>
      <c r="F492" s="9"/>
      <c r="G492" s="10"/>
      <c r="H492" s="11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7"/>
      <c r="B493" s="7"/>
      <c r="C493" s="5"/>
      <c r="D493" s="5"/>
      <c r="E493" s="9"/>
      <c r="F493" s="9"/>
      <c r="G493" s="10"/>
      <c r="H493" s="11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7"/>
      <c r="B494" s="7"/>
      <c r="C494" s="5"/>
      <c r="D494" s="5"/>
      <c r="E494" s="9"/>
      <c r="F494" s="9"/>
      <c r="G494" s="10"/>
      <c r="H494" s="11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7"/>
      <c r="B495" s="7"/>
      <c r="C495" s="5"/>
      <c r="D495" s="5"/>
      <c r="E495" s="9"/>
      <c r="F495" s="9"/>
      <c r="G495" s="10"/>
      <c r="H495" s="11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7"/>
      <c r="B496" s="7"/>
      <c r="C496" s="5"/>
      <c r="D496" s="5"/>
      <c r="E496" s="9"/>
      <c r="F496" s="9"/>
      <c r="G496" s="10"/>
      <c r="H496" s="11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7"/>
      <c r="B497" s="7"/>
      <c r="C497" s="5"/>
      <c r="D497" s="5"/>
      <c r="E497" s="9"/>
      <c r="F497" s="9"/>
      <c r="G497" s="10"/>
      <c r="H497" s="11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7"/>
      <c r="B498" s="7"/>
      <c r="C498" s="5"/>
      <c r="D498" s="5"/>
      <c r="E498" s="9"/>
      <c r="F498" s="9"/>
      <c r="G498" s="10"/>
      <c r="H498" s="11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7"/>
      <c r="B499" s="7"/>
      <c r="C499" s="5"/>
      <c r="D499" s="5"/>
      <c r="E499" s="9"/>
      <c r="F499" s="9"/>
      <c r="G499" s="10"/>
      <c r="H499" s="11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7"/>
      <c r="B500" s="7"/>
      <c r="C500" s="5"/>
      <c r="D500" s="5"/>
      <c r="E500" s="9"/>
      <c r="F500" s="9"/>
      <c r="G500" s="10"/>
      <c r="H500" s="11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7"/>
      <c r="B501" s="7"/>
      <c r="C501" s="5"/>
      <c r="D501" s="5"/>
      <c r="E501" s="9"/>
      <c r="F501" s="9"/>
      <c r="G501" s="10"/>
      <c r="H501" s="11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7"/>
      <c r="B502" s="7"/>
      <c r="C502" s="5"/>
      <c r="D502" s="5"/>
      <c r="E502" s="9"/>
      <c r="F502" s="9"/>
      <c r="G502" s="10"/>
      <c r="H502" s="11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7"/>
      <c r="B503" s="7"/>
      <c r="C503" s="5"/>
      <c r="D503" s="5"/>
      <c r="E503" s="9"/>
      <c r="F503" s="9"/>
      <c r="G503" s="10"/>
      <c r="H503" s="11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7"/>
      <c r="B504" s="7"/>
      <c r="C504" s="5"/>
      <c r="D504" s="5"/>
      <c r="E504" s="9"/>
      <c r="F504" s="9"/>
      <c r="G504" s="10"/>
      <c r="H504" s="11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7"/>
      <c r="B505" s="7"/>
      <c r="C505" s="5"/>
      <c r="D505" s="5"/>
      <c r="E505" s="9"/>
      <c r="F505" s="9"/>
      <c r="G505" s="10"/>
      <c r="H505" s="11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7"/>
      <c r="B506" s="7"/>
      <c r="C506" s="5"/>
      <c r="D506" s="5"/>
      <c r="E506" s="9"/>
      <c r="F506" s="9"/>
      <c r="G506" s="10"/>
      <c r="H506" s="11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7"/>
      <c r="B507" s="7"/>
      <c r="C507" s="5"/>
      <c r="D507" s="5"/>
      <c r="E507" s="9"/>
      <c r="F507" s="9"/>
      <c r="G507" s="10"/>
      <c r="H507" s="11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7"/>
      <c r="B508" s="7"/>
      <c r="C508" s="5"/>
      <c r="D508" s="5"/>
      <c r="E508" s="9"/>
      <c r="F508" s="9"/>
      <c r="G508" s="10"/>
      <c r="H508" s="11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7"/>
      <c r="B509" s="7"/>
      <c r="C509" s="5"/>
      <c r="D509" s="5"/>
      <c r="E509" s="9"/>
      <c r="F509" s="9"/>
      <c r="G509" s="10"/>
      <c r="H509" s="11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7"/>
      <c r="B510" s="7"/>
      <c r="C510" s="5"/>
      <c r="D510" s="5"/>
      <c r="E510" s="9"/>
      <c r="F510" s="9"/>
      <c r="G510" s="10"/>
      <c r="H510" s="11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7"/>
      <c r="B511" s="7"/>
      <c r="C511" s="5"/>
      <c r="D511" s="5"/>
      <c r="E511" s="9"/>
      <c r="F511" s="9"/>
      <c r="G511" s="10"/>
      <c r="H511" s="11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7"/>
      <c r="B512" s="7"/>
      <c r="C512" s="5"/>
      <c r="D512" s="5"/>
      <c r="E512" s="9"/>
      <c r="F512" s="9"/>
      <c r="G512" s="10"/>
      <c r="H512" s="11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7"/>
      <c r="B513" s="7"/>
      <c r="C513" s="5"/>
      <c r="D513" s="5"/>
      <c r="E513" s="9"/>
      <c r="F513" s="9"/>
      <c r="G513" s="10"/>
      <c r="H513" s="11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7"/>
      <c r="B514" s="7"/>
      <c r="C514" s="5"/>
      <c r="D514" s="5"/>
      <c r="E514" s="9"/>
      <c r="F514" s="9"/>
      <c r="G514" s="10"/>
      <c r="H514" s="11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7"/>
      <c r="B515" s="7"/>
      <c r="C515" s="5"/>
      <c r="D515" s="5"/>
      <c r="E515" s="9"/>
      <c r="F515" s="9"/>
      <c r="G515" s="10"/>
      <c r="H515" s="11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7"/>
      <c r="B516" s="7"/>
      <c r="C516" s="5"/>
      <c r="D516" s="5"/>
      <c r="E516" s="9"/>
      <c r="F516" s="9"/>
      <c r="G516" s="10"/>
      <c r="H516" s="11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7"/>
      <c r="B517" s="7"/>
      <c r="C517" s="5"/>
      <c r="D517" s="5"/>
      <c r="E517" s="9"/>
      <c r="F517" s="9"/>
      <c r="G517" s="10"/>
      <c r="H517" s="11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7"/>
      <c r="B518" s="7"/>
      <c r="C518" s="5"/>
      <c r="D518" s="5"/>
      <c r="E518" s="9"/>
      <c r="F518" s="9"/>
      <c r="G518" s="10"/>
      <c r="H518" s="11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7"/>
      <c r="B519" s="7"/>
      <c r="C519" s="5"/>
      <c r="D519" s="5"/>
      <c r="E519" s="9"/>
      <c r="F519" s="9"/>
      <c r="G519" s="10"/>
      <c r="H519" s="11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7"/>
      <c r="B520" s="7"/>
      <c r="C520" s="5"/>
      <c r="D520" s="5"/>
      <c r="E520" s="9"/>
      <c r="F520" s="9"/>
      <c r="G520" s="10"/>
      <c r="H520" s="11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7"/>
      <c r="B521" s="7"/>
      <c r="C521" s="5"/>
      <c r="D521" s="5"/>
      <c r="E521" s="9"/>
      <c r="F521" s="9"/>
      <c r="G521" s="10"/>
      <c r="H521" s="11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7"/>
      <c r="B522" s="7"/>
      <c r="C522" s="5"/>
      <c r="D522" s="5"/>
      <c r="E522" s="9"/>
      <c r="F522" s="9"/>
      <c r="G522" s="10"/>
      <c r="H522" s="11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7"/>
      <c r="B523" s="7"/>
      <c r="C523" s="5"/>
      <c r="D523" s="5"/>
      <c r="E523" s="9"/>
      <c r="F523" s="9"/>
      <c r="G523" s="10"/>
      <c r="H523" s="11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7"/>
      <c r="B524" s="7"/>
      <c r="C524" s="5"/>
      <c r="D524" s="5"/>
      <c r="E524" s="9"/>
      <c r="F524" s="9"/>
      <c r="G524" s="10"/>
      <c r="H524" s="11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7"/>
      <c r="B525" s="7"/>
      <c r="C525" s="5"/>
      <c r="D525" s="5"/>
      <c r="E525" s="9"/>
      <c r="F525" s="9"/>
      <c r="G525" s="10"/>
      <c r="H525" s="11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7"/>
      <c r="B526" s="7"/>
      <c r="C526" s="5"/>
      <c r="D526" s="5"/>
      <c r="E526" s="9"/>
      <c r="F526" s="9"/>
      <c r="G526" s="10"/>
      <c r="H526" s="11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7"/>
      <c r="B527" s="7"/>
      <c r="C527" s="5"/>
      <c r="D527" s="5"/>
      <c r="E527" s="9"/>
      <c r="F527" s="9"/>
      <c r="G527" s="10"/>
      <c r="H527" s="11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7"/>
      <c r="B528" s="7"/>
      <c r="C528" s="5"/>
      <c r="D528" s="5"/>
      <c r="E528" s="9"/>
      <c r="F528" s="9"/>
      <c r="G528" s="10"/>
      <c r="H528" s="11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7"/>
      <c r="B529" s="7"/>
      <c r="C529" s="5"/>
      <c r="D529" s="5"/>
      <c r="E529" s="9"/>
      <c r="F529" s="9"/>
      <c r="G529" s="10"/>
      <c r="H529" s="11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7"/>
      <c r="B530" s="7"/>
      <c r="C530" s="5"/>
      <c r="D530" s="5"/>
      <c r="E530" s="9"/>
      <c r="F530" s="9"/>
      <c r="G530" s="10"/>
      <c r="H530" s="11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7"/>
      <c r="B531" s="7"/>
      <c r="C531" s="5"/>
      <c r="D531" s="5"/>
      <c r="E531" s="9"/>
      <c r="F531" s="9"/>
      <c r="G531" s="10"/>
      <c r="H531" s="11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7"/>
      <c r="B532" s="7"/>
      <c r="C532" s="5"/>
      <c r="D532" s="5"/>
      <c r="E532" s="9"/>
      <c r="F532" s="9"/>
      <c r="G532" s="10"/>
      <c r="H532" s="11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7"/>
      <c r="B533" s="7"/>
      <c r="C533" s="5"/>
      <c r="D533" s="5"/>
      <c r="E533" s="9"/>
      <c r="F533" s="9"/>
      <c r="G533" s="10"/>
      <c r="H533" s="11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7"/>
      <c r="B534" s="7"/>
      <c r="C534" s="5"/>
      <c r="D534" s="5"/>
      <c r="E534" s="9"/>
      <c r="F534" s="9"/>
      <c r="G534" s="10"/>
      <c r="H534" s="11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7"/>
      <c r="B535" s="7"/>
      <c r="C535" s="5"/>
      <c r="D535" s="5"/>
      <c r="E535" s="9"/>
      <c r="F535" s="9"/>
      <c r="G535" s="10"/>
      <c r="H535" s="11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7"/>
      <c r="B536" s="7"/>
      <c r="C536" s="5"/>
      <c r="D536" s="5"/>
      <c r="E536" s="9"/>
      <c r="F536" s="9"/>
      <c r="G536" s="10"/>
      <c r="H536" s="11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7"/>
      <c r="B537" s="7"/>
      <c r="C537" s="5"/>
      <c r="D537" s="5"/>
      <c r="E537" s="9"/>
      <c r="F537" s="9"/>
      <c r="G537" s="10"/>
      <c r="H537" s="11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7"/>
      <c r="B538" s="7"/>
      <c r="C538" s="5"/>
      <c r="D538" s="5"/>
      <c r="E538" s="9"/>
      <c r="F538" s="9"/>
      <c r="G538" s="10"/>
      <c r="H538" s="11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7"/>
      <c r="B539" s="7"/>
      <c r="C539" s="5"/>
      <c r="D539" s="5"/>
      <c r="E539" s="9"/>
      <c r="F539" s="9"/>
      <c r="G539" s="10"/>
      <c r="H539" s="11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7"/>
      <c r="B540" s="7"/>
      <c r="C540" s="5"/>
      <c r="D540" s="5"/>
      <c r="E540" s="9"/>
      <c r="F540" s="9"/>
      <c r="G540" s="10"/>
      <c r="H540" s="11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7"/>
      <c r="B541" s="7"/>
      <c r="C541" s="5"/>
      <c r="D541" s="5"/>
      <c r="E541" s="9"/>
      <c r="F541" s="9"/>
      <c r="G541" s="10"/>
      <c r="H541" s="11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7"/>
      <c r="B542" s="7"/>
      <c r="C542" s="5"/>
      <c r="D542" s="5"/>
      <c r="E542" s="9"/>
      <c r="F542" s="9"/>
      <c r="G542" s="10"/>
      <c r="H542" s="11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7"/>
      <c r="B543" s="7"/>
      <c r="C543" s="5"/>
      <c r="D543" s="5"/>
      <c r="E543" s="9"/>
      <c r="F543" s="9"/>
      <c r="G543" s="10"/>
      <c r="H543" s="11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7"/>
      <c r="B544" s="7"/>
      <c r="C544" s="5"/>
      <c r="D544" s="5"/>
      <c r="E544" s="9"/>
      <c r="F544" s="9"/>
      <c r="G544" s="10"/>
      <c r="H544" s="11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7"/>
      <c r="B545" s="7"/>
      <c r="C545" s="5"/>
      <c r="D545" s="5"/>
      <c r="E545" s="9"/>
      <c r="F545" s="9"/>
      <c r="G545" s="10"/>
      <c r="H545" s="11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7"/>
      <c r="B546" s="7"/>
      <c r="C546" s="5"/>
      <c r="D546" s="5"/>
      <c r="E546" s="9"/>
      <c r="F546" s="9"/>
      <c r="G546" s="10"/>
      <c r="H546" s="11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7"/>
      <c r="B547" s="7"/>
      <c r="C547" s="5"/>
      <c r="D547" s="5"/>
      <c r="E547" s="9"/>
      <c r="F547" s="9"/>
      <c r="G547" s="10"/>
      <c r="H547" s="11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7"/>
      <c r="B548" s="7"/>
      <c r="C548" s="5"/>
      <c r="D548" s="5"/>
      <c r="E548" s="9"/>
      <c r="F548" s="9"/>
      <c r="G548" s="10"/>
      <c r="H548" s="11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7"/>
      <c r="B549" s="7"/>
      <c r="C549" s="5"/>
      <c r="D549" s="5"/>
      <c r="E549" s="9"/>
      <c r="F549" s="9"/>
      <c r="G549" s="10"/>
      <c r="H549" s="11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7"/>
      <c r="B550" s="7"/>
      <c r="C550" s="5"/>
      <c r="D550" s="5"/>
      <c r="E550" s="9"/>
      <c r="F550" s="9"/>
      <c r="G550" s="10"/>
      <c r="H550" s="11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7"/>
      <c r="B551" s="7"/>
      <c r="C551" s="5"/>
      <c r="D551" s="5"/>
      <c r="E551" s="9"/>
      <c r="F551" s="9"/>
      <c r="G551" s="10"/>
      <c r="H551" s="11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7"/>
      <c r="B552" s="7"/>
      <c r="C552" s="5"/>
      <c r="D552" s="5"/>
      <c r="E552" s="9"/>
      <c r="F552" s="9"/>
      <c r="G552" s="10"/>
      <c r="H552" s="11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7"/>
      <c r="B553" s="7"/>
      <c r="C553" s="5"/>
      <c r="D553" s="5"/>
      <c r="E553" s="9"/>
      <c r="F553" s="9"/>
      <c r="G553" s="10"/>
      <c r="H553" s="11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7"/>
      <c r="B554" s="7"/>
      <c r="C554" s="5"/>
      <c r="D554" s="5"/>
      <c r="E554" s="9"/>
      <c r="F554" s="9"/>
      <c r="G554" s="10"/>
      <c r="H554" s="11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7"/>
      <c r="B555" s="7"/>
      <c r="C555" s="5"/>
      <c r="D555" s="5"/>
      <c r="E555" s="9"/>
      <c r="F555" s="9"/>
      <c r="G555" s="10"/>
      <c r="H555" s="11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7"/>
      <c r="B556" s="7"/>
      <c r="C556" s="5"/>
      <c r="D556" s="5"/>
      <c r="E556" s="9"/>
      <c r="F556" s="9"/>
      <c r="G556" s="10"/>
      <c r="H556" s="11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7"/>
      <c r="B557" s="7"/>
      <c r="C557" s="5"/>
      <c r="D557" s="5"/>
      <c r="E557" s="9"/>
      <c r="F557" s="9"/>
      <c r="G557" s="10"/>
      <c r="H557" s="11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7"/>
      <c r="B558" s="7"/>
      <c r="C558" s="5"/>
      <c r="D558" s="5"/>
      <c r="E558" s="9"/>
      <c r="F558" s="9"/>
      <c r="G558" s="10"/>
      <c r="H558" s="11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7"/>
      <c r="B559" s="7"/>
      <c r="C559" s="5"/>
      <c r="D559" s="5"/>
      <c r="E559" s="9"/>
      <c r="F559" s="9"/>
      <c r="G559" s="10"/>
      <c r="H559" s="11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7"/>
      <c r="B560" s="7"/>
      <c r="C560" s="5"/>
      <c r="D560" s="5"/>
      <c r="E560" s="9"/>
      <c r="F560" s="9"/>
      <c r="G560" s="10"/>
      <c r="H560" s="11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7"/>
      <c r="B561" s="7"/>
      <c r="C561" s="5"/>
      <c r="D561" s="5"/>
      <c r="E561" s="9"/>
      <c r="F561" s="9"/>
      <c r="G561" s="10"/>
      <c r="H561" s="11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7"/>
      <c r="B562" s="7"/>
      <c r="C562" s="5"/>
      <c r="D562" s="5"/>
      <c r="E562" s="9"/>
      <c r="F562" s="9"/>
      <c r="G562" s="10"/>
      <c r="H562" s="11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7"/>
      <c r="B563" s="7"/>
      <c r="C563" s="5"/>
      <c r="D563" s="5"/>
      <c r="E563" s="9"/>
      <c r="F563" s="9"/>
      <c r="G563" s="10"/>
      <c r="H563" s="11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7"/>
      <c r="B564" s="7"/>
      <c r="C564" s="5"/>
      <c r="D564" s="5"/>
      <c r="E564" s="9"/>
      <c r="F564" s="9"/>
      <c r="G564" s="10"/>
      <c r="H564" s="11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7"/>
      <c r="B565" s="7"/>
      <c r="C565" s="5"/>
      <c r="D565" s="5"/>
      <c r="E565" s="9"/>
      <c r="F565" s="9"/>
      <c r="G565" s="10"/>
      <c r="H565" s="11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7"/>
      <c r="B566" s="7"/>
      <c r="C566" s="5"/>
      <c r="D566" s="5"/>
      <c r="E566" s="9"/>
      <c r="F566" s="9"/>
      <c r="G566" s="10"/>
      <c r="H566" s="11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7"/>
      <c r="B567" s="7"/>
      <c r="C567" s="5"/>
      <c r="D567" s="5"/>
      <c r="E567" s="9"/>
      <c r="F567" s="9"/>
      <c r="G567" s="10"/>
      <c r="H567" s="11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7"/>
      <c r="B568" s="7"/>
      <c r="C568" s="5"/>
      <c r="D568" s="5"/>
      <c r="E568" s="9"/>
      <c r="F568" s="9"/>
      <c r="G568" s="10"/>
      <c r="H568" s="11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7"/>
      <c r="B569" s="7"/>
      <c r="C569" s="5"/>
      <c r="D569" s="5"/>
      <c r="E569" s="9"/>
      <c r="F569" s="9"/>
      <c r="G569" s="10"/>
      <c r="H569" s="11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7"/>
      <c r="B570" s="7"/>
      <c r="C570" s="5"/>
      <c r="D570" s="5"/>
      <c r="E570" s="9"/>
      <c r="F570" s="9"/>
      <c r="G570" s="10"/>
      <c r="H570" s="11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7"/>
      <c r="B571" s="7"/>
      <c r="C571" s="5"/>
      <c r="D571" s="5"/>
      <c r="E571" s="9"/>
      <c r="F571" s="9"/>
      <c r="G571" s="10"/>
      <c r="H571" s="11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7"/>
      <c r="B572" s="7"/>
      <c r="C572" s="5"/>
      <c r="D572" s="5"/>
      <c r="E572" s="9"/>
      <c r="F572" s="9"/>
      <c r="G572" s="10"/>
      <c r="H572" s="11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7"/>
      <c r="B573" s="7"/>
      <c r="C573" s="5"/>
      <c r="D573" s="5"/>
      <c r="E573" s="9"/>
      <c r="F573" s="9"/>
      <c r="G573" s="10"/>
      <c r="H573" s="11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7"/>
      <c r="B574" s="7"/>
      <c r="C574" s="5"/>
      <c r="D574" s="5"/>
      <c r="E574" s="9"/>
      <c r="F574" s="9"/>
      <c r="G574" s="10"/>
      <c r="H574" s="11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7"/>
      <c r="B575" s="7"/>
      <c r="C575" s="5"/>
      <c r="D575" s="5"/>
      <c r="E575" s="9"/>
      <c r="F575" s="9"/>
      <c r="G575" s="10"/>
      <c r="H575" s="11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7"/>
      <c r="B576" s="7"/>
      <c r="C576" s="5"/>
      <c r="D576" s="5"/>
      <c r="E576" s="9"/>
      <c r="F576" s="9"/>
      <c r="G576" s="10"/>
      <c r="H576" s="11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7"/>
      <c r="B577" s="7"/>
      <c r="C577" s="5"/>
      <c r="D577" s="5"/>
      <c r="E577" s="9"/>
      <c r="F577" s="9"/>
      <c r="G577" s="10"/>
      <c r="H577" s="11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7"/>
      <c r="B578" s="7"/>
      <c r="C578" s="5"/>
      <c r="D578" s="5"/>
      <c r="E578" s="9"/>
      <c r="F578" s="9"/>
      <c r="G578" s="10"/>
      <c r="H578" s="11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7"/>
      <c r="B579" s="7"/>
      <c r="C579" s="5"/>
      <c r="D579" s="5"/>
      <c r="E579" s="9"/>
      <c r="F579" s="9"/>
      <c r="G579" s="10"/>
      <c r="H579" s="11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7"/>
      <c r="B580" s="7"/>
      <c r="C580" s="5"/>
      <c r="D580" s="5"/>
      <c r="E580" s="9"/>
      <c r="F580" s="9"/>
      <c r="G580" s="10"/>
      <c r="H580" s="11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7"/>
      <c r="B581" s="7"/>
      <c r="C581" s="5"/>
      <c r="D581" s="5"/>
      <c r="E581" s="9"/>
      <c r="F581" s="9"/>
      <c r="G581" s="10"/>
      <c r="H581" s="11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7"/>
      <c r="B582" s="7"/>
      <c r="C582" s="5"/>
      <c r="D582" s="5"/>
      <c r="E582" s="9"/>
      <c r="F582" s="9"/>
      <c r="G582" s="10"/>
      <c r="H582" s="11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7"/>
      <c r="B583" s="7"/>
      <c r="C583" s="5"/>
      <c r="D583" s="5"/>
      <c r="E583" s="9"/>
      <c r="F583" s="9"/>
      <c r="G583" s="10"/>
      <c r="H583" s="11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7"/>
      <c r="B584" s="7"/>
      <c r="C584" s="5"/>
      <c r="D584" s="5"/>
      <c r="E584" s="9"/>
      <c r="F584" s="9"/>
      <c r="G584" s="10"/>
      <c r="H584" s="11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7"/>
      <c r="B585" s="7"/>
      <c r="C585" s="5"/>
      <c r="D585" s="5"/>
      <c r="E585" s="9"/>
      <c r="F585" s="9"/>
      <c r="G585" s="10"/>
      <c r="H585" s="11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7"/>
      <c r="B586" s="7"/>
      <c r="C586" s="5"/>
      <c r="D586" s="5"/>
      <c r="E586" s="9"/>
      <c r="F586" s="9"/>
      <c r="G586" s="10"/>
      <c r="H586" s="11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7"/>
      <c r="B587" s="7"/>
      <c r="C587" s="5"/>
      <c r="D587" s="5"/>
      <c r="E587" s="9"/>
      <c r="F587" s="9"/>
      <c r="G587" s="10"/>
      <c r="H587" s="11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7"/>
      <c r="B588" s="7"/>
      <c r="C588" s="5"/>
      <c r="D588" s="5"/>
      <c r="E588" s="9"/>
      <c r="F588" s="9"/>
      <c r="G588" s="10"/>
      <c r="H588" s="11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7"/>
      <c r="B589" s="7"/>
      <c r="C589" s="5"/>
      <c r="D589" s="5"/>
      <c r="E589" s="9"/>
      <c r="F589" s="9"/>
      <c r="G589" s="10"/>
      <c r="H589" s="11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7"/>
      <c r="B590" s="7"/>
      <c r="C590" s="5"/>
      <c r="D590" s="5"/>
      <c r="E590" s="9"/>
      <c r="F590" s="9"/>
      <c r="G590" s="10"/>
      <c r="H590" s="11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7"/>
      <c r="B591" s="7"/>
      <c r="C591" s="5"/>
      <c r="D591" s="5"/>
      <c r="E591" s="9"/>
      <c r="F591" s="9"/>
      <c r="G591" s="10"/>
      <c r="H591" s="11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7"/>
      <c r="B592" s="7"/>
      <c r="C592" s="5"/>
      <c r="D592" s="5"/>
      <c r="E592" s="9"/>
      <c r="F592" s="9"/>
      <c r="G592" s="10"/>
      <c r="H592" s="11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7"/>
      <c r="B593" s="7"/>
      <c r="C593" s="5"/>
      <c r="D593" s="5"/>
      <c r="E593" s="9"/>
      <c r="F593" s="9"/>
      <c r="G593" s="10"/>
      <c r="H593" s="11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7"/>
      <c r="B594" s="7"/>
      <c r="C594" s="5"/>
      <c r="D594" s="5"/>
      <c r="E594" s="9"/>
      <c r="F594" s="9"/>
      <c r="G594" s="10"/>
      <c r="H594" s="11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7"/>
      <c r="B595" s="7"/>
      <c r="C595" s="5"/>
      <c r="D595" s="5"/>
      <c r="E595" s="9"/>
      <c r="F595" s="9"/>
      <c r="G595" s="10"/>
      <c r="H595" s="11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7"/>
      <c r="B596" s="7"/>
      <c r="C596" s="5"/>
      <c r="D596" s="5"/>
      <c r="E596" s="9"/>
      <c r="F596" s="9"/>
      <c r="G596" s="10"/>
      <c r="H596" s="11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7"/>
      <c r="B597" s="7"/>
      <c r="C597" s="5"/>
      <c r="D597" s="5"/>
      <c r="E597" s="9"/>
      <c r="F597" s="9"/>
      <c r="G597" s="10"/>
      <c r="H597" s="11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7"/>
      <c r="B598" s="7"/>
      <c r="C598" s="5"/>
      <c r="D598" s="5"/>
      <c r="E598" s="9"/>
      <c r="F598" s="9"/>
      <c r="G598" s="10"/>
      <c r="H598" s="11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7"/>
      <c r="B599" s="7"/>
      <c r="C599" s="5"/>
      <c r="D599" s="5"/>
      <c r="E599" s="9"/>
      <c r="F599" s="9"/>
      <c r="G599" s="10"/>
      <c r="H599" s="11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7"/>
      <c r="B600" s="7"/>
      <c r="C600" s="5"/>
      <c r="D600" s="5"/>
      <c r="E600" s="9"/>
      <c r="F600" s="9"/>
      <c r="G600" s="10"/>
      <c r="H600" s="11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7"/>
      <c r="B601" s="7"/>
      <c r="C601" s="5"/>
      <c r="D601" s="5"/>
      <c r="E601" s="9"/>
      <c r="F601" s="9"/>
      <c r="G601" s="10"/>
      <c r="H601" s="11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7"/>
      <c r="B602" s="7"/>
      <c r="C602" s="5"/>
      <c r="D602" s="5"/>
      <c r="E602" s="9"/>
      <c r="F602" s="9"/>
      <c r="G602" s="10"/>
      <c r="H602" s="11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7"/>
      <c r="B603" s="7"/>
      <c r="C603" s="5"/>
      <c r="D603" s="5"/>
      <c r="E603" s="9"/>
      <c r="F603" s="9"/>
      <c r="G603" s="10"/>
      <c r="H603" s="11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7"/>
      <c r="B604" s="7"/>
      <c r="C604" s="5"/>
      <c r="D604" s="5"/>
      <c r="E604" s="9"/>
      <c r="F604" s="9"/>
      <c r="G604" s="10"/>
      <c r="H604" s="11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7"/>
      <c r="B605" s="7"/>
      <c r="C605" s="5"/>
      <c r="D605" s="5"/>
      <c r="E605" s="9"/>
      <c r="F605" s="9"/>
      <c r="G605" s="10"/>
      <c r="H605" s="11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7"/>
      <c r="B606" s="7"/>
      <c r="C606" s="5"/>
      <c r="D606" s="5"/>
      <c r="E606" s="9"/>
      <c r="F606" s="9"/>
      <c r="G606" s="10"/>
      <c r="H606" s="11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7"/>
      <c r="B607" s="7"/>
      <c r="C607" s="5"/>
      <c r="D607" s="5"/>
      <c r="E607" s="9"/>
      <c r="F607" s="9"/>
      <c r="G607" s="10"/>
      <c r="H607" s="11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7"/>
      <c r="B608" s="7"/>
      <c r="C608" s="5"/>
      <c r="D608" s="5"/>
      <c r="E608" s="9"/>
      <c r="F608" s="9"/>
      <c r="G608" s="10"/>
      <c r="H608" s="11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7"/>
      <c r="B609" s="7"/>
      <c r="C609" s="5"/>
      <c r="D609" s="5"/>
      <c r="E609" s="9"/>
      <c r="F609" s="9"/>
      <c r="G609" s="10"/>
      <c r="H609" s="11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7"/>
      <c r="B610" s="7"/>
      <c r="C610" s="5"/>
      <c r="D610" s="5"/>
      <c r="E610" s="9"/>
      <c r="F610" s="9"/>
      <c r="G610" s="10"/>
      <c r="H610" s="11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7"/>
      <c r="B611" s="7"/>
      <c r="C611" s="5"/>
      <c r="D611" s="5"/>
      <c r="E611" s="9"/>
      <c r="F611" s="9"/>
      <c r="G611" s="10"/>
      <c r="H611" s="11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7"/>
      <c r="B612" s="7"/>
      <c r="C612" s="5"/>
      <c r="D612" s="5"/>
      <c r="E612" s="9"/>
      <c r="F612" s="9"/>
      <c r="G612" s="10"/>
      <c r="H612" s="11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7"/>
      <c r="B613" s="7"/>
      <c r="C613" s="5"/>
      <c r="D613" s="5"/>
      <c r="E613" s="9"/>
      <c r="F613" s="9"/>
      <c r="G613" s="10"/>
      <c r="H613" s="11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7"/>
      <c r="B614" s="7"/>
      <c r="C614" s="5"/>
      <c r="D614" s="5"/>
      <c r="E614" s="9"/>
      <c r="F614" s="9"/>
      <c r="G614" s="10"/>
      <c r="H614" s="11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7"/>
      <c r="B615" s="7"/>
      <c r="C615" s="5"/>
      <c r="D615" s="5"/>
      <c r="E615" s="9"/>
      <c r="F615" s="9"/>
      <c r="G615" s="10"/>
      <c r="H615" s="11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7"/>
      <c r="B616" s="7"/>
      <c r="C616" s="5"/>
      <c r="D616" s="5"/>
      <c r="E616" s="9"/>
      <c r="F616" s="9"/>
      <c r="G616" s="10"/>
      <c r="H616" s="11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7"/>
      <c r="B617" s="7"/>
      <c r="C617" s="5"/>
      <c r="D617" s="5"/>
      <c r="E617" s="9"/>
      <c r="F617" s="9"/>
      <c r="G617" s="10"/>
      <c r="H617" s="11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7"/>
      <c r="B618" s="7"/>
      <c r="C618" s="5"/>
      <c r="D618" s="5"/>
      <c r="E618" s="9"/>
      <c r="F618" s="9"/>
      <c r="G618" s="10"/>
      <c r="H618" s="11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7"/>
      <c r="B619" s="7"/>
      <c r="C619" s="5"/>
      <c r="D619" s="5"/>
      <c r="E619" s="9"/>
      <c r="F619" s="9"/>
      <c r="G619" s="10"/>
      <c r="H619" s="11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7"/>
      <c r="B620" s="7"/>
      <c r="C620" s="5"/>
      <c r="D620" s="5"/>
      <c r="E620" s="9"/>
      <c r="F620" s="9"/>
      <c r="G620" s="10"/>
      <c r="H620" s="11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7"/>
      <c r="B621" s="7"/>
      <c r="C621" s="5"/>
      <c r="D621" s="5"/>
      <c r="E621" s="9"/>
      <c r="F621" s="9"/>
      <c r="G621" s="10"/>
      <c r="H621" s="11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7"/>
      <c r="B622" s="7"/>
      <c r="C622" s="5"/>
      <c r="D622" s="5"/>
      <c r="E622" s="9"/>
      <c r="F622" s="9"/>
      <c r="G622" s="10"/>
      <c r="H622" s="11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7"/>
      <c r="B623" s="7"/>
      <c r="C623" s="5"/>
      <c r="D623" s="5"/>
      <c r="E623" s="9"/>
      <c r="F623" s="9"/>
      <c r="G623" s="10"/>
      <c r="H623" s="11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7"/>
      <c r="B624" s="7"/>
      <c r="C624" s="5"/>
      <c r="D624" s="5"/>
      <c r="E624" s="9"/>
      <c r="F624" s="9"/>
      <c r="G624" s="10"/>
      <c r="H624" s="11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7"/>
      <c r="B625" s="7"/>
      <c r="C625" s="5"/>
      <c r="D625" s="5"/>
      <c r="E625" s="9"/>
      <c r="F625" s="9"/>
      <c r="G625" s="10"/>
      <c r="H625" s="11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7"/>
      <c r="B626" s="7"/>
      <c r="C626" s="5"/>
      <c r="D626" s="5"/>
      <c r="E626" s="9"/>
      <c r="F626" s="9"/>
      <c r="G626" s="10"/>
      <c r="H626" s="11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7"/>
      <c r="B627" s="7"/>
      <c r="C627" s="5"/>
      <c r="D627" s="5"/>
      <c r="E627" s="9"/>
      <c r="F627" s="9"/>
      <c r="G627" s="10"/>
      <c r="H627" s="11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7"/>
      <c r="B628" s="7"/>
      <c r="C628" s="5"/>
      <c r="D628" s="5"/>
      <c r="E628" s="9"/>
      <c r="F628" s="9"/>
      <c r="G628" s="10"/>
      <c r="H628" s="11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7"/>
      <c r="B629" s="7"/>
      <c r="C629" s="5"/>
      <c r="D629" s="5"/>
      <c r="E629" s="9"/>
      <c r="F629" s="9"/>
      <c r="G629" s="10"/>
      <c r="H629" s="11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7"/>
      <c r="B630" s="7"/>
      <c r="C630" s="5"/>
      <c r="D630" s="5"/>
      <c r="E630" s="9"/>
      <c r="F630" s="9"/>
      <c r="G630" s="10"/>
      <c r="H630" s="11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7"/>
      <c r="B631" s="7"/>
      <c r="C631" s="5"/>
      <c r="D631" s="5"/>
      <c r="E631" s="9"/>
      <c r="F631" s="9"/>
      <c r="G631" s="10"/>
      <c r="H631" s="11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7"/>
      <c r="B632" s="7"/>
      <c r="C632" s="5"/>
      <c r="D632" s="5"/>
      <c r="E632" s="9"/>
      <c r="F632" s="9"/>
      <c r="G632" s="10"/>
      <c r="H632" s="11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7"/>
      <c r="B633" s="7"/>
      <c r="C633" s="5"/>
      <c r="D633" s="5"/>
      <c r="E633" s="9"/>
      <c r="F633" s="9"/>
      <c r="G633" s="10"/>
      <c r="H633" s="11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7"/>
      <c r="B634" s="7"/>
      <c r="C634" s="5"/>
      <c r="D634" s="5"/>
      <c r="E634" s="9"/>
      <c r="F634" s="9"/>
      <c r="G634" s="10"/>
      <c r="H634" s="11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7"/>
      <c r="B635" s="7"/>
      <c r="C635" s="5"/>
      <c r="D635" s="5"/>
      <c r="E635" s="9"/>
      <c r="F635" s="9"/>
      <c r="G635" s="10"/>
      <c r="H635" s="11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7"/>
      <c r="B636" s="7"/>
      <c r="C636" s="5"/>
      <c r="D636" s="5"/>
      <c r="E636" s="9"/>
      <c r="F636" s="9"/>
      <c r="G636" s="10"/>
      <c r="H636" s="11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7"/>
      <c r="B637" s="7"/>
      <c r="C637" s="5"/>
      <c r="D637" s="5"/>
      <c r="E637" s="9"/>
      <c r="F637" s="9"/>
      <c r="G637" s="10"/>
      <c r="H637" s="11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7"/>
      <c r="B638" s="7"/>
      <c r="C638" s="5"/>
      <c r="D638" s="5"/>
      <c r="E638" s="9"/>
      <c r="F638" s="9"/>
      <c r="G638" s="10"/>
      <c r="H638" s="11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7"/>
      <c r="B639" s="7"/>
      <c r="C639" s="5"/>
      <c r="D639" s="5"/>
      <c r="E639" s="9"/>
      <c r="F639" s="9"/>
      <c r="G639" s="10"/>
      <c r="H639" s="11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7"/>
      <c r="B640" s="7"/>
      <c r="C640" s="5"/>
      <c r="D640" s="5"/>
      <c r="E640" s="9"/>
      <c r="F640" s="9"/>
      <c r="G640" s="10"/>
      <c r="H640" s="11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7"/>
      <c r="B641" s="7"/>
      <c r="C641" s="5"/>
      <c r="D641" s="5"/>
      <c r="E641" s="9"/>
      <c r="F641" s="9"/>
      <c r="G641" s="10"/>
      <c r="H641" s="11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7"/>
      <c r="B642" s="7"/>
      <c r="C642" s="5"/>
      <c r="D642" s="5"/>
      <c r="E642" s="9"/>
      <c r="F642" s="9"/>
      <c r="G642" s="10"/>
      <c r="H642" s="11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7"/>
      <c r="B643" s="7"/>
      <c r="C643" s="5"/>
      <c r="D643" s="5"/>
      <c r="E643" s="9"/>
      <c r="F643" s="9"/>
      <c r="G643" s="10"/>
      <c r="H643" s="11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7"/>
      <c r="B644" s="7"/>
      <c r="C644" s="5"/>
      <c r="D644" s="5"/>
      <c r="E644" s="9"/>
      <c r="F644" s="9"/>
      <c r="G644" s="10"/>
      <c r="H644" s="11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7"/>
      <c r="B645" s="7"/>
      <c r="C645" s="5"/>
      <c r="D645" s="5"/>
      <c r="E645" s="9"/>
      <c r="F645" s="9"/>
      <c r="G645" s="10"/>
      <c r="H645" s="11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7"/>
      <c r="B646" s="7"/>
      <c r="C646" s="5"/>
      <c r="D646" s="5"/>
      <c r="E646" s="9"/>
      <c r="F646" s="9"/>
      <c r="G646" s="10"/>
      <c r="H646" s="11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7"/>
      <c r="B647" s="7"/>
      <c r="C647" s="5"/>
      <c r="D647" s="5"/>
      <c r="E647" s="9"/>
      <c r="F647" s="9"/>
      <c r="G647" s="10"/>
      <c r="H647" s="11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7"/>
      <c r="B648" s="7"/>
      <c r="C648" s="5"/>
      <c r="D648" s="5"/>
      <c r="E648" s="9"/>
      <c r="F648" s="9"/>
      <c r="G648" s="10"/>
      <c r="H648" s="11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7"/>
      <c r="B649" s="7"/>
      <c r="C649" s="5"/>
      <c r="D649" s="5"/>
      <c r="E649" s="9"/>
      <c r="F649" s="9"/>
      <c r="G649" s="10"/>
      <c r="H649" s="11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7"/>
      <c r="B650" s="7"/>
      <c r="C650" s="5"/>
      <c r="D650" s="5"/>
      <c r="E650" s="9"/>
      <c r="F650" s="9"/>
      <c r="G650" s="10"/>
      <c r="H650" s="11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7"/>
      <c r="B651" s="7"/>
      <c r="C651" s="5"/>
      <c r="D651" s="5"/>
      <c r="E651" s="9"/>
      <c r="F651" s="9"/>
      <c r="G651" s="10"/>
      <c r="H651" s="11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7"/>
      <c r="B652" s="7"/>
      <c r="C652" s="5"/>
      <c r="D652" s="5"/>
      <c r="E652" s="9"/>
      <c r="F652" s="9"/>
      <c r="G652" s="10"/>
      <c r="H652" s="11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7"/>
      <c r="B653" s="7"/>
      <c r="C653" s="5"/>
      <c r="D653" s="5"/>
      <c r="E653" s="9"/>
      <c r="F653" s="9"/>
      <c r="G653" s="10"/>
      <c r="H653" s="11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7"/>
      <c r="B654" s="7"/>
      <c r="C654" s="5"/>
      <c r="D654" s="5"/>
      <c r="E654" s="9"/>
      <c r="F654" s="9"/>
      <c r="G654" s="10"/>
      <c r="H654" s="11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7"/>
      <c r="B655" s="7"/>
      <c r="C655" s="5"/>
      <c r="D655" s="5"/>
      <c r="E655" s="9"/>
      <c r="F655" s="9"/>
      <c r="G655" s="10"/>
      <c r="H655" s="11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7"/>
      <c r="B656" s="7"/>
      <c r="C656" s="5"/>
      <c r="D656" s="5"/>
      <c r="E656" s="9"/>
      <c r="F656" s="9"/>
      <c r="G656" s="10"/>
      <c r="H656" s="11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7"/>
      <c r="B657" s="7"/>
      <c r="C657" s="5"/>
      <c r="D657" s="5"/>
      <c r="E657" s="9"/>
      <c r="F657" s="9"/>
      <c r="G657" s="10"/>
      <c r="H657" s="11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7"/>
      <c r="B658" s="7"/>
      <c r="C658" s="5"/>
      <c r="D658" s="5"/>
      <c r="E658" s="9"/>
      <c r="F658" s="9"/>
      <c r="G658" s="10"/>
      <c r="H658" s="11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7"/>
      <c r="B659" s="7"/>
      <c r="C659" s="5"/>
      <c r="D659" s="5"/>
      <c r="E659" s="9"/>
      <c r="F659" s="9"/>
      <c r="G659" s="10"/>
      <c r="H659" s="11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7"/>
      <c r="B660" s="7"/>
      <c r="C660" s="5"/>
      <c r="D660" s="5"/>
      <c r="E660" s="9"/>
      <c r="F660" s="9"/>
      <c r="G660" s="10"/>
      <c r="H660" s="11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7"/>
      <c r="B661" s="7"/>
      <c r="C661" s="5"/>
      <c r="D661" s="5"/>
      <c r="E661" s="9"/>
      <c r="F661" s="9"/>
      <c r="G661" s="10"/>
      <c r="H661" s="11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7"/>
      <c r="B662" s="7"/>
      <c r="C662" s="5"/>
      <c r="D662" s="5"/>
      <c r="E662" s="9"/>
      <c r="F662" s="9"/>
      <c r="G662" s="10"/>
      <c r="H662" s="11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7"/>
      <c r="B663" s="7"/>
      <c r="C663" s="5"/>
      <c r="D663" s="5"/>
      <c r="E663" s="9"/>
      <c r="F663" s="9"/>
      <c r="G663" s="10"/>
      <c r="H663" s="11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7"/>
      <c r="B664" s="7"/>
      <c r="C664" s="5"/>
      <c r="D664" s="5"/>
      <c r="E664" s="9"/>
      <c r="F664" s="9"/>
      <c r="G664" s="10"/>
      <c r="H664" s="11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7"/>
      <c r="B665" s="7"/>
      <c r="C665" s="5"/>
      <c r="D665" s="5"/>
      <c r="E665" s="9"/>
      <c r="F665" s="9"/>
      <c r="G665" s="10"/>
      <c r="H665" s="11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7"/>
      <c r="B666" s="7"/>
      <c r="C666" s="5"/>
      <c r="D666" s="5"/>
      <c r="E666" s="9"/>
      <c r="F666" s="9"/>
      <c r="G666" s="10"/>
      <c r="H666" s="11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7"/>
      <c r="B667" s="7"/>
      <c r="C667" s="5"/>
      <c r="D667" s="5"/>
      <c r="E667" s="9"/>
      <c r="F667" s="9"/>
      <c r="G667" s="10"/>
      <c r="H667" s="11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7"/>
      <c r="B668" s="7"/>
      <c r="C668" s="5"/>
      <c r="D668" s="5"/>
      <c r="E668" s="9"/>
      <c r="F668" s="9"/>
      <c r="G668" s="10"/>
      <c r="H668" s="11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7"/>
      <c r="B669" s="7"/>
      <c r="C669" s="5"/>
      <c r="D669" s="5"/>
      <c r="E669" s="9"/>
      <c r="F669" s="9"/>
      <c r="G669" s="10"/>
      <c r="H669" s="11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7"/>
      <c r="B670" s="7"/>
      <c r="C670" s="5"/>
      <c r="D670" s="5"/>
      <c r="E670" s="9"/>
      <c r="F670" s="9"/>
      <c r="G670" s="10"/>
      <c r="H670" s="11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7"/>
      <c r="B671" s="7"/>
      <c r="C671" s="5"/>
      <c r="D671" s="5"/>
      <c r="E671" s="9"/>
      <c r="F671" s="9"/>
      <c r="G671" s="10"/>
      <c r="H671" s="11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7"/>
      <c r="B672" s="7"/>
      <c r="C672" s="5"/>
      <c r="D672" s="5"/>
      <c r="E672" s="9"/>
      <c r="F672" s="9"/>
      <c r="G672" s="10"/>
      <c r="H672" s="11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7"/>
      <c r="B673" s="7"/>
      <c r="C673" s="5"/>
      <c r="D673" s="5"/>
      <c r="E673" s="9"/>
      <c r="F673" s="9"/>
      <c r="G673" s="10"/>
      <c r="H673" s="11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7"/>
      <c r="B674" s="7"/>
      <c r="C674" s="5"/>
      <c r="D674" s="5"/>
      <c r="E674" s="9"/>
      <c r="F674" s="9"/>
      <c r="G674" s="10"/>
      <c r="H674" s="11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7"/>
      <c r="B675" s="7"/>
      <c r="C675" s="5"/>
      <c r="D675" s="5"/>
      <c r="E675" s="9"/>
      <c r="F675" s="9"/>
      <c r="G675" s="10"/>
      <c r="H675" s="11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7"/>
      <c r="B676" s="7"/>
      <c r="C676" s="5"/>
      <c r="D676" s="5"/>
      <c r="E676" s="9"/>
      <c r="F676" s="9"/>
      <c r="G676" s="10"/>
      <c r="H676" s="11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7"/>
      <c r="B677" s="7"/>
      <c r="C677" s="5"/>
      <c r="D677" s="5"/>
      <c r="E677" s="9"/>
      <c r="F677" s="9"/>
      <c r="G677" s="10"/>
      <c r="H677" s="11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7"/>
      <c r="B678" s="7"/>
      <c r="C678" s="5"/>
      <c r="D678" s="5"/>
      <c r="E678" s="9"/>
      <c r="F678" s="9"/>
      <c r="G678" s="10"/>
      <c r="H678" s="11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7"/>
      <c r="B679" s="7"/>
      <c r="C679" s="5"/>
      <c r="D679" s="5"/>
      <c r="E679" s="9"/>
      <c r="F679" s="9"/>
      <c r="G679" s="10"/>
      <c r="H679" s="11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7"/>
      <c r="B680" s="7"/>
      <c r="C680" s="5"/>
      <c r="D680" s="5"/>
      <c r="E680" s="9"/>
      <c r="F680" s="9"/>
      <c r="G680" s="10"/>
      <c r="H680" s="11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7"/>
      <c r="B681" s="7"/>
      <c r="C681" s="5"/>
      <c r="D681" s="5"/>
      <c r="E681" s="9"/>
      <c r="F681" s="9"/>
      <c r="G681" s="10"/>
      <c r="H681" s="11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7"/>
      <c r="B682" s="7"/>
      <c r="C682" s="5"/>
      <c r="D682" s="5"/>
      <c r="E682" s="9"/>
      <c r="F682" s="9"/>
      <c r="G682" s="10"/>
      <c r="H682" s="11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7"/>
      <c r="B683" s="7"/>
      <c r="C683" s="5"/>
      <c r="D683" s="5"/>
      <c r="E683" s="9"/>
      <c r="F683" s="9"/>
      <c r="G683" s="10"/>
      <c r="H683" s="11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7"/>
      <c r="B684" s="7"/>
      <c r="C684" s="5"/>
      <c r="D684" s="5"/>
      <c r="E684" s="9"/>
      <c r="F684" s="9"/>
      <c r="G684" s="10"/>
      <c r="H684" s="11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7"/>
      <c r="B685" s="7"/>
      <c r="C685" s="5"/>
      <c r="D685" s="5"/>
      <c r="E685" s="9"/>
      <c r="F685" s="9"/>
      <c r="G685" s="10"/>
      <c r="H685" s="11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7"/>
      <c r="B686" s="7"/>
      <c r="C686" s="5"/>
      <c r="D686" s="5"/>
      <c r="E686" s="9"/>
      <c r="F686" s="9"/>
      <c r="G686" s="10"/>
      <c r="H686" s="11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7"/>
      <c r="B687" s="7"/>
      <c r="C687" s="5"/>
      <c r="D687" s="5"/>
      <c r="E687" s="9"/>
      <c r="F687" s="9"/>
      <c r="G687" s="10"/>
      <c r="H687" s="11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7"/>
      <c r="B688" s="7"/>
      <c r="C688" s="5"/>
      <c r="D688" s="5"/>
      <c r="E688" s="9"/>
      <c r="F688" s="9"/>
      <c r="G688" s="10"/>
      <c r="H688" s="11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7"/>
      <c r="B689" s="7"/>
      <c r="C689" s="5"/>
      <c r="D689" s="5"/>
      <c r="E689" s="9"/>
      <c r="F689" s="9"/>
      <c r="G689" s="10"/>
      <c r="H689" s="11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7"/>
      <c r="B690" s="7"/>
      <c r="C690" s="5"/>
      <c r="D690" s="5"/>
      <c r="E690" s="9"/>
      <c r="F690" s="9"/>
      <c r="G690" s="10"/>
      <c r="H690" s="11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7"/>
      <c r="B691" s="7"/>
      <c r="C691" s="5"/>
      <c r="D691" s="5"/>
      <c r="E691" s="9"/>
      <c r="F691" s="9"/>
      <c r="G691" s="10"/>
      <c r="H691" s="11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7"/>
      <c r="B692" s="7"/>
      <c r="C692" s="5"/>
      <c r="D692" s="5"/>
      <c r="E692" s="9"/>
      <c r="F692" s="9"/>
      <c r="G692" s="10"/>
      <c r="H692" s="11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7"/>
      <c r="B693" s="7"/>
      <c r="C693" s="5"/>
      <c r="D693" s="5"/>
      <c r="E693" s="9"/>
      <c r="F693" s="9"/>
      <c r="G693" s="10"/>
      <c r="H693" s="11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7"/>
      <c r="B694" s="7"/>
      <c r="C694" s="5"/>
      <c r="D694" s="5"/>
      <c r="E694" s="9"/>
      <c r="F694" s="9"/>
      <c r="G694" s="10"/>
      <c r="H694" s="11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7"/>
      <c r="B695" s="7"/>
      <c r="C695" s="5"/>
      <c r="D695" s="5"/>
      <c r="E695" s="9"/>
      <c r="F695" s="9"/>
      <c r="G695" s="10"/>
      <c r="H695" s="11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7"/>
      <c r="B696" s="7"/>
      <c r="C696" s="5"/>
      <c r="D696" s="5"/>
      <c r="E696" s="9"/>
      <c r="F696" s="9"/>
      <c r="G696" s="10"/>
      <c r="H696" s="11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7"/>
      <c r="B697" s="7"/>
      <c r="C697" s="5"/>
      <c r="D697" s="5"/>
      <c r="E697" s="9"/>
      <c r="F697" s="9"/>
      <c r="G697" s="10"/>
      <c r="H697" s="11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7"/>
      <c r="B698" s="7"/>
      <c r="C698" s="5"/>
      <c r="D698" s="5"/>
      <c r="E698" s="9"/>
      <c r="F698" s="9"/>
      <c r="G698" s="10"/>
      <c r="H698" s="11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7"/>
      <c r="B699" s="7"/>
      <c r="C699" s="5"/>
      <c r="D699" s="5"/>
      <c r="E699" s="9"/>
      <c r="F699" s="9"/>
      <c r="G699" s="10"/>
      <c r="H699" s="11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7"/>
      <c r="B700" s="7"/>
      <c r="C700" s="5"/>
      <c r="D700" s="5"/>
      <c r="E700" s="9"/>
      <c r="F700" s="9"/>
      <c r="G700" s="10"/>
      <c r="H700" s="11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7"/>
      <c r="B701" s="7"/>
      <c r="C701" s="5"/>
      <c r="D701" s="5"/>
      <c r="E701" s="9"/>
      <c r="F701" s="9"/>
      <c r="G701" s="10"/>
      <c r="H701" s="11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7"/>
      <c r="B702" s="7"/>
      <c r="C702" s="5"/>
      <c r="D702" s="5"/>
      <c r="E702" s="9"/>
      <c r="F702" s="9"/>
      <c r="G702" s="10"/>
      <c r="H702" s="11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7"/>
      <c r="B703" s="7"/>
      <c r="C703" s="5"/>
      <c r="D703" s="5"/>
      <c r="E703" s="9"/>
      <c r="F703" s="9"/>
      <c r="G703" s="10"/>
      <c r="H703" s="11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7"/>
      <c r="B704" s="7"/>
      <c r="C704" s="5"/>
      <c r="D704" s="5"/>
      <c r="E704" s="9"/>
      <c r="F704" s="9"/>
      <c r="G704" s="10"/>
      <c r="H704" s="11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7"/>
      <c r="B705" s="7"/>
      <c r="C705" s="5"/>
      <c r="D705" s="5"/>
      <c r="E705" s="9"/>
      <c r="F705" s="9"/>
      <c r="G705" s="10"/>
      <c r="H705" s="11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7"/>
      <c r="B706" s="7"/>
      <c r="C706" s="5"/>
      <c r="D706" s="5"/>
      <c r="E706" s="9"/>
      <c r="F706" s="9"/>
      <c r="G706" s="10"/>
      <c r="H706" s="11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7"/>
      <c r="B707" s="7"/>
      <c r="C707" s="5"/>
      <c r="D707" s="5"/>
      <c r="E707" s="9"/>
      <c r="F707" s="9"/>
      <c r="G707" s="10"/>
      <c r="H707" s="11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7"/>
      <c r="B708" s="7"/>
      <c r="C708" s="5"/>
      <c r="D708" s="5"/>
      <c r="E708" s="9"/>
      <c r="F708" s="9"/>
      <c r="G708" s="10"/>
      <c r="H708" s="11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7"/>
      <c r="B709" s="7"/>
      <c r="C709" s="5"/>
      <c r="D709" s="5"/>
      <c r="E709" s="9"/>
      <c r="F709" s="9"/>
      <c r="G709" s="10"/>
      <c r="H709" s="11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7"/>
      <c r="B710" s="7"/>
      <c r="C710" s="5"/>
      <c r="D710" s="5"/>
      <c r="E710" s="9"/>
      <c r="F710" s="9"/>
      <c r="G710" s="10"/>
      <c r="H710" s="11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7"/>
      <c r="B711" s="7"/>
      <c r="C711" s="5"/>
      <c r="D711" s="5"/>
      <c r="E711" s="9"/>
      <c r="F711" s="9"/>
      <c r="G711" s="10"/>
      <c r="H711" s="11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7"/>
      <c r="B712" s="7"/>
      <c r="C712" s="5"/>
      <c r="D712" s="5"/>
      <c r="E712" s="9"/>
      <c r="F712" s="9"/>
      <c r="G712" s="10"/>
      <c r="H712" s="11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7"/>
      <c r="B713" s="7"/>
      <c r="C713" s="5"/>
      <c r="D713" s="5"/>
      <c r="E713" s="9"/>
      <c r="F713" s="9"/>
      <c r="G713" s="10"/>
      <c r="H713" s="11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7"/>
      <c r="B714" s="7"/>
      <c r="C714" s="5"/>
      <c r="D714" s="5"/>
      <c r="E714" s="9"/>
      <c r="F714" s="9"/>
      <c r="G714" s="10"/>
      <c r="H714" s="11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7"/>
      <c r="B715" s="7"/>
      <c r="C715" s="5"/>
      <c r="D715" s="5"/>
      <c r="E715" s="9"/>
      <c r="F715" s="9"/>
      <c r="G715" s="10"/>
      <c r="H715" s="11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7"/>
      <c r="B716" s="7"/>
      <c r="C716" s="5"/>
      <c r="D716" s="5"/>
      <c r="E716" s="9"/>
      <c r="F716" s="9"/>
      <c r="G716" s="10"/>
      <c r="H716" s="11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7"/>
      <c r="B717" s="7"/>
      <c r="C717" s="5"/>
      <c r="D717" s="5"/>
      <c r="E717" s="9"/>
      <c r="F717" s="9"/>
      <c r="G717" s="10"/>
      <c r="H717" s="11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7"/>
      <c r="B718" s="7"/>
      <c r="C718" s="5"/>
      <c r="D718" s="5"/>
      <c r="E718" s="9"/>
      <c r="F718" s="9"/>
      <c r="G718" s="10"/>
      <c r="H718" s="11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7"/>
      <c r="B719" s="7"/>
      <c r="C719" s="5"/>
      <c r="D719" s="5"/>
      <c r="E719" s="9"/>
      <c r="F719" s="9"/>
      <c r="G719" s="10"/>
      <c r="H719" s="11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7"/>
      <c r="B720" s="7"/>
      <c r="C720" s="5"/>
      <c r="D720" s="5"/>
      <c r="E720" s="9"/>
      <c r="F720" s="9"/>
      <c r="G720" s="10"/>
      <c r="H720" s="11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7"/>
      <c r="B721" s="7"/>
      <c r="C721" s="5"/>
      <c r="D721" s="5"/>
      <c r="E721" s="9"/>
      <c r="F721" s="9"/>
      <c r="G721" s="10"/>
      <c r="H721" s="11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7"/>
      <c r="B722" s="7"/>
      <c r="C722" s="5"/>
      <c r="D722" s="5"/>
      <c r="E722" s="9"/>
      <c r="F722" s="9"/>
      <c r="G722" s="10"/>
      <c r="H722" s="11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7"/>
      <c r="B723" s="7"/>
      <c r="C723" s="5"/>
      <c r="D723" s="5"/>
      <c r="E723" s="9"/>
      <c r="F723" s="9"/>
      <c r="G723" s="10"/>
      <c r="H723" s="11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7"/>
      <c r="B724" s="7"/>
      <c r="C724" s="5"/>
      <c r="D724" s="5"/>
      <c r="E724" s="9"/>
      <c r="F724" s="9"/>
      <c r="G724" s="10"/>
      <c r="H724" s="11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7"/>
      <c r="B725" s="7"/>
      <c r="C725" s="5"/>
      <c r="D725" s="5"/>
      <c r="E725" s="9"/>
      <c r="F725" s="9"/>
      <c r="G725" s="10"/>
      <c r="H725" s="11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7"/>
      <c r="B726" s="7"/>
      <c r="C726" s="5"/>
      <c r="D726" s="5"/>
      <c r="E726" s="9"/>
      <c r="F726" s="9"/>
      <c r="G726" s="10"/>
      <c r="H726" s="11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7"/>
      <c r="B727" s="7"/>
      <c r="C727" s="5"/>
      <c r="D727" s="5"/>
      <c r="E727" s="9"/>
      <c r="F727" s="9"/>
      <c r="G727" s="10"/>
      <c r="H727" s="11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7"/>
      <c r="B728" s="7"/>
      <c r="C728" s="5"/>
      <c r="D728" s="5"/>
      <c r="E728" s="9"/>
      <c r="F728" s="9"/>
      <c r="G728" s="10"/>
      <c r="H728" s="11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7"/>
      <c r="B729" s="7"/>
      <c r="C729" s="5"/>
      <c r="D729" s="5"/>
      <c r="E729" s="9"/>
      <c r="F729" s="9"/>
      <c r="G729" s="10"/>
      <c r="H729" s="11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7"/>
      <c r="B730" s="7"/>
      <c r="C730" s="5"/>
      <c r="D730" s="5"/>
      <c r="E730" s="9"/>
      <c r="F730" s="9"/>
      <c r="G730" s="10"/>
      <c r="H730" s="11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7"/>
      <c r="B731" s="7"/>
      <c r="C731" s="5"/>
      <c r="D731" s="5"/>
      <c r="E731" s="9"/>
      <c r="F731" s="9"/>
      <c r="G731" s="10"/>
      <c r="H731" s="11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7"/>
      <c r="B732" s="7"/>
      <c r="C732" s="5"/>
      <c r="D732" s="5"/>
      <c r="E732" s="9"/>
      <c r="F732" s="9"/>
      <c r="G732" s="10"/>
      <c r="H732" s="11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7"/>
      <c r="B733" s="7"/>
      <c r="C733" s="5"/>
      <c r="D733" s="5"/>
      <c r="E733" s="9"/>
      <c r="F733" s="9"/>
      <c r="G733" s="10"/>
      <c r="H733" s="11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7"/>
      <c r="B734" s="7"/>
      <c r="C734" s="5"/>
      <c r="D734" s="5"/>
      <c r="E734" s="9"/>
      <c r="F734" s="9"/>
      <c r="G734" s="10"/>
      <c r="H734" s="11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7"/>
      <c r="B735" s="7"/>
      <c r="C735" s="5"/>
      <c r="D735" s="5"/>
      <c r="E735" s="9"/>
      <c r="F735" s="9"/>
      <c r="G735" s="10"/>
      <c r="H735" s="11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7"/>
      <c r="B736" s="7"/>
      <c r="C736" s="5"/>
      <c r="D736" s="5"/>
      <c r="E736" s="9"/>
      <c r="F736" s="9"/>
      <c r="G736" s="10"/>
      <c r="H736" s="11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7"/>
      <c r="B737" s="7"/>
      <c r="C737" s="5"/>
      <c r="D737" s="5"/>
      <c r="E737" s="9"/>
      <c r="F737" s="9"/>
      <c r="G737" s="10"/>
      <c r="H737" s="11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7"/>
      <c r="B738" s="7"/>
      <c r="C738" s="5"/>
      <c r="D738" s="5"/>
      <c r="E738" s="9"/>
      <c r="F738" s="9"/>
      <c r="G738" s="10"/>
      <c r="H738" s="11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7"/>
      <c r="B739" s="7"/>
      <c r="C739" s="5"/>
      <c r="D739" s="5"/>
      <c r="E739" s="9"/>
      <c r="F739" s="9"/>
      <c r="G739" s="10"/>
      <c r="H739" s="11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7"/>
      <c r="B740" s="7"/>
      <c r="C740" s="5"/>
      <c r="D740" s="5"/>
      <c r="E740" s="9"/>
      <c r="F740" s="9"/>
      <c r="G740" s="10"/>
      <c r="H740" s="11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7"/>
      <c r="B741" s="7"/>
      <c r="C741" s="5"/>
      <c r="D741" s="5"/>
      <c r="E741" s="9"/>
      <c r="F741" s="9"/>
      <c r="G741" s="10"/>
      <c r="H741" s="11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7"/>
      <c r="B742" s="7"/>
      <c r="C742" s="5"/>
      <c r="D742" s="5"/>
      <c r="E742" s="9"/>
      <c r="F742" s="9"/>
      <c r="G742" s="10"/>
      <c r="H742" s="11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7"/>
      <c r="B743" s="7"/>
      <c r="C743" s="5"/>
      <c r="D743" s="5"/>
      <c r="E743" s="9"/>
      <c r="F743" s="9"/>
      <c r="G743" s="10"/>
      <c r="H743" s="11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7"/>
      <c r="B744" s="7"/>
      <c r="C744" s="5"/>
      <c r="D744" s="5"/>
      <c r="E744" s="9"/>
      <c r="F744" s="9"/>
      <c r="G744" s="10"/>
      <c r="H744" s="11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7"/>
      <c r="B745" s="7"/>
      <c r="C745" s="5"/>
      <c r="D745" s="5"/>
      <c r="E745" s="9"/>
      <c r="F745" s="9"/>
      <c r="G745" s="10"/>
      <c r="H745" s="11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7"/>
      <c r="B746" s="7"/>
      <c r="C746" s="5"/>
      <c r="D746" s="5"/>
      <c r="E746" s="9"/>
      <c r="F746" s="9"/>
      <c r="G746" s="10"/>
      <c r="H746" s="11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7"/>
      <c r="B747" s="7"/>
      <c r="C747" s="5"/>
      <c r="D747" s="5"/>
      <c r="E747" s="9"/>
      <c r="F747" s="9"/>
      <c r="G747" s="10"/>
      <c r="H747" s="11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7"/>
      <c r="B748" s="7"/>
      <c r="C748" s="5"/>
      <c r="D748" s="5"/>
      <c r="E748" s="9"/>
      <c r="F748" s="9"/>
      <c r="G748" s="10"/>
      <c r="H748" s="11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7"/>
      <c r="B749" s="7"/>
      <c r="C749" s="5"/>
      <c r="D749" s="5"/>
      <c r="E749" s="9"/>
      <c r="F749" s="9"/>
      <c r="G749" s="10"/>
      <c r="H749" s="11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7"/>
      <c r="B750" s="7"/>
      <c r="C750" s="5"/>
      <c r="D750" s="5"/>
      <c r="E750" s="9"/>
      <c r="F750" s="9"/>
      <c r="G750" s="10"/>
      <c r="H750" s="11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7"/>
      <c r="B751" s="7"/>
      <c r="C751" s="5"/>
      <c r="D751" s="5"/>
      <c r="E751" s="9"/>
      <c r="F751" s="9"/>
      <c r="G751" s="10"/>
      <c r="H751" s="11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7"/>
      <c r="B752" s="7"/>
      <c r="C752" s="5"/>
      <c r="D752" s="5"/>
      <c r="E752" s="9"/>
      <c r="F752" s="9"/>
      <c r="G752" s="10"/>
      <c r="H752" s="11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7"/>
      <c r="B753" s="7"/>
      <c r="C753" s="5"/>
      <c r="D753" s="5"/>
      <c r="E753" s="9"/>
      <c r="F753" s="9"/>
      <c r="G753" s="10"/>
      <c r="H753" s="11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7"/>
      <c r="B754" s="7"/>
      <c r="C754" s="5"/>
      <c r="D754" s="5"/>
      <c r="E754" s="9"/>
      <c r="F754" s="9"/>
      <c r="G754" s="10"/>
      <c r="H754" s="11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7"/>
      <c r="B755" s="7"/>
      <c r="C755" s="5"/>
      <c r="D755" s="5"/>
      <c r="E755" s="9"/>
      <c r="F755" s="9"/>
      <c r="G755" s="10"/>
      <c r="H755" s="11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7"/>
      <c r="B756" s="7"/>
      <c r="C756" s="5"/>
      <c r="D756" s="5"/>
      <c r="E756" s="9"/>
      <c r="F756" s="9"/>
      <c r="G756" s="10"/>
      <c r="H756" s="11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7"/>
      <c r="B757" s="7"/>
      <c r="C757" s="5"/>
      <c r="D757" s="5"/>
      <c r="E757" s="9"/>
      <c r="F757" s="9"/>
      <c r="G757" s="10"/>
      <c r="H757" s="11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7"/>
      <c r="B758" s="7"/>
      <c r="C758" s="5"/>
      <c r="D758" s="5"/>
      <c r="E758" s="9"/>
      <c r="F758" s="9"/>
      <c r="G758" s="10"/>
      <c r="H758" s="11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7"/>
      <c r="B759" s="7"/>
      <c r="C759" s="5"/>
      <c r="D759" s="5"/>
      <c r="E759" s="9"/>
      <c r="F759" s="9"/>
      <c r="G759" s="10"/>
      <c r="H759" s="11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7"/>
      <c r="B760" s="7"/>
      <c r="C760" s="5"/>
      <c r="D760" s="5"/>
      <c r="E760" s="9"/>
      <c r="F760" s="9"/>
      <c r="G760" s="10"/>
      <c r="H760" s="11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7"/>
      <c r="B761" s="7"/>
      <c r="C761" s="5"/>
      <c r="D761" s="5"/>
      <c r="E761" s="9"/>
      <c r="F761" s="9"/>
      <c r="G761" s="10"/>
      <c r="H761" s="11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7"/>
      <c r="B762" s="7"/>
      <c r="C762" s="5"/>
      <c r="D762" s="5"/>
      <c r="E762" s="9"/>
      <c r="F762" s="9"/>
      <c r="G762" s="10"/>
      <c r="H762" s="11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7"/>
      <c r="B763" s="7"/>
      <c r="C763" s="5"/>
      <c r="D763" s="5"/>
      <c r="E763" s="9"/>
      <c r="F763" s="9"/>
      <c r="G763" s="10"/>
      <c r="H763" s="11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7"/>
      <c r="B764" s="7"/>
      <c r="C764" s="5"/>
      <c r="D764" s="5"/>
      <c r="E764" s="9"/>
      <c r="F764" s="9"/>
      <c r="G764" s="10"/>
      <c r="H764" s="11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7"/>
      <c r="B765" s="7"/>
      <c r="C765" s="5"/>
      <c r="D765" s="5"/>
      <c r="E765" s="9"/>
      <c r="F765" s="9"/>
      <c r="G765" s="10"/>
      <c r="H765" s="11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7"/>
      <c r="B766" s="7"/>
      <c r="C766" s="5"/>
      <c r="D766" s="5"/>
      <c r="E766" s="9"/>
      <c r="F766" s="9"/>
      <c r="G766" s="10"/>
      <c r="H766" s="11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7"/>
      <c r="B767" s="7"/>
      <c r="C767" s="5"/>
      <c r="D767" s="5"/>
      <c r="E767" s="9"/>
      <c r="F767" s="9"/>
      <c r="G767" s="10"/>
      <c r="H767" s="11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7"/>
      <c r="B768" s="7"/>
      <c r="C768" s="5"/>
      <c r="D768" s="5"/>
      <c r="E768" s="9"/>
      <c r="F768" s="9"/>
      <c r="G768" s="10"/>
      <c r="H768" s="11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7"/>
      <c r="B769" s="7"/>
      <c r="C769" s="5"/>
      <c r="D769" s="5"/>
      <c r="E769" s="9"/>
      <c r="F769" s="9"/>
      <c r="G769" s="10"/>
      <c r="H769" s="11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7"/>
      <c r="B770" s="7"/>
      <c r="C770" s="5"/>
      <c r="D770" s="5"/>
      <c r="E770" s="9"/>
      <c r="F770" s="9"/>
      <c r="G770" s="10"/>
      <c r="H770" s="11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7"/>
      <c r="B771" s="7"/>
      <c r="C771" s="5"/>
      <c r="D771" s="5"/>
      <c r="E771" s="9"/>
      <c r="F771" s="9"/>
      <c r="G771" s="10"/>
      <c r="H771" s="11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7"/>
      <c r="B772" s="7"/>
      <c r="C772" s="5"/>
      <c r="D772" s="5"/>
      <c r="E772" s="9"/>
      <c r="F772" s="9"/>
      <c r="G772" s="10"/>
      <c r="H772" s="11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7"/>
      <c r="B773" s="7"/>
      <c r="C773" s="5"/>
      <c r="D773" s="5"/>
      <c r="E773" s="9"/>
      <c r="F773" s="9"/>
      <c r="G773" s="10"/>
      <c r="H773" s="11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7"/>
      <c r="B774" s="7"/>
      <c r="C774" s="5"/>
      <c r="D774" s="5"/>
      <c r="E774" s="9"/>
      <c r="F774" s="9"/>
      <c r="G774" s="10"/>
      <c r="H774" s="11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7"/>
      <c r="B775" s="7"/>
      <c r="C775" s="5"/>
      <c r="D775" s="5"/>
      <c r="E775" s="9"/>
      <c r="F775" s="9"/>
      <c r="G775" s="10"/>
      <c r="H775" s="11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7"/>
      <c r="B776" s="7"/>
      <c r="C776" s="5"/>
      <c r="D776" s="5"/>
      <c r="E776" s="9"/>
      <c r="F776" s="9"/>
      <c r="G776" s="10"/>
      <c r="H776" s="11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7"/>
      <c r="B777" s="7"/>
      <c r="C777" s="5"/>
      <c r="D777" s="5"/>
      <c r="E777" s="9"/>
      <c r="F777" s="9"/>
      <c r="G777" s="10"/>
      <c r="H777" s="11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7"/>
      <c r="B778" s="7"/>
      <c r="C778" s="5"/>
      <c r="D778" s="5"/>
      <c r="E778" s="9"/>
      <c r="F778" s="9"/>
      <c r="G778" s="10"/>
      <c r="H778" s="11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7"/>
      <c r="B779" s="7"/>
      <c r="C779" s="5"/>
      <c r="D779" s="5"/>
      <c r="E779" s="9"/>
      <c r="F779" s="9"/>
      <c r="G779" s="10"/>
      <c r="H779" s="11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7"/>
      <c r="B780" s="7"/>
      <c r="C780" s="5"/>
      <c r="D780" s="5"/>
      <c r="E780" s="9"/>
      <c r="F780" s="9"/>
      <c r="G780" s="10"/>
      <c r="H780" s="11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7"/>
      <c r="B781" s="7"/>
      <c r="C781" s="5"/>
      <c r="D781" s="5"/>
      <c r="E781" s="9"/>
      <c r="F781" s="9"/>
      <c r="G781" s="10"/>
      <c r="H781" s="11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7"/>
      <c r="B782" s="7"/>
      <c r="C782" s="5"/>
      <c r="D782" s="5"/>
      <c r="E782" s="9"/>
      <c r="F782" s="9"/>
      <c r="G782" s="10"/>
      <c r="H782" s="11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7"/>
      <c r="B783" s="7"/>
      <c r="C783" s="5"/>
      <c r="D783" s="5"/>
      <c r="E783" s="9"/>
      <c r="F783" s="9"/>
      <c r="G783" s="10"/>
      <c r="H783" s="11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7"/>
      <c r="B784" s="7"/>
      <c r="C784" s="5"/>
      <c r="D784" s="5"/>
      <c r="E784" s="9"/>
      <c r="F784" s="9"/>
      <c r="G784" s="10"/>
      <c r="H784" s="11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7"/>
      <c r="B785" s="7"/>
      <c r="C785" s="5"/>
      <c r="D785" s="5"/>
      <c r="E785" s="9"/>
      <c r="F785" s="9"/>
      <c r="G785" s="10"/>
      <c r="H785" s="11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7"/>
      <c r="B786" s="7"/>
      <c r="C786" s="5"/>
      <c r="D786" s="5"/>
      <c r="E786" s="9"/>
      <c r="F786" s="9"/>
      <c r="G786" s="10"/>
      <c r="H786" s="11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7"/>
      <c r="B787" s="7"/>
      <c r="C787" s="5"/>
      <c r="D787" s="5"/>
      <c r="E787" s="9"/>
      <c r="F787" s="9"/>
      <c r="G787" s="10"/>
      <c r="H787" s="11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7"/>
      <c r="B788" s="7"/>
      <c r="C788" s="5"/>
      <c r="D788" s="5"/>
      <c r="E788" s="9"/>
      <c r="F788" s="9"/>
      <c r="G788" s="10"/>
      <c r="H788" s="11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7"/>
      <c r="B789" s="7"/>
      <c r="C789" s="5"/>
      <c r="D789" s="5"/>
      <c r="E789" s="9"/>
      <c r="F789" s="9"/>
      <c r="G789" s="10"/>
      <c r="H789" s="11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7"/>
      <c r="B790" s="7"/>
      <c r="C790" s="5"/>
      <c r="D790" s="5"/>
      <c r="E790" s="9"/>
      <c r="F790" s="9"/>
      <c r="G790" s="10"/>
      <c r="H790" s="11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7"/>
      <c r="B791" s="7"/>
      <c r="C791" s="5"/>
      <c r="D791" s="5"/>
      <c r="E791" s="9"/>
      <c r="F791" s="9"/>
      <c r="G791" s="10"/>
      <c r="H791" s="11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7"/>
      <c r="B792" s="7"/>
      <c r="C792" s="5"/>
      <c r="D792" s="5"/>
      <c r="E792" s="9"/>
      <c r="F792" s="9"/>
      <c r="G792" s="10"/>
      <c r="H792" s="11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7"/>
      <c r="B793" s="7"/>
      <c r="C793" s="5"/>
      <c r="D793" s="5"/>
      <c r="E793" s="9"/>
      <c r="F793" s="9"/>
      <c r="G793" s="10"/>
      <c r="H793" s="11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7"/>
      <c r="B794" s="7"/>
      <c r="C794" s="5"/>
      <c r="D794" s="5"/>
      <c r="E794" s="9"/>
      <c r="F794" s="9"/>
      <c r="G794" s="10"/>
      <c r="H794" s="11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7"/>
      <c r="B795" s="7"/>
      <c r="C795" s="5"/>
      <c r="D795" s="5"/>
      <c r="E795" s="9"/>
      <c r="F795" s="9"/>
      <c r="G795" s="10"/>
      <c r="H795" s="11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7"/>
      <c r="B796" s="7"/>
      <c r="C796" s="5"/>
      <c r="D796" s="5"/>
      <c r="E796" s="9"/>
      <c r="F796" s="9"/>
      <c r="G796" s="10"/>
      <c r="H796" s="11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7"/>
      <c r="B797" s="7"/>
      <c r="C797" s="5"/>
      <c r="D797" s="5"/>
      <c r="E797" s="9"/>
      <c r="F797" s="9"/>
      <c r="G797" s="10"/>
      <c r="H797" s="11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7"/>
      <c r="B798" s="7"/>
      <c r="C798" s="5"/>
      <c r="D798" s="5"/>
      <c r="E798" s="9"/>
      <c r="F798" s="9"/>
      <c r="G798" s="10"/>
      <c r="H798" s="11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7"/>
      <c r="B799" s="7"/>
      <c r="C799" s="5"/>
      <c r="D799" s="5"/>
      <c r="E799" s="9"/>
      <c r="F799" s="9"/>
      <c r="G799" s="10"/>
      <c r="H799" s="11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7"/>
      <c r="B800" s="7"/>
      <c r="C800" s="5"/>
      <c r="D800" s="5"/>
      <c r="E800" s="9"/>
      <c r="F800" s="9"/>
      <c r="G800" s="10"/>
      <c r="H800" s="11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7"/>
      <c r="B801" s="7"/>
      <c r="C801" s="5"/>
      <c r="D801" s="5"/>
      <c r="E801" s="9"/>
      <c r="F801" s="9"/>
      <c r="G801" s="10"/>
      <c r="H801" s="11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7"/>
      <c r="B802" s="7"/>
      <c r="C802" s="5"/>
      <c r="D802" s="5"/>
      <c r="E802" s="9"/>
      <c r="F802" s="9"/>
      <c r="G802" s="10"/>
      <c r="H802" s="11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7"/>
      <c r="B803" s="7"/>
      <c r="C803" s="5"/>
      <c r="D803" s="5"/>
      <c r="E803" s="9"/>
      <c r="F803" s="9"/>
      <c r="G803" s="10"/>
      <c r="H803" s="11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7"/>
      <c r="B804" s="7"/>
      <c r="C804" s="5"/>
      <c r="D804" s="5"/>
      <c r="E804" s="9"/>
      <c r="F804" s="9"/>
      <c r="G804" s="10"/>
      <c r="H804" s="11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7"/>
      <c r="B805" s="7"/>
      <c r="C805" s="5"/>
      <c r="D805" s="5"/>
      <c r="E805" s="9"/>
      <c r="F805" s="9"/>
      <c r="G805" s="10"/>
      <c r="H805" s="11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7"/>
      <c r="B806" s="7"/>
      <c r="C806" s="5"/>
      <c r="D806" s="5"/>
      <c r="E806" s="9"/>
      <c r="F806" s="9"/>
      <c r="G806" s="10"/>
      <c r="H806" s="11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7"/>
      <c r="B807" s="7"/>
      <c r="C807" s="5"/>
      <c r="D807" s="5"/>
      <c r="E807" s="9"/>
      <c r="F807" s="9"/>
      <c r="G807" s="10"/>
      <c r="H807" s="11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7"/>
      <c r="B808" s="7"/>
      <c r="C808" s="5"/>
      <c r="D808" s="5"/>
      <c r="E808" s="9"/>
      <c r="F808" s="9"/>
      <c r="G808" s="10"/>
      <c r="H808" s="11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7"/>
      <c r="B809" s="7"/>
      <c r="C809" s="5"/>
      <c r="D809" s="5"/>
      <c r="E809" s="9"/>
      <c r="F809" s="9"/>
      <c r="G809" s="10"/>
      <c r="H809" s="11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7"/>
      <c r="B810" s="7"/>
      <c r="C810" s="5"/>
      <c r="D810" s="5"/>
      <c r="E810" s="9"/>
      <c r="F810" s="9"/>
      <c r="G810" s="10"/>
      <c r="H810" s="11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7"/>
      <c r="B811" s="7"/>
      <c r="C811" s="5"/>
      <c r="D811" s="5"/>
      <c r="E811" s="9"/>
      <c r="F811" s="9"/>
      <c r="G811" s="10"/>
      <c r="H811" s="11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7"/>
      <c r="B812" s="7"/>
      <c r="C812" s="5"/>
      <c r="D812" s="5"/>
      <c r="E812" s="9"/>
      <c r="F812" s="9"/>
      <c r="G812" s="10"/>
      <c r="H812" s="11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7"/>
      <c r="B813" s="7"/>
      <c r="C813" s="5"/>
      <c r="D813" s="5"/>
      <c r="E813" s="9"/>
      <c r="F813" s="9"/>
      <c r="G813" s="10"/>
      <c r="H813" s="11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7"/>
      <c r="B814" s="7"/>
      <c r="C814" s="5"/>
      <c r="D814" s="5"/>
      <c r="E814" s="9"/>
      <c r="F814" s="9"/>
      <c r="G814" s="10"/>
      <c r="H814" s="11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7"/>
      <c r="B815" s="7"/>
      <c r="C815" s="5"/>
      <c r="D815" s="5"/>
      <c r="E815" s="9"/>
      <c r="F815" s="9"/>
      <c r="G815" s="10"/>
      <c r="H815" s="11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7"/>
      <c r="B816" s="7"/>
      <c r="C816" s="5"/>
      <c r="D816" s="5"/>
      <c r="E816" s="9"/>
      <c r="F816" s="9"/>
      <c r="G816" s="10"/>
      <c r="H816" s="11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7"/>
      <c r="B817" s="7"/>
      <c r="C817" s="5"/>
      <c r="D817" s="5"/>
      <c r="E817" s="9"/>
      <c r="F817" s="9"/>
      <c r="G817" s="10"/>
      <c r="H817" s="11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7"/>
      <c r="B818" s="7"/>
      <c r="C818" s="5"/>
      <c r="D818" s="5"/>
      <c r="E818" s="9"/>
      <c r="F818" s="9"/>
      <c r="G818" s="10"/>
      <c r="H818" s="11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7"/>
      <c r="B819" s="7"/>
      <c r="C819" s="5"/>
      <c r="D819" s="5"/>
      <c r="E819" s="9"/>
      <c r="F819" s="9"/>
      <c r="G819" s="10"/>
      <c r="H819" s="11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7"/>
      <c r="B820" s="7"/>
      <c r="C820" s="5"/>
      <c r="D820" s="5"/>
      <c r="E820" s="9"/>
      <c r="F820" s="9"/>
      <c r="G820" s="10"/>
      <c r="H820" s="11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7"/>
      <c r="B821" s="7"/>
      <c r="C821" s="5"/>
      <c r="D821" s="5"/>
      <c r="E821" s="9"/>
      <c r="F821" s="9"/>
      <c r="G821" s="10"/>
      <c r="H821" s="11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7"/>
      <c r="B822" s="7"/>
      <c r="C822" s="5"/>
      <c r="D822" s="5"/>
      <c r="E822" s="9"/>
      <c r="F822" s="9"/>
      <c r="G822" s="10"/>
      <c r="H822" s="11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7"/>
      <c r="B823" s="7"/>
      <c r="C823" s="5"/>
      <c r="D823" s="5"/>
      <c r="E823" s="9"/>
      <c r="F823" s="9"/>
      <c r="G823" s="10"/>
      <c r="H823" s="11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7"/>
      <c r="B824" s="7"/>
      <c r="C824" s="5"/>
      <c r="D824" s="5"/>
      <c r="E824" s="9"/>
      <c r="F824" s="9"/>
      <c r="G824" s="10"/>
      <c r="H824" s="11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7"/>
      <c r="B825" s="7"/>
      <c r="C825" s="5"/>
      <c r="D825" s="5"/>
      <c r="E825" s="9"/>
      <c r="F825" s="9"/>
      <c r="G825" s="10"/>
      <c r="H825" s="11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7"/>
      <c r="B826" s="7"/>
      <c r="C826" s="5"/>
      <c r="D826" s="5"/>
      <c r="E826" s="9"/>
      <c r="F826" s="9"/>
      <c r="G826" s="10"/>
      <c r="H826" s="11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7"/>
      <c r="B827" s="7"/>
      <c r="C827" s="5"/>
      <c r="D827" s="5"/>
      <c r="E827" s="9"/>
      <c r="F827" s="9"/>
      <c r="G827" s="10"/>
      <c r="H827" s="11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7"/>
      <c r="B828" s="7"/>
      <c r="C828" s="5"/>
      <c r="D828" s="5"/>
      <c r="E828" s="9"/>
      <c r="F828" s="9"/>
      <c r="G828" s="10"/>
      <c r="H828" s="11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7"/>
      <c r="B829" s="7"/>
      <c r="C829" s="5"/>
      <c r="D829" s="5"/>
      <c r="E829" s="9"/>
      <c r="F829" s="9"/>
      <c r="G829" s="10"/>
      <c r="H829" s="11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7"/>
      <c r="B830" s="7"/>
      <c r="C830" s="5"/>
      <c r="D830" s="5"/>
      <c r="E830" s="9"/>
      <c r="F830" s="9"/>
      <c r="G830" s="10"/>
      <c r="H830" s="11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7"/>
      <c r="B831" s="7"/>
      <c r="C831" s="5"/>
      <c r="D831" s="5"/>
      <c r="E831" s="9"/>
      <c r="F831" s="9"/>
      <c r="G831" s="10"/>
      <c r="H831" s="11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7"/>
      <c r="B832" s="7"/>
      <c r="C832" s="5"/>
      <c r="D832" s="5"/>
      <c r="E832" s="9"/>
      <c r="F832" s="9"/>
      <c r="G832" s="10"/>
      <c r="H832" s="11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7"/>
      <c r="B833" s="7"/>
      <c r="C833" s="5"/>
      <c r="D833" s="5"/>
      <c r="E833" s="9"/>
      <c r="F833" s="9"/>
      <c r="G833" s="10"/>
      <c r="H833" s="11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7"/>
      <c r="B834" s="7"/>
      <c r="C834" s="5"/>
      <c r="D834" s="5"/>
      <c r="E834" s="9"/>
      <c r="F834" s="9"/>
      <c r="G834" s="10"/>
      <c r="H834" s="11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7"/>
      <c r="B835" s="7"/>
      <c r="C835" s="5"/>
      <c r="D835" s="5"/>
      <c r="E835" s="9"/>
      <c r="F835" s="9"/>
      <c r="G835" s="10"/>
      <c r="H835" s="11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7"/>
      <c r="B836" s="7"/>
      <c r="C836" s="5"/>
      <c r="D836" s="5"/>
      <c r="E836" s="9"/>
      <c r="F836" s="9"/>
      <c r="G836" s="10"/>
      <c r="H836" s="11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7"/>
      <c r="B837" s="7"/>
      <c r="C837" s="5"/>
      <c r="D837" s="5"/>
      <c r="E837" s="9"/>
      <c r="F837" s="9"/>
      <c r="G837" s="10"/>
      <c r="H837" s="11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7"/>
      <c r="B838" s="7"/>
      <c r="C838" s="5"/>
      <c r="D838" s="5"/>
      <c r="E838" s="9"/>
      <c r="F838" s="9"/>
      <c r="G838" s="10"/>
      <c r="H838" s="11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7"/>
      <c r="B839" s="7"/>
      <c r="C839" s="5"/>
      <c r="D839" s="5"/>
      <c r="E839" s="9"/>
      <c r="F839" s="9"/>
      <c r="G839" s="10"/>
      <c r="H839" s="11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7"/>
      <c r="B840" s="7"/>
      <c r="C840" s="5"/>
      <c r="D840" s="5"/>
      <c r="E840" s="9"/>
      <c r="F840" s="9"/>
      <c r="G840" s="10"/>
      <c r="H840" s="11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7"/>
      <c r="B841" s="7"/>
      <c r="C841" s="5"/>
      <c r="D841" s="5"/>
      <c r="E841" s="9"/>
      <c r="F841" s="9"/>
      <c r="G841" s="10"/>
      <c r="H841" s="11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7"/>
      <c r="B842" s="7"/>
      <c r="C842" s="5"/>
      <c r="D842" s="5"/>
      <c r="E842" s="9"/>
      <c r="F842" s="9"/>
      <c r="G842" s="10"/>
      <c r="H842" s="11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7"/>
      <c r="B843" s="7"/>
      <c r="C843" s="5"/>
      <c r="D843" s="5"/>
      <c r="E843" s="9"/>
      <c r="F843" s="9"/>
      <c r="G843" s="10"/>
      <c r="H843" s="11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7"/>
      <c r="B844" s="7"/>
      <c r="C844" s="5"/>
      <c r="D844" s="5"/>
      <c r="E844" s="9"/>
      <c r="F844" s="9"/>
      <c r="G844" s="10"/>
      <c r="H844" s="11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7"/>
      <c r="B845" s="7"/>
      <c r="C845" s="5"/>
      <c r="D845" s="5"/>
      <c r="E845" s="9"/>
      <c r="F845" s="9"/>
      <c r="G845" s="10"/>
      <c r="H845" s="11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7"/>
      <c r="B846" s="7"/>
      <c r="C846" s="5"/>
      <c r="D846" s="5"/>
      <c r="E846" s="9"/>
      <c r="F846" s="9"/>
      <c r="G846" s="10"/>
      <c r="H846" s="11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7"/>
      <c r="B847" s="7"/>
      <c r="C847" s="5"/>
      <c r="D847" s="5"/>
      <c r="E847" s="9"/>
      <c r="F847" s="9"/>
      <c r="G847" s="10"/>
      <c r="H847" s="11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7"/>
      <c r="B848" s="7"/>
      <c r="C848" s="5"/>
      <c r="D848" s="5"/>
      <c r="E848" s="9"/>
      <c r="F848" s="9"/>
      <c r="G848" s="10"/>
      <c r="H848" s="11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7"/>
      <c r="B849" s="7"/>
      <c r="C849" s="5"/>
      <c r="D849" s="5"/>
      <c r="E849" s="9"/>
      <c r="F849" s="9"/>
      <c r="G849" s="10"/>
      <c r="H849" s="11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7"/>
      <c r="B850" s="7"/>
      <c r="C850" s="5"/>
      <c r="D850" s="5"/>
      <c r="E850" s="9"/>
      <c r="F850" s="9"/>
      <c r="G850" s="10"/>
      <c r="H850" s="11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7"/>
      <c r="B851" s="7"/>
      <c r="C851" s="5"/>
      <c r="D851" s="5"/>
      <c r="E851" s="9"/>
      <c r="F851" s="9"/>
      <c r="G851" s="10"/>
      <c r="H851" s="11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7"/>
      <c r="B852" s="7"/>
      <c r="C852" s="5"/>
      <c r="D852" s="5"/>
      <c r="E852" s="9"/>
      <c r="F852" s="9"/>
      <c r="G852" s="10"/>
      <c r="H852" s="11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7"/>
      <c r="B853" s="7"/>
      <c r="C853" s="5"/>
      <c r="D853" s="5"/>
      <c r="E853" s="9"/>
      <c r="F853" s="9"/>
      <c r="G853" s="10"/>
      <c r="H853" s="11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7"/>
      <c r="B854" s="7"/>
      <c r="C854" s="5"/>
      <c r="D854" s="5"/>
      <c r="E854" s="9"/>
      <c r="F854" s="9"/>
      <c r="G854" s="10"/>
      <c r="H854" s="11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7"/>
      <c r="B855" s="7"/>
      <c r="C855" s="5"/>
      <c r="D855" s="5"/>
      <c r="E855" s="9"/>
      <c r="F855" s="9"/>
      <c r="G855" s="10"/>
      <c r="H855" s="11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7"/>
      <c r="B856" s="7"/>
      <c r="C856" s="5"/>
      <c r="D856" s="5"/>
      <c r="E856" s="9"/>
      <c r="F856" s="9"/>
      <c r="G856" s="10"/>
      <c r="H856" s="11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7"/>
      <c r="B857" s="7"/>
      <c r="C857" s="5"/>
      <c r="D857" s="5"/>
      <c r="E857" s="9"/>
      <c r="F857" s="9"/>
      <c r="G857" s="10"/>
      <c r="H857" s="11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7"/>
      <c r="B858" s="7"/>
      <c r="C858" s="5"/>
      <c r="D858" s="5"/>
      <c r="E858" s="9"/>
      <c r="F858" s="9"/>
      <c r="G858" s="10"/>
      <c r="H858" s="11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7"/>
      <c r="B859" s="7"/>
      <c r="C859" s="5"/>
      <c r="D859" s="5"/>
      <c r="E859" s="9"/>
      <c r="F859" s="9"/>
      <c r="G859" s="10"/>
      <c r="H859" s="11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7"/>
      <c r="B860" s="7"/>
      <c r="C860" s="5"/>
      <c r="D860" s="5"/>
      <c r="E860" s="9"/>
      <c r="F860" s="9"/>
      <c r="G860" s="10"/>
      <c r="H860" s="11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7"/>
      <c r="B861" s="7"/>
      <c r="C861" s="5"/>
      <c r="D861" s="5"/>
      <c r="E861" s="9"/>
      <c r="F861" s="9"/>
      <c r="G861" s="10"/>
      <c r="H861" s="11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7"/>
      <c r="B862" s="7"/>
      <c r="C862" s="5"/>
      <c r="D862" s="5"/>
      <c r="E862" s="9"/>
      <c r="F862" s="9"/>
      <c r="G862" s="10"/>
      <c r="H862" s="11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7"/>
      <c r="B863" s="7"/>
      <c r="C863" s="5"/>
      <c r="D863" s="5"/>
      <c r="E863" s="9"/>
      <c r="F863" s="9"/>
      <c r="G863" s="10"/>
      <c r="H863" s="11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7"/>
      <c r="B864" s="7"/>
      <c r="C864" s="5"/>
      <c r="D864" s="5"/>
      <c r="E864" s="9"/>
      <c r="F864" s="9"/>
      <c r="G864" s="10"/>
      <c r="H864" s="11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7"/>
      <c r="B865" s="7"/>
      <c r="C865" s="5"/>
      <c r="D865" s="5"/>
      <c r="E865" s="9"/>
      <c r="F865" s="9"/>
      <c r="G865" s="10"/>
      <c r="H865" s="11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7"/>
      <c r="B866" s="7"/>
      <c r="C866" s="5"/>
      <c r="D866" s="5"/>
      <c r="E866" s="9"/>
      <c r="F866" s="9"/>
      <c r="G866" s="10"/>
      <c r="H866" s="11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7"/>
      <c r="B867" s="7"/>
      <c r="C867" s="5"/>
      <c r="D867" s="5"/>
      <c r="E867" s="9"/>
      <c r="F867" s="9"/>
      <c r="G867" s="10"/>
      <c r="H867" s="11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7"/>
      <c r="B868" s="7"/>
      <c r="C868" s="5"/>
      <c r="D868" s="5"/>
      <c r="E868" s="9"/>
      <c r="F868" s="9"/>
      <c r="G868" s="10"/>
      <c r="H868" s="11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7"/>
      <c r="B869" s="7"/>
      <c r="C869" s="5"/>
      <c r="D869" s="5"/>
      <c r="E869" s="9"/>
      <c r="F869" s="9"/>
      <c r="G869" s="10"/>
      <c r="H869" s="11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7"/>
      <c r="B870" s="7"/>
      <c r="C870" s="5"/>
      <c r="D870" s="5"/>
      <c r="E870" s="9"/>
      <c r="F870" s="9"/>
      <c r="G870" s="10"/>
      <c r="H870" s="11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7"/>
      <c r="B871" s="7"/>
      <c r="C871" s="5"/>
      <c r="D871" s="5"/>
      <c r="E871" s="9"/>
      <c r="F871" s="9"/>
      <c r="G871" s="10"/>
      <c r="H871" s="11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7"/>
      <c r="B872" s="7"/>
      <c r="C872" s="5"/>
      <c r="D872" s="5"/>
      <c r="E872" s="9"/>
      <c r="F872" s="9"/>
      <c r="G872" s="10"/>
      <c r="H872" s="11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7"/>
      <c r="B873" s="7"/>
      <c r="C873" s="5"/>
      <c r="D873" s="5"/>
      <c r="E873" s="9"/>
      <c r="F873" s="9"/>
      <c r="G873" s="10"/>
      <c r="H873" s="11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7"/>
      <c r="B874" s="7"/>
      <c r="C874" s="5"/>
      <c r="D874" s="5"/>
      <c r="E874" s="9"/>
      <c r="F874" s="9"/>
      <c r="G874" s="10"/>
      <c r="H874" s="11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7"/>
      <c r="B875" s="7"/>
      <c r="C875" s="5"/>
      <c r="D875" s="5"/>
      <c r="E875" s="9"/>
      <c r="F875" s="9"/>
      <c r="G875" s="10"/>
      <c r="H875" s="11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7"/>
      <c r="B876" s="7"/>
      <c r="C876" s="5"/>
      <c r="D876" s="5"/>
      <c r="E876" s="9"/>
      <c r="F876" s="9"/>
      <c r="G876" s="10"/>
      <c r="H876" s="11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7"/>
      <c r="B877" s="7"/>
      <c r="C877" s="5"/>
      <c r="D877" s="5"/>
      <c r="E877" s="9"/>
      <c r="F877" s="9"/>
      <c r="G877" s="10"/>
      <c r="H877" s="11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7"/>
      <c r="B878" s="7"/>
      <c r="C878" s="5"/>
      <c r="D878" s="5"/>
      <c r="E878" s="9"/>
      <c r="F878" s="9"/>
      <c r="G878" s="10"/>
      <c r="H878" s="11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7"/>
      <c r="B879" s="7"/>
      <c r="C879" s="5"/>
      <c r="D879" s="5"/>
      <c r="E879" s="9"/>
      <c r="F879" s="9"/>
      <c r="G879" s="10"/>
      <c r="H879" s="11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7"/>
      <c r="B880" s="7"/>
      <c r="C880" s="5"/>
      <c r="D880" s="5"/>
      <c r="E880" s="9"/>
      <c r="F880" s="9"/>
      <c r="G880" s="10"/>
      <c r="H880" s="11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7"/>
      <c r="B881" s="7"/>
      <c r="C881" s="5"/>
      <c r="D881" s="5"/>
      <c r="E881" s="9"/>
      <c r="F881" s="9"/>
      <c r="G881" s="10"/>
      <c r="H881" s="11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7"/>
      <c r="B882" s="7"/>
      <c r="C882" s="5"/>
      <c r="D882" s="5"/>
      <c r="E882" s="9"/>
      <c r="F882" s="9"/>
      <c r="G882" s="10"/>
      <c r="H882" s="11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7"/>
      <c r="B883" s="7"/>
      <c r="C883" s="5"/>
      <c r="D883" s="5"/>
      <c r="E883" s="9"/>
      <c r="F883" s="9"/>
      <c r="G883" s="10"/>
      <c r="H883" s="11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7"/>
      <c r="B884" s="7"/>
      <c r="C884" s="5"/>
      <c r="D884" s="5"/>
      <c r="E884" s="9"/>
      <c r="F884" s="9"/>
      <c r="G884" s="10"/>
      <c r="H884" s="11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7"/>
      <c r="B885" s="7"/>
      <c r="C885" s="5"/>
      <c r="D885" s="5"/>
      <c r="E885" s="9"/>
      <c r="F885" s="9"/>
      <c r="G885" s="10"/>
      <c r="H885" s="11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7"/>
      <c r="B886" s="7"/>
      <c r="C886" s="5"/>
      <c r="D886" s="5"/>
      <c r="E886" s="9"/>
      <c r="F886" s="9"/>
      <c r="G886" s="10"/>
      <c r="H886" s="11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7"/>
      <c r="B887" s="7"/>
      <c r="C887" s="5"/>
      <c r="D887" s="5"/>
      <c r="E887" s="9"/>
      <c r="F887" s="9"/>
      <c r="G887" s="10"/>
      <c r="H887" s="11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7"/>
      <c r="B888" s="7"/>
      <c r="C888" s="5"/>
      <c r="D888" s="5"/>
      <c r="E888" s="9"/>
      <c r="F888" s="9"/>
      <c r="G888" s="10"/>
      <c r="H888" s="11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7"/>
      <c r="B889" s="7"/>
      <c r="C889" s="5"/>
      <c r="D889" s="5"/>
      <c r="E889" s="9"/>
      <c r="F889" s="9"/>
      <c r="G889" s="10"/>
      <c r="H889" s="11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7"/>
      <c r="B890" s="7"/>
      <c r="C890" s="5"/>
      <c r="D890" s="5"/>
      <c r="E890" s="9"/>
      <c r="F890" s="9"/>
      <c r="G890" s="10"/>
      <c r="H890" s="11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7"/>
      <c r="B891" s="7"/>
      <c r="C891" s="5"/>
      <c r="D891" s="5"/>
      <c r="E891" s="9"/>
      <c r="F891" s="9"/>
      <c r="G891" s="10"/>
      <c r="H891" s="11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7"/>
      <c r="B892" s="7"/>
      <c r="C892" s="5"/>
      <c r="D892" s="5"/>
      <c r="E892" s="9"/>
      <c r="F892" s="9"/>
      <c r="G892" s="10"/>
      <c r="H892" s="11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7"/>
      <c r="B893" s="7"/>
      <c r="C893" s="5"/>
      <c r="D893" s="5"/>
      <c r="E893" s="9"/>
      <c r="F893" s="9"/>
      <c r="G893" s="10"/>
      <c r="H893" s="11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7"/>
      <c r="B894" s="7"/>
      <c r="C894" s="5"/>
      <c r="D894" s="5"/>
      <c r="E894" s="9"/>
      <c r="F894" s="9"/>
      <c r="G894" s="10"/>
      <c r="H894" s="11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7"/>
      <c r="B895" s="7"/>
      <c r="C895" s="5"/>
      <c r="D895" s="5"/>
      <c r="E895" s="9"/>
      <c r="F895" s="9"/>
      <c r="G895" s="10"/>
      <c r="H895" s="11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7"/>
      <c r="B896" s="7"/>
      <c r="C896" s="5"/>
      <c r="D896" s="5"/>
      <c r="E896" s="9"/>
      <c r="F896" s="9"/>
      <c r="G896" s="10"/>
      <c r="H896" s="11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7"/>
      <c r="B897" s="7"/>
      <c r="C897" s="5"/>
      <c r="D897" s="5"/>
      <c r="E897" s="9"/>
      <c r="F897" s="9"/>
      <c r="G897" s="10"/>
      <c r="H897" s="11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7"/>
      <c r="B898" s="7"/>
      <c r="C898" s="5"/>
      <c r="D898" s="5"/>
      <c r="E898" s="9"/>
      <c r="F898" s="9"/>
      <c r="G898" s="10"/>
      <c r="H898" s="11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7"/>
      <c r="B899" s="7"/>
      <c r="C899" s="5"/>
      <c r="D899" s="5"/>
      <c r="E899" s="9"/>
      <c r="F899" s="9"/>
      <c r="G899" s="10"/>
      <c r="H899" s="11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7"/>
      <c r="B900" s="7"/>
      <c r="C900" s="5"/>
      <c r="D900" s="5"/>
      <c r="E900" s="9"/>
      <c r="F900" s="9"/>
      <c r="G900" s="10"/>
      <c r="H900" s="11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7"/>
      <c r="B901" s="7"/>
      <c r="C901" s="5"/>
      <c r="D901" s="5"/>
      <c r="E901" s="9"/>
      <c r="F901" s="9"/>
      <c r="G901" s="10"/>
      <c r="H901" s="11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7"/>
      <c r="B902" s="7"/>
      <c r="C902" s="5"/>
      <c r="D902" s="5"/>
      <c r="E902" s="9"/>
      <c r="F902" s="9"/>
      <c r="G902" s="10"/>
      <c r="H902" s="11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7"/>
      <c r="B903" s="7"/>
      <c r="C903" s="5"/>
      <c r="D903" s="5"/>
      <c r="E903" s="9"/>
      <c r="F903" s="9"/>
      <c r="G903" s="10"/>
      <c r="H903" s="11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7"/>
      <c r="B904" s="7"/>
      <c r="C904" s="5"/>
      <c r="D904" s="5"/>
      <c r="E904" s="9"/>
      <c r="F904" s="9"/>
      <c r="G904" s="10"/>
      <c r="H904" s="11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7"/>
      <c r="B905" s="7"/>
      <c r="C905" s="5"/>
      <c r="D905" s="5"/>
      <c r="E905" s="9"/>
      <c r="F905" s="9"/>
      <c r="G905" s="10"/>
      <c r="H905" s="11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7"/>
      <c r="B906" s="7"/>
      <c r="C906" s="5"/>
      <c r="D906" s="5"/>
      <c r="E906" s="9"/>
      <c r="F906" s="9"/>
      <c r="G906" s="10"/>
      <c r="H906" s="11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7"/>
      <c r="B907" s="7"/>
      <c r="C907" s="5"/>
      <c r="D907" s="5"/>
      <c r="E907" s="9"/>
      <c r="F907" s="9"/>
      <c r="G907" s="10"/>
      <c r="H907" s="11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7"/>
      <c r="B908" s="7"/>
      <c r="C908" s="5"/>
      <c r="D908" s="5"/>
      <c r="E908" s="9"/>
      <c r="F908" s="9"/>
      <c r="G908" s="10"/>
      <c r="H908" s="11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7"/>
      <c r="B909" s="7"/>
      <c r="C909" s="5"/>
      <c r="D909" s="5"/>
      <c r="E909" s="9"/>
      <c r="F909" s="9"/>
      <c r="G909" s="10"/>
      <c r="H909" s="11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7"/>
      <c r="B910" s="7"/>
      <c r="C910" s="5"/>
      <c r="D910" s="5"/>
      <c r="E910" s="9"/>
      <c r="F910" s="9"/>
      <c r="G910" s="10"/>
      <c r="H910" s="11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7"/>
      <c r="B911" s="7"/>
      <c r="C911" s="5"/>
      <c r="D911" s="5"/>
      <c r="E911" s="9"/>
      <c r="F911" s="9"/>
      <c r="G911" s="10"/>
      <c r="H911" s="11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7"/>
      <c r="B912" s="7"/>
      <c r="C912" s="5"/>
      <c r="D912" s="5"/>
      <c r="E912" s="9"/>
      <c r="F912" s="9"/>
      <c r="G912" s="10"/>
      <c r="H912" s="11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7"/>
      <c r="B913" s="7"/>
      <c r="C913" s="5"/>
      <c r="D913" s="5"/>
      <c r="E913" s="9"/>
      <c r="F913" s="9"/>
      <c r="G913" s="10"/>
      <c r="H913" s="11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7"/>
      <c r="B914" s="7"/>
      <c r="C914" s="5"/>
      <c r="D914" s="5"/>
      <c r="E914" s="9"/>
      <c r="F914" s="9"/>
      <c r="G914" s="10"/>
      <c r="H914" s="11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7"/>
      <c r="B915" s="7"/>
      <c r="C915" s="5"/>
      <c r="D915" s="5"/>
      <c r="E915" s="9"/>
      <c r="F915" s="9"/>
      <c r="G915" s="10"/>
      <c r="H915" s="11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7"/>
      <c r="B916" s="7"/>
      <c r="C916" s="5"/>
      <c r="D916" s="5"/>
      <c r="E916" s="9"/>
      <c r="F916" s="9"/>
      <c r="G916" s="10"/>
      <c r="H916" s="11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7"/>
      <c r="B917" s="7"/>
      <c r="C917" s="5"/>
      <c r="D917" s="5"/>
      <c r="E917" s="9"/>
      <c r="F917" s="9"/>
      <c r="G917" s="10"/>
      <c r="H917" s="11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7"/>
      <c r="B918" s="7"/>
      <c r="C918" s="5"/>
      <c r="D918" s="5"/>
      <c r="E918" s="9"/>
      <c r="F918" s="9"/>
      <c r="G918" s="10"/>
      <c r="H918" s="11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7"/>
      <c r="B919" s="7"/>
      <c r="C919" s="5"/>
      <c r="D919" s="5"/>
      <c r="E919" s="9"/>
      <c r="F919" s="9"/>
      <c r="G919" s="10"/>
      <c r="H919" s="11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7"/>
      <c r="B920" s="7"/>
      <c r="C920" s="5"/>
      <c r="D920" s="5"/>
      <c r="E920" s="9"/>
      <c r="F920" s="9"/>
      <c r="G920" s="10"/>
      <c r="H920" s="11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7"/>
      <c r="B921" s="7"/>
      <c r="C921" s="5"/>
      <c r="D921" s="5"/>
      <c r="E921" s="9"/>
      <c r="F921" s="9"/>
      <c r="G921" s="10"/>
      <c r="H921" s="11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7"/>
      <c r="B922" s="7"/>
      <c r="C922" s="5"/>
      <c r="D922" s="5"/>
      <c r="E922" s="9"/>
      <c r="F922" s="9"/>
      <c r="G922" s="10"/>
      <c r="H922" s="11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7"/>
      <c r="B923" s="7"/>
      <c r="C923" s="5"/>
      <c r="D923" s="5"/>
      <c r="E923" s="9"/>
      <c r="F923" s="9"/>
      <c r="G923" s="10"/>
      <c r="H923" s="11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7"/>
      <c r="B924" s="7"/>
      <c r="C924" s="5"/>
      <c r="D924" s="5"/>
      <c r="E924" s="9"/>
      <c r="F924" s="9"/>
      <c r="G924" s="10"/>
      <c r="H924" s="11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7"/>
      <c r="B925" s="7"/>
      <c r="C925" s="5"/>
      <c r="D925" s="5"/>
      <c r="E925" s="9"/>
      <c r="F925" s="9"/>
      <c r="G925" s="10"/>
      <c r="H925" s="11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7"/>
      <c r="B926" s="7"/>
      <c r="C926" s="5"/>
      <c r="D926" s="5"/>
      <c r="E926" s="9"/>
      <c r="F926" s="9"/>
      <c r="G926" s="10"/>
      <c r="H926" s="11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7"/>
      <c r="B927" s="7"/>
      <c r="C927" s="5"/>
      <c r="D927" s="5"/>
      <c r="E927" s="9"/>
      <c r="F927" s="9"/>
      <c r="G927" s="10"/>
      <c r="H927" s="11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7"/>
      <c r="B928" s="7"/>
      <c r="C928" s="5"/>
      <c r="D928" s="5"/>
      <c r="E928" s="9"/>
      <c r="F928" s="9"/>
      <c r="G928" s="10"/>
      <c r="H928" s="11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7"/>
      <c r="B929" s="7"/>
      <c r="C929" s="5"/>
      <c r="D929" s="5"/>
      <c r="E929" s="9"/>
      <c r="F929" s="9"/>
      <c r="G929" s="10"/>
      <c r="H929" s="11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7"/>
      <c r="B930" s="7"/>
      <c r="C930" s="5"/>
      <c r="D930" s="5"/>
      <c r="E930" s="9"/>
      <c r="F930" s="9"/>
      <c r="G930" s="10"/>
      <c r="H930" s="11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7"/>
      <c r="B931" s="7"/>
      <c r="C931" s="5"/>
      <c r="D931" s="5"/>
      <c r="E931" s="9"/>
      <c r="F931" s="9"/>
      <c r="G931" s="10"/>
      <c r="H931" s="11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7"/>
      <c r="B932" s="7"/>
      <c r="C932" s="5"/>
      <c r="D932" s="5"/>
      <c r="E932" s="9"/>
      <c r="F932" s="9"/>
      <c r="G932" s="10"/>
      <c r="H932" s="11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7"/>
      <c r="B933" s="7"/>
      <c r="C933" s="5"/>
      <c r="D933" s="5"/>
      <c r="E933" s="9"/>
      <c r="F933" s="9"/>
      <c r="G933" s="10"/>
      <c r="H933" s="11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7"/>
      <c r="B934" s="7"/>
      <c r="C934" s="5"/>
      <c r="D934" s="5"/>
      <c r="E934" s="9"/>
      <c r="F934" s="9"/>
      <c r="G934" s="10"/>
      <c r="H934" s="11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7"/>
      <c r="B935" s="7"/>
      <c r="C935" s="5"/>
      <c r="D935" s="5"/>
      <c r="E935" s="9"/>
      <c r="F935" s="9"/>
      <c r="G935" s="10"/>
      <c r="H935" s="11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7"/>
      <c r="B936" s="7"/>
      <c r="C936" s="5"/>
      <c r="D936" s="5"/>
      <c r="E936" s="9"/>
      <c r="F936" s="9"/>
      <c r="G936" s="10"/>
      <c r="H936" s="11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7"/>
      <c r="B937" s="7"/>
      <c r="C937" s="5"/>
      <c r="D937" s="5"/>
      <c r="E937" s="9"/>
      <c r="F937" s="9"/>
      <c r="G937" s="10"/>
      <c r="H937" s="11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7"/>
      <c r="B938" s="7"/>
      <c r="C938" s="5"/>
      <c r="D938" s="5"/>
      <c r="E938" s="9"/>
      <c r="F938" s="9"/>
      <c r="G938" s="10"/>
      <c r="H938" s="11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7"/>
      <c r="B939" s="7"/>
      <c r="C939" s="5"/>
      <c r="D939" s="5"/>
      <c r="E939" s="9"/>
      <c r="F939" s="9"/>
      <c r="G939" s="10"/>
      <c r="H939" s="11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7"/>
      <c r="B940" s="7"/>
      <c r="C940" s="5"/>
      <c r="D940" s="5"/>
      <c r="E940" s="9"/>
      <c r="F940" s="9"/>
      <c r="G940" s="10"/>
      <c r="H940" s="11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7"/>
      <c r="B941" s="7"/>
      <c r="C941" s="5"/>
      <c r="D941" s="5"/>
      <c r="E941" s="9"/>
      <c r="F941" s="9"/>
      <c r="G941" s="10"/>
      <c r="H941" s="11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7"/>
      <c r="B942" s="7"/>
      <c r="C942" s="5"/>
      <c r="D942" s="5"/>
      <c r="E942" s="9"/>
      <c r="F942" s="9"/>
      <c r="G942" s="10"/>
      <c r="H942" s="11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7"/>
      <c r="B943" s="7"/>
      <c r="C943" s="5"/>
      <c r="D943" s="5"/>
      <c r="E943" s="9"/>
      <c r="F943" s="9"/>
      <c r="G943" s="10"/>
      <c r="H943" s="11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7"/>
      <c r="B944" s="7"/>
      <c r="C944" s="5"/>
      <c r="D944" s="5"/>
      <c r="E944" s="9"/>
      <c r="F944" s="9"/>
      <c r="G944" s="10"/>
      <c r="H944" s="11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7"/>
      <c r="B945" s="7"/>
      <c r="C945" s="5"/>
      <c r="D945" s="5"/>
      <c r="E945" s="9"/>
      <c r="F945" s="9"/>
      <c r="G945" s="10"/>
      <c r="H945" s="11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7"/>
      <c r="B946" s="7"/>
      <c r="C946" s="5"/>
      <c r="D946" s="5"/>
      <c r="E946" s="9"/>
      <c r="F946" s="9"/>
      <c r="G946" s="10"/>
      <c r="H946" s="11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7"/>
      <c r="B947" s="7"/>
      <c r="C947" s="5"/>
      <c r="D947" s="5"/>
      <c r="E947" s="9"/>
      <c r="F947" s="9"/>
      <c r="G947" s="10"/>
      <c r="H947" s="11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7"/>
      <c r="B948" s="7"/>
      <c r="C948" s="5"/>
      <c r="D948" s="5"/>
      <c r="E948" s="9"/>
      <c r="F948" s="9"/>
      <c r="G948" s="10"/>
      <c r="H948" s="11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7"/>
      <c r="B949" s="7"/>
      <c r="C949" s="5"/>
      <c r="D949" s="5"/>
      <c r="E949" s="9"/>
      <c r="F949" s="9"/>
      <c r="G949" s="10"/>
      <c r="H949" s="11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7"/>
      <c r="B950" s="7"/>
      <c r="C950" s="5"/>
      <c r="D950" s="5"/>
      <c r="E950" s="9"/>
      <c r="F950" s="9"/>
      <c r="G950" s="10"/>
      <c r="H950" s="11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7"/>
      <c r="B951" s="7"/>
      <c r="C951" s="5"/>
      <c r="D951" s="5"/>
      <c r="E951" s="9"/>
      <c r="F951" s="9"/>
      <c r="G951" s="10"/>
      <c r="H951" s="11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7"/>
      <c r="B952" s="7"/>
      <c r="C952" s="5"/>
      <c r="D952" s="5"/>
      <c r="E952" s="9"/>
      <c r="F952" s="9"/>
      <c r="G952" s="10"/>
      <c r="H952" s="11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7"/>
      <c r="B953" s="7"/>
      <c r="C953" s="5"/>
      <c r="D953" s="5"/>
      <c r="E953" s="9"/>
      <c r="F953" s="9"/>
      <c r="G953" s="10"/>
      <c r="H953" s="11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7"/>
      <c r="B954" s="7"/>
      <c r="C954" s="5"/>
      <c r="D954" s="5"/>
      <c r="E954" s="9"/>
      <c r="F954" s="9"/>
      <c r="G954" s="10"/>
      <c r="H954" s="11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7"/>
      <c r="B955" s="7"/>
      <c r="C955" s="5"/>
      <c r="D955" s="5"/>
      <c r="E955" s="9"/>
      <c r="F955" s="9"/>
      <c r="G955" s="10"/>
      <c r="H955" s="11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7"/>
      <c r="B956" s="7"/>
      <c r="C956" s="5"/>
      <c r="D956" s="5"/>
      <c r="E956" s="9"/>
      <c r="F956" s="9"/>
      <c r="G956" s="10"/>
      <c r="H956" s="11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7"/>
      <c r="B957" s="7"/>
      <c r="C957" s="5"/>
      <c r="D957" s="5"/>
      <c r="E957" s="9"/>
      <c r="F957" s="9"/>
      <c r="G957" s="10"/>
      <c r="H957" s="11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7"/>
      <c r="B958" s="7"/>
      <c r="C958" s="5"/>
      <c r="D958" s="5"/>
      <c r="E958" s="9"/>
      <c r="F958" s="9"/>
      <c r="G958" s="10"/>
      <c r="H958" s="11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7"/>
      <c r="B959" s="7"/>
      <c r="C959" s="5"/>
      <c r="D959" s="5"/>
      <c r="E959" s="9"/>
      <c r="F959" s="9"/>
      <c r="G959" s="10"/>
      <c r="H959" s="11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7"/>
      <c r="B960" s="7"/>
      <c r="C960" s="5"/>
      <c r="D960" s="5"/>
      <c r="E960" s="9"/>
      <c r="F960" s="9"/>
      <c r="G960" s="10"/>
      <c r="H960" s="11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7"/>
      <c r="B961" s="7"/>
      <c r="C961" s="5"/>
      <c r="D961" s="5"/>
      <c r="E961" s="9"/>
      <c r="F961" s="9"/>
      <c r="G961" s="10"/>
      <c r="H961" s="11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7"/>
      <c r="B962" s="7"/>
      <c r="C962" s="5"/>
      <c r="D962" s="5"/>
      <c r="E962" s="9"/>
      <c r="F962" s="9"/>
      <c r="G962" s="10"/>
      <c r="H962" s="11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7"/>
      <c r="B963" s="7"/>
      <c r="C963" s="5"/>
      <c r="D963" s="5"/>
      <c r="E963" s="9"/>
      <c r="F963" s="9"/>
      <c r="G963" s="10"/>
      <c r="H963" s="11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7"/>
      <c r="B964" s="7"/>
      <c r="C964" s="5"/>
      <c r="D964" s="5"/>
      <c r="E964" s="9"/>
      <c r="F964" s="9"/>
      <c r="G964" s="10"/>
      <c r="H964" s="11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7"/>
      <c r="B965" s="7"/>
      <c r="C965" s="5"/>
      <c r="D965" s="5"/>
      <c r="E965" s="9"/>
      <c r="F965" s="9"/>
      <c r="G965" s="10"/>
      <c r="H965" s="11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7"/>
      <c r="B966" s="7"/>
      <c r="C966" s="5"/>
      <c r="D966" s="5"/>
      <c r="E966" s="9"/>
      <c r="F966" s="9"/>
      <c r="G966" s="10"/>
      <c r="H966" s="11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7"/>
      <c r="B967" s="7"/>
      <c r="C967" s="5"/>
      <c r="D967" s="5"/>
      <c r="E967" s="9"/>
      <c r="F967" s="9"/>
      <c r="G967" s="10"/>
      <c r="H967" s="11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7"/>
      <c r="B968" s="7"/>
      <c r="C968" s="5"/>
      <c r="D968" s="5"/>
      <c r="E968" s="9"/>
      <c r="F968" s="9"/>
      <c r="G968" s="10"/>
      <c r="H968" s="11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7"/>
      <c r="B969" s="7"/>
      <c r="C969" s="5"/>
      <c r="D969" s="5"/>
      <c r="E969" s="9"/>
      <c r="F969" s="9"/>
      <c r="G969" s="10"/>
      <c r="H969" s="11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7"/>
      <c r="B970" s="7"/>
      <c r="C970" s="5"/>
      <c r="D970" s="5"/>
      <c r="E970" s="9"/>
      <c r="F970" s="9"/>
      <c r="G970" s="10"/>
      <c r="H970" s="11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7"/>
      <c r="B971" s="7"/>
      <c r="C971" s="5"/>
      <c r="D971" s="5"/>
      <c r="E971" s="9"/>
      <c r="F971" s="9"/>
      <c r="G971" s="10"/>
      <c r="H971" s="11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7"/>
      <c r="B972" s="7"/>
      <c r="C972" s="5"/>
      <c r="D972" s="5"/>
      <c r="E972" s="9"/>
      <c r="F972" s="9"/>
      <c r="G972" s="10"/>
      <c r="H972" s="11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7"/>
      <c r="B973" s="7"/>
      <c r="C973" s="5"/>
      <c r="D973" s="5"/>
      <c r="E973" s="9"/>
      <c r="F973" s="9"/>
      <c r="G973" s="10"/>
      <c r="H973" s="11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7"/>
      <c r="B974" s="7"/>
      <c r="C974" s="5"/>
      <c r="D974" s="5"/>
      <c r="E974" s="9"/>
      <c r="F974" s="9"/>
      <c r="G974" s="10"/>
      <c r="H974" s="11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7"/>
      <c r="B975" s="7"/>
      <c r="C975" s="5"/>
      <c r="D975" s="5"/>
      <c r="E975" s="9"/>
      <c r="F975" s="9"/>
      <c r="G975" s="10"/>
      <c r="H975" s="11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7"/>
      <c r="B976" s="7"/>
      <c r="C976" s="5"/>
      <c r="D976" s="5"/>
      <c r="E976" s="9"/>
      <c r="F976" s="9"/>
      <c r="G976" s="10"/>
      <c r="H976" s="11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7"/>
      <c r="B977" s="7"/>
      <c r="C977" s="5"/>
      <c r="D977" s="5"/>
      <c r="E977" s="9"/>
      <c r="F977" s="9"/>
      <c r="G977" s="10"/>
      <c r="H977" s="11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7"/>
      <c r="B978" s="7"/>
      <c r="C978" s="5"/>
      <c r="D978" s="5"/>
      <c r="E978" s="9"/>
      <c r="F978" s="9"/>
      <c r="G978" s="10"/>
      <c r="H978" s="11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7"/>
      <c r="B979" s="7"/>
      <c r="C979" s="5"/>
      <c r="D979" s="5"/>
      <c r="E979" s="9"/>
      <c r="F979" s="9"/>
      <c r="G979" s="10"/>
      <c r="H979" s="11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7"/>
      <c r="B980" s="7"/>
      <c r="C980" s="5"/>
      <c r="D980" s="5"/>
      <c r="E980" s="9"/>
      <c r="F980" s="9"/>
      <c r="G980" s="10"/>
      <c r="H980" s="11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7"/>
      <c r="B981" s="7"/>
      <c r="C981" s="5"/>
      <c r="D981" s="5"/>
      <c r="E981" s="9"/>
      <c r="F981" s="9"/>
      <c r="G981" s="10"/>
      <c r="H981" s="11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7"/>
      <c r="B982" s="7"/>
      <c r="C982" s="5"/>
      <c r="D982" s="5"/>
      <c r="E982" s="9"/>
      <c r="F982" s="9"/>
      <c r="G982" s="10"/>
      <c r="H982" s="11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7"/>
      <c r="B983" s="7"/>
      <c r="C983" s="5"/>
      <c r="D983" s="5"/>
      <c r="E983" s="9"/>
      <c r="F983" s="9"/>
      <c r="G983" s="10"/>
      <c r="H983" s="11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7"/>
      <c r="B984" s="7"/>
      <c r="C984" s="5"/>
      <c r="D984" s="5"/>
      <c r="E984" s="9"/>
      <c r="F984" s="9"/>
      <c r="G984" s="10"/>
      <c r="H984" s="11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7"/>
      <c r="B985" s="7"/>
      <c r="C985" s="5"/>
      <c r="D985" s="5"/>
      <c r="E985" s="9"/>
      <c r="F985" s="9"/>
      <c r="G985" s="10"/>
      <c r="H985" s="11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7"/>
      <c r="B986" s="7"/>
      <c r="C986" s="5"/>
      <c r="D986" s="5"/>
      <c r="E986" s="9"/>
      <c r="F986" s="9"/>
      <c r="G986" s="10"/>
      <c r="H986" s="11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7"/>
      <c r="B987" s="7"/>
      <c r="C987" s="5"/>
      <c r="D987" s="5"/>
      <c r="E987" s="9"/>
      <c r="F987" s="9"/>
      <c r="G987" s="10"/>
      <c r="H987" s="11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7"/>
      <c r="B988" s="7"/>
      <c r="C988" s="5"/>
      <c r="D988" s="5"/>
      <c r="E988" s="9"/>
      <c r="F988" s="9"/>
      <c r="G988" s="10"/>
      <c r="H988" s="11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7"/>
      <c r="B989" s="7"/>
      <c r="C989" s="5"/>
      <c r="D989" s="5"/>
      <c r="E989" s="9"/>
      <c r="F989" s="9"/>
      <c r="G989" s="10"/>
      <c r="H989" s="11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7"/>
      <c r="B990" s="7"/>
      <c r="C990" s="5"/>
      <c r="D990" s="5"/>
      <c r="E990" s="9"/>
      <c r="F990" s="9"/>
      <c r="G990" s="10"/>
      <c r="H990" s="11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7"/>
      <c r="B991" s="7"/>
      <c r="C991" s="5"/>
      <c r="D991" s="5"/>
      <c r="E991" s="9"/>
      <c r="F991" s="9"/>
      <c r="G991" s="10"/>
      <c r="H991" s="11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7"/>
      <c r="B992" s="7"/>
      <c r="C992" s="5"/>
      <c r="D992" s="5"/>
      <c r="E992" s="9"/>
      <c r="F992" s="9"/>
      <c r="G992" s="10"/>
      <c r="H992" s="11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7"/>
      <c r="B993" s="7"/>
      <c r="C993" s="5"/>
      <c r="D993" s="5"/>
      <c r="E993" s="9"/>
      <c r="F993" s="9"/>
      <c r="G993" s="10"/>
      <c r="H993" s="11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7"/>
      <c r="B994" s="7"/>
      <c r="C994" s="5"/>
      <c r="D994" s="5"/>
      <c r="E994" s="9"/>
      <c r="F994" s="9"/>
      <c r="G994" s="10"/>
      <c r="H994" s="11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7"/>
      <c r="B995" s="7"/>
      <c r="C995" s="5"/>
      <c r="D995" s="5"/>
      <c r="E995" s="9"/>
      <c r="F995" s="9"/>
      <c r="G995" s="10"/>
      <c r="H995" s="11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7"/>
      <c r="B996" s="7"/>
      <c r="C996" s="5"/>
      <c r="D996" s="5"/>
      <c r="E996" s="9"/>
      <c r="F996" s="9"/>
      <c r="G996" s="10"/>
      <c r="H996" s="11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7"/>
      <c r="B997" s="7"/>
      <c r="C997" s="5"/>
      <c r="D997" s="5"/>
      <c r="E997" s="9"/>
      <c r="F997" s="9"/>
      <c r="G997" s="10"/>
      <c r="H997" s="11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7"/>
      <c r="B998" s="7"/>
      <c r="C998" s="5"/>
      <c r="D998" s="5"/>
      <c r="E998" s="9"/>
      <c r="F998" s="9"/>
      <c r="G998" s="10"/>
      <c r="H998" s="11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7"/>
      <c r="B999" s="7"/>
      <c r="C999" s="5"/>
      <c r="D999" s="5"/>
      <c r="E999" s="9"/>
      <c r="F999" s="9"/>
      <c r="G999" s="10"/>
      <c r="H999" s="11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7"/>
      <c r="B1000" s="7"/>
      <c r="C1000" s="5"/>
      <c r="D1000" s="5"/>
      <c r="E1000" s="9"/>
      <c r="F1000" s="9"/>
      <c r="G1000" s="10"/>
      <c r="H1000" s="11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6:$H$32">
    <sortState ref="A6:H32">
      <sortCondition descending="1" ref="F6:F32"/>
    </sortState>
  </autoFilter>
  <mergeCells count="4">
    <mergeCell ref="A1:H1"/>
    <mergeCell ref="A2:H2"/>
    <mergeCell ref="A5:H5"/>
    <mergeCell ref="A34:B34"/>
  </mergeCells>
  <printOptions/>
  <pageMargins bottom="0.75" footer="0.0" header="0.0" left="0.7" right="0.2" top="0.75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3.86"/>
    <col customWidth="1" min="2" max="2" width="21.29"/>
    <col customWidth="1" min="3" max="3" width="12.14"/>
    <col customWidth="1" min="4" max="4" width="4.57"/>
    <col customWidth="1" min="5" max="6" width="13.57"/>
    <col customWidth="1" min="7" max="7" width="11.29"/>
    <col customWidth="1" min="8" max="8" width="15.43"/>
    <col customWidth="1" min="9" max="11" width="9.14"/>
    <col customWidth="1" min="12" max="26" width="8.71"/>
  </cols>
  <sheetData>
    <row r="1" ht="30.75" customHeight="1">
      <c r="A1" s="2" t="s">
        <v>0</v>
      </c>
      <c r="B1" s="3"/>
      <c r="C1" s="3"/>
      <c r="D1" s="3"/>
      <c r="E1" s="3"/>
      <c r="F1" s="3"/>
      <c r="G1" s="3"/>
      <c r="H1" s="4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6" t="s">
        <v>2</v>
      </c>
      <c r="B2" s="3"/>
      <c r="C2" s="3"/>
      <c r="D2" s="3"/>
      <c r="E2" s="3"/>
      <c r="F2" s="3"/>
      <c r="G2" s="3"/>
      <c r="H2" s="4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5"/>
      <c r="B3" s="5"/>
      <c r="C3" s="5"/>
      <c r="D3" s="5"/>
      <c r="E3" s="223"/>
      <c r="F3" s="9"/>
      <c r="G3" s="223"/>
      <c r="H3" s="224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5"/>
      <c r="B4" s="5"/>
      <c r="C4" s="5"/>
      <c r="D4" s="5"/>
      <c r="E4" s="223"/>
      <c r="F4" s="9"/>
      <c r="G4" s="223"/>
      <c r="H4" s="224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6.5" customHeight="1">
      <c r="A5" s="143" t="s">
        <v>3</v>
      </c>
      <c r="B5" s="143" t="s">
        <v>4</v>
      </c>
      <c r="C5" s="147" t="s">
        <v>5</v>
      </c>
      <c r="D5" s="143" t="s">
        <v>115</v>
      </c>
      <c r="E5" s="147" t="s">
        <v>116</v>
      </c>
      <c r="F5" s="147" t="s">
        <v>184</v>
      </c>
      <c r="G5" s="147" t="s">
        <v>118</v>
      </c>
      <c r="H5" s="143" t="s">
        <v>119</v>
      </c>
      <c r="I5" s="225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24.75" customHeight="1">
      <c r="A6" s="148" t="s">
        <v>14</v>
      </c>
      <c r="B6" s="149" t="s">
        <v>144</v>
      </c>
      <c r="C6" s="150">
        <v>45791.0</v>
      </c>
      <c r="D6" s="151">
        <v>30.0</v>
      </c>
      <c r="E6" s="152">
        <v>145000.0</v>
      </c>
      <c r="F6" s="152">
        <f>D6*4833.33-1200</f>
        <v>143799.9</v>
      </c>
      <c r="G6" s="213">
        <f>SUM(143800-18000-20000-40000-65800)</f>
        <v>0</v>
      </c>
      <c r="H6" s="154" t="s">
        <v>74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4.75" customHeight="1">
      <c r="A7" s="148" t="s">
        <v>18</v>
      </c>
      <c r="B7" s="211" t="s">
        <v>168</v>
      </c>
      <c r="C7" s="150">
        <v>45704.0</v>
      </c>
      <c r="D7" s="151">
        <v>30.0</v>
      </c>
      <c r="E7" s="152">
        <v>130000.0</v>
      </c>
      <c r="F7" s="226">
        <f>D7*4333.33-1200</f>
        <v>128799.9</v>
      </c>
      <c r="G7" s="213">
        <f>SUM(128800-128800)</f>
        <v>0</v>
      </c>
      <c r="H7" s="156" t="s">
        <v>84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4.75" customHeight="1">
      <c r="A8" s="148" t="s">
        <v>22</v>
      </c>
      <c r="B8" s="149" t="s">
        <v>169</v>
      </c>
      <c r="C8" s="150">
        <v>45792.0</v>
      </c>
      <c r="D8" s="151">
        <v>26.0</v>
      </c>
      <c r="E8" s="152">
        <v>85000.0</v>
      </c>
      <c r="F8" s="152">
        <f>D8*2833.33-1150</f>
        <v>72516.58</v>
      </c>
      <c r="G8" s="213">
        <f>SUM(72517-72517)</f>
        <v>0</v>
      </c>
      <c r="H8" s="154" t="s">
        <v>21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4.75" customHeight="1">
      <c r="A9" s="148" t="s">
        <v>25</v>
      </c>
      <c r="B9" s="149" t="s">
        <v>28</v>
      </c>
      <c r="C9" s="150">
        <v>45792.0</v>
      </c>
      <c r="D9" s="151">
        <v>30.0</v>
      </c>
      <c r="E9" s="152">
        <v>50000.0</v>
      </c>
      <c r="F9" s="152">
        <f t="shared" ref="F9:F10" si="1">D9*1666.66-1200</f>
        <v>48799.8</v>
      </c>
      <c r="G9" s="213">
        <f>SUM(48800-28800-20000)</f>
        <v>0</v>
      </c>
      <c r="H9" s="154" t="s">
        <v>32</v>
      </c>
      <c r="I9" s="5"/>
      <c r="J9" s="5"/>
      <c r="K9" s="51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4.75" customHeight="1">
      <c r="A10" s="148" t="s">
        <v>27</v>
      </c>
      <c r="B10" s="222" t="s">
        <v>120</v>
      </c>
      <c r="C10" s="150">
        <v>45710.0</v>
      </c>
      <c r="D10" s="151">
        <v>30.0</v>
      </c>
      <c r="E10" s="152">
        <v>50000.0</v>
      </c>
      <c r="F10" s="152">
        <f t="shared" si="1"/>
        <v>48799.8</v>
      </c>
      <c r="G10" s="213">
        <f>48800-5000-10466-33334</f>
        <v>0</v>
      </c>
      <c r="H10" s="154" t="s">
        <v>40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4.75" customHeight="1">
      <c r="A11" s="148" t="s">
        <v>30</v>
      </c>
      <c r="B11" s="211" t="s">
        <v>81</v>
      </c>
      <c r="C11" s="163">
        <v>45783.0</v>
      </c>
      <c r="D11" s="151">
        <v>30.0</v>
      </c>
      <c r="E11" s="152">
        <v>40000.0</v>
      </c>
      <c r="F11" s="152">
        <f>D11*1333.33</f>
        <v>39999.9</v>
      </c>
      <c r="G11" s="213">
        <f>SUM(40000-10000-20000-5000-5000)</f>
        <v>0</v>
      </c>
      <c r="H11" s="154" t="s">
        <v>40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4.75" customHeight="1">
      <c r="A12" s="148" t="s">
        <v>34</v>
      </c>
      <c r="B12" s="222" t="s">
        <v>38</v>
      </c>
      <c r="C12" s="163">
        <v>45787.0</v>
      </c>
      <c r="D12" s="151">
        <v>20.0</v>
      </c>
      <c r="E12" s="152">
        <v>20000.0</v>
      </c>
      <c r="F12" s="152">
        <f>D12*666.66-850</f>
        <v>12483.2</v>
      </c>
      <c r="G12" s="213">
        <f>SUM(12483-12483)</f>
        <v>0</v>
      </c>
      <c r="H12" s="154" t="s">
        <v>43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4.75" customHeight="1">
      <c r="A13" s="148" t="s">
        <v>37</v>
      </c>
      <c r="B13" s="222" t="s">
        <v>42</v>
      </c>
      <c r="C13" s="163">
        <v>45823.0</v>
      </c>
      <c r="D13" s="151">
        <v>25.0</v>
      </c>
      <c r="E13" s="152">
        <v>20000.0</v>
      </c>
      <c r="F13" s="152">
        <f>D13*666.66-800</f>
        <v>15866.5</v>
      </c>
      <c r="G13" s="213">
        <f>SUM(15867-2000-13867)</f>
        <v>0</v>
      </c>
      <c r="H13" s="154" t="s">
        <v>43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4.75" customHeight="1">
      <c r="A14" s="148" t="s">
        <v>41</v>
      </c>
      <c r="B14" s="149" t="s">
        <v>185</v>
      </c>
      <c r="C14" s="232">
        <v>45839.0</v>
      </c>
      <c r="D14" s="151">
        <v>24.0</v>
      </c>
      <c r="E14" s="152">
        <v>20000.0</v>
      </c>
      <c r="F14" s="234">
        <f>D14*666.66-900</f>
        <v>15099.84</v>
      </c>
      <c r="G14" s="235" t="s">
        <v>186</v>
      </c>
      <c r="H14" s="154" t="s">
        <v>43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4.75" customHeight="1">
      <c r="A15" s="148" t="s">
        <v>44</v>
      </c>
      <c r="B15" s="149" t="s">
        <v>187</v>
      </c>
      <c r="C15" s="232">
        <v>45839.0</v>
      </c>
      <c r="D15" s="151">
        <v>10.0</v>
      </c>
      <c r="E15" s="152">
        <v>20000.0</v>
      </c>
      <c r="F15" s="152">
        <f>D15*666.66-350</f>
        <v>6316.6</v>
      </c>
      <c r="G15" s="166">
        <f>SUM(6317-0)</f>
        <v>6317</v>
      </c>
      <c r="H15" s="154" t="s">
        <v>43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4.75" customHeight="1">
      <c r="A16" s="148" t="s">
        <v>47</v>
      </c>
      <c r="B16" s="149" t="s">
        <v>123</v>
      </c>
      <c r="C16" s="163">
        <v>45840.0</v>
      </c>
      <c r="D16" s="151">
        <v>30.0</v>
      </c>
      <c r="E16" s="152">
        <v>22000.0</v>
      </c>
      <c r="F16" s="152">
        <f>D16*733.33-950</f>
        <v>21049.9</v>
      </c>
      <c r="G16" s="213">
        <f>SUM(21050-21050)</f>
        <v>0</v>
      </c>
      <c r="H16" s="154" t="s">
        <v>43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4.75" customHeight="1">
      <c r="A17" s="148" t="s">
        <v>49</v>
      </c>
      <c r="B17" s="149" t="s">
        <v>188</v>
      </c>
      <c r="C17" s="163">
        <v>45840.0</v>
      </c>
      <c r="D17" s="151">
        <v>23.0</v>
      </c>
      <c r="E17" s="152">
        <v>30000.0</v>
      </c>
      <c r="F17" s="152">
        <f>D17*967.74-1000</f>
        <v>21258.02</v>
      </c>
      <c r="G17" s="166">
        <f>SUM(21258-0)</f>
        <v>21258</v>
      </c>
      <c r="H17" s="154" t="s">
        <v>40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4.75" customHeight="1">
      <c r="A18" s="148" t="s">
        <v>51</v>
      </c>
      <c r="B18" s="161" t="s">
        <v>189</v>
      </c>
      <c r="C18" s="163">
        <v>45845.0</v>
      </c>
      <c r="D18" s="151">
        <v>23.0</v>
      </c>
      <c r="E18" s="152">
        <v>25000.0</v>
      </c>
      <c r="F18" s="152">
        <f>D18*833.33-700</f>
        <v>18466.59</v>
      </c>
      <c r="G18" s="213">
        <f>SUM(18466-18466)</f>
        <v>0</v>
      </c>
      <c r="H18" s="164" t="s">
        <v>36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4.75" customHeight="1">
      <c r="A19" s="148" t="s">
        <v>53</v>
      </c>
      <c r="B19" s="161" t="s">
        <v>122</v>
      </c>
      <c r="C19" s="163">
        <v>45859.0</v>
      </c>
      <c r="D19" s="151">
        <v>29.0</v>
      </c>
      <c r="E19" s="152">
        <v>25000.0</v>
      </c>
      <c r="F19" s="152">
        <f>D19*833.33-950</f>
        <v>23216.57</v>
      </c>
      <c r="G19" s="213">
        <f>SUM(23216-23216)</f>
        <v>0</v>
      </c>
      <c r="H19" s="154" t="s">
        <v>43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4.75" customHeight="1">
      <c r="A20" s="148" t="s">
        <v>55</v>
      </c>
      <c r="B20" s="161" t="s">
        <v>172</v>
      </c>
      <c r="C20" s="163">
        <v>45859.0</v>
      </c>
      <c r="D20" s="151">
        <v>29.0</v>
      </c>
      <c r="E20" s="152">
        <v>18000.0</v>
      </c>
      <c r="F20" s="152">
        <f>D20*600-900</f>
        <v>16500</v>
      </c>
      <c r="G20" s="213">
        <f>16500-16500</f>
        <v>0</v>
      </c>
      <c r="H20" s="154" t="s">
        <v>43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4.75" customHeight="1">
      <c r="A21" s="148" t="s">
        <v>60</v>
      </c>
      <c r="B21" s="161" t="s">
        <v>33</v>
      </c>
      <c r="C21" s="150">
        <v>45871.0</v>
      </c>
      <c r="D21" s="151">
        <v>30.0</v>
      </c>
      <c r="E21" s="162">
        <v>50000.0</v>
      </c>
      <c r="F21" s="152">
        <f>D21*1666.66-1000</f>
        <v>48999.8</v>
      </c>
      <c r="G21" s="213">
        <f>SUM(49000-20000-29000)</f>
        <v>0</v>
      </c>
      <c r="H21" s="154" t="s">
        <v>32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4.75" customHeight="1">
      <c r="A22" s="148" t="s">
        <v>65</v>
      </c>
      <c r="B22" s="161" t="s">
        <v>31</v>
      </c>
      <c r="C22" s="150">
        <v>45871.0</v>
      </c>
      <c r="D22" s="151">
        <v>29.0</v>
      </c>
      <c r="E22" s="152">
        <v>30000.0</v>
      </c>
      <c r="F22" s="152">
        <f>D22*1000-1100</f>
        <v>27900</v>
      </c>
      <c r="G22" s="213">
        <f>SUM(27900-27900)</f>
        <v>0</v>
      </c>
      <c r="H22" s="164" t="s">
        <v>36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4.75" customHeight="1">
      <c r="A23" s="148" t="s">
        <v>68</v>
      </c>
      <c r="B23" s="161" t="s">
        <v>170</v>
      </c>
      <c r="C23" s="150">
        <v>45871.0</v>
      </c>
      <c r="D23" s="151">
        <v>27.0</v>
      </c>
      <c r="E23" s="152">
        <v>20000.0</v>
      </c>
      <c r="F23" s="152">
        <f>D23*666.66-1000</f>
        <v>16999.82</v>
      </c>
      <c r="G23" s="213">
        <f>SUM(17000-17000)</f>
        <v>0</v>
      </c>
      <c r="H23" s="164" t="s">
        <v>36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4.75" customHeight="1">
      <c r="A24" s="148" t="s">
        <v>57</v>
      </c>
      <c r="B24" s="161" t="s">
        <v>190</v>
      </c>
      <c r="C24" s="150">
        <v>45871.0</v>
      </c>
      <c r="D24" s="151">
        <v>27.0</v>
      </c>
      <c r="E24" s="152">
        <v>20000.0</v>
      </c>
      <c r="F24" s="234">
        <f>D24*666.66-1100</f>
        <v>16899.82</v>
      </c>
      <c r="G24" s="235" t="s">
        <v>186</v>
      </c>
      <c r="H24" s="154" t="s">
        <v>43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4.75" customHeight="1">
      <c r="A25" s="148" t="s">
        <v>62</v>
      </c>
      <c r="B25" s="161" t="s">
        <v>191</v>
      </c>
      <c r="C25" s="150">
        <v>45871.0</v>
      </c>
      <c r="D25" s="151">
        <v>21.0</v>
      </c>
      <c r="E25" s="152">
        <v>20000.0</v>
      </c>
      <c r="F25" s="234">
        <f>D25*666.66-850</f>
        <v>13149.86</v>
      </c>
      <c r="G25" s="235" t="s">
        <v>186</v>
      </c>
      <c r="H25" s="154" t="s">
        <v>43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4.75" customHeight="1">
      <c r="A26" s="148" t="s">
        <v>64</v>
      </c>
      <c r="B26" s="161" t="s">
        <v>192</v>
      </c>
      <c r="C26" s="150">
        <v>45873.0</v>
      </c>
      <c r="D26" s="151">
        <v>21.0</v>
      </c>
      <c r="E26" s="152">
        <v>25000.0</v>
      </c>
      <c r="F26" s="234">
        <f>D26*833.33-800</f>
        <v>16699.93</v>
      </c>
      <c r="G26" s="235" t="s">
        <v>186</v>
      </c>
      <c r="H26" s="154" t="s">
        <v>43</v>
      </c>
      <c r="I26" s="5"/>
      <c r="J26" s="5"/>
      <c r="K26" s="5"/>
      <c r="L26" s="224"/>
      <c r="M26" s="224"/>
      <c r="N26" s="224"/>
      <c r="O26" s="224"/>
      <c r="P26" s="224"/>
      <c r="Q26" s="224"/>
      <c r="R26" s="224"/>
      <c r="S26" s="224"/>
      <c r="T26" s="224"/>
      <c r="U26" s="224"/>
      <c r="V26" s="224"/>
      <c r="W26" s="224"/>
      <c r="X26" s="224"/>
      <c r="Y26" s="224"/>
      <c r="Z26" s="224"/>
    </row>
    <row r="27" ht="24.75" customHeight="1">
      <c r="A27" s="148" t="s">
        <v>70</v>
      </c>
      <c r="B27" s="149" t="s">
        <v>124</v>
      </c>
      <c r="C27" s="150">
        <v>45879.0</v>
      </c>
      <c r="D27" s="187">
        <v>28.0</v>
      </c>
      <c r="E27" s="162">
        <v>20000.0</v>
      </c>
      <c r="F27" s="162">
        <f>D27*666.66-1050+1</f>
        <v>17617.48</v>
      </c>
      <c r="G27" s="213">
        <f>SUM(17617-1500-16117)</f>
        <v>0</v>
      </c>
      <c r="H27" s="154" t="s">
        <v>43</v>
      </c>
      <c r="I27" s="5"/>
      <c r="J27" s="5"/>
      <c r="K27" s="5"/>
      <c r="L27" s="224"/>
      <c r="M27" s="224"/>
      <c r="N27" s="224"/>
      <c r="O27" s="224"/>
      <c r="P27" s="224"/>
      <c r="Q27" s="224"/>
      <c r="R27" s="224"/>
      <c r="S27" s="224"/>
      <c r="T27" s="224"/>
      <c r="U27" s="224"/>
      <c r="V27" s="224"/>
      <c r="W27" s="224"/>
      <c r="X27" s="224"/>
      <c r="Y27" s="224"/>
      <c r="Z27" s="224"/>
    </row>
    <row r="28" ht="24.75" customHeight="1">
      <c r="A28" s="148" t="s">
        <v>72</v>
      </c>
      <c r="B28" s="161" t="s">
        <v>163</v>
      </c>
      <c r="C28" s="150">
        <v>45879.0</v>
      </c>
      <c r="D28" s="151">
        <v>29.0</v>
      </c>
      <c r="E28" s="152">
        <v>25000.0</v>
      </c>
      <c r="F28" s="152">
        <f>D28*833.33-1050</f>
        <v>23116.57</v>
      </c>
      <c r="G28" s="213">
        <f>23117-1000-13117-9000</f>
        <v>0</v>
      </c>
      <c r="H28" s="164" t="s">
        <v>36</v>
      </c>
      <c r="I28" s="5"/>
      <c r="J28" s="5"/>
      <c r="K28" s="5"/>
      <c r="L28" s="224"/>
      <c r="M28" s="224"/>
      <c r="N28" s="224"/>
      <c r="O28" s="224"/>
      <c r="P28" s="224"/>
      <c r="Q28" s="224"/>
      <c r="R28" s="224"/>
      <c r="S28" s="224"/>
      <c r="T28" s="224"/>
      <c r="U28" s="224"/>
      <c r="V28" s="224"/>
      <c r="W28" s="224"/>
      <c r="X28" s="224"/>
      <c r="Y28" s="224"/>
      <c r="Z28" s="224"/>
    </row>
    <row r="29" ht="24.75" customHeight="1">
      <c r="A29" s="148" t="s">
        <v>75</v>
      </c>
      <c r="B29" s="161" t="s">
        <v>35</v>
      </c>
      <c r="C29" s="150">
        <v>45886.0</v>
      </c>
      <c r="D29" s="151">
        <v>29.0</v>
      </c>
      <c r="E29" s="152">
        <v>25000.0</v>
      </c>
      <c r="F29" s="152">
        <f>D29*833.33-900</f>
        <v>23266.57</v>
      </c>
      <c r="G29" s="213">
        <f>SUM(23267-13267-10000)</f>
        <v>0</v>
      </c>
      <c r="H29" s="164" t="s">
        <v>36</v>
      </c>
      <c r="I29" s="5"/>
      <c r="J29" s="5"/>
      <c r="K29" s="5"/>
      <c r="L29" s="224"/>
      <c r="M29" s="224"/>
      <c r="N29" s="224"/>
      <c r="O29" s="224"/>
      <c r="P29" s="224"/>
      <c r="Q29" s="224"/>
      <c r="R29" s="224"/>
      <c r="S29" s="224"/>
      <c r="T29" s="224"/>
      <c r="U29" s="224"/>
      <c r="V29" s="224"/>
      <c r="W29" s="224"/>
      <c r="X29" s="224"/>
      <c r="Y29" s="224"/>
      <c r="Z29" s="224"/>
    </row>
    <row r="30" ht="24.75" customHeight="1">
      <c r="A30" s="148" t="s">
        <v>89</v>
      </c>
      <c r="B30" s="161" t="s">
        <v>193</v>
      </c>
      <c r="C30" s="150">
        <v>45889.0</v>
      </c>
      <c r="D30" s="151">
        <v>0.0</v>
      </c>
      <c r="E30" s="152">
        <v>25000.0</v>
      </c>
      <c r="F30" s="234">
        <f>D30*833.33</f>
        <v>0</v>
      </c>
      <c r="G30" s="235" t="s">
        <v>186</v>
      </c>
      <c r="H30" s="164" t="s">
        <v>36</v>
      </c>
      <c r="I30" s="5"/>
      <c r="J30" s="5"/>
      <c r="K30" s="5"/>
      <c r="L30" s="224"/>
      <c r="M30" s="224"/>
      <c r="N30" s="224"/>
      <c r="O30" s="224"/>
      <c r="P30" s="224"/>
      <c r="Q30" s="224"/>
      <c r="R30" s="224"/>
      <c r="S30" s="224"/>
      <c r="T30" s="224"/>
      <c r="U30" s="224"/>
      <c r="V30" s="224"/>
      <c r="W30" s="224"/>
      <c r="X30" s="224"/>
      <c r="Y30" s="224"/>
      <c r="Z30" s="224"/>
    </row>
    <row r="31" ht="24.75" customHeight="1">
      <c r="A31" s="148" t="s">
        <v>91</v>
      </c>
      <c r="B31" s="161" t="s">
        <v>179</v>
      </c>
      <c r="C31" s="150">
        <v>45889.0</v>
      </c>
      <c r="D31" s="151">
        <v>25.0</v>
      </c>
      <c r="E31" s="152">
        <v>25000.0</v>
      </c>
      <c r="F31" s="152">
        <f>D31*833.33-1000</f>
        <v>19833.25</v>
      </c>
      <c r="G31" s="213">
        <f>SUM(19833-2000-1000-6833-10000)</f>
        <v>0</v>
      </c>
      <c r="H31" s="164" t="s">
        <v>36</v>
      </c>
      <c r="I31" s="5"/>
      <c r="J31" s="5"/>
      <c r="K31" s="5"/>
      <c r="L31" s="224"/>
      <c r="M31" s="224"/>
      <c r="N31" s="224"/>
      <c r="O31" s="224"/>
      <c r="P31" s="224"/>
      <c r="Q31" s="224"/>
      <c r="R31" s="224"/>
      <c r="S31" s="224"/>
      <c r="T31" s="224"/>
      <c r="U31" s="224"/>
      <c r="V31" s="224"/>
      <c r="W31" s="224"/>
      <c r="X31" s="224"/>
      <c r="Y31" s="224"/>
      <c r="Z31" s="224"/>
    </row>
    <row r="32" ht="24.75" customHeight="1">
      <c r="A32" s="148" t="s">
        <v>93</v>
      </c>
      <c r="B32" s="161" t="s">
        <v>194</v>
      </c>
      <c r="C32" s="150">
        <v>45889.0</v>
      </c>
      <c r="D32" s="151">
        <v>26.0</v>
      </c>
      <c r="E32" s="152">
        <v>18000.0</v>
      </c>
      <c r="F32" s="234">
        <f>D32*600-950</f>
        <v>14650</v>
      </c>
      <c r="G32" s="235" t="s">
        <v>186</v>
      </c>
      <c r="H32" s="164" t="s">
        <v>43</v>
      </c>
      <c r="I32" s="5"/>
      <c r="J32" s="5"/>
      <c r="K32" s="5"/>
      <c r="L32" s="224"/>
      <c r="M32" s="224"/>
      <c r="N32" s="224"/>
      <c r="O32" s="224"/>
      <c r="P32" s="224"/>
      <c r="Q32" s="224"/>
      <c r="R32" s="224"/>
      <c r="S32" s="224"/>
      <c r="T32" s="224"/>
      <c r="U32" s="224"/>
      <c r="V32" s="224"/>
      <c r="W32" s="224"/>
      <c r="X32" s="224"/>
      <c r="Y32" s="224"/>
      <c r="Z32" s="224"/>
    </row>
    <row r="33" ht="24.75" customHeight="1">
      <c r="A33" s="148" t="s">
        <v>97</v>
      </c>
      <c r="B33" s="161" t="s">
        <v>121</v>
      </c>
      <c r="C33" s="150">
        <v>45890.0</v>
      </c>
      <c r="D33" s="151">
        <v>29.0</v>
      </c>
      <c r="E33" s="152">
        <v>30000.0</v>
      </c>
      <c r="F33" s="152">
        <f>D33*1000-1150</f>
        <v>27850</v>
      </c>
      <c r="G33" s="213">
        <f>SUM(27850-27850)</f>
        <v>0</v>
      </c>
      <c r="H33" s="164" t="s">
        <v>36</v>
      </c>
      <c r="I33" s="5"/>
      <c r="J33" s="5"/>
      <c r="K33" s="5"/>
      <c r="L33" s="224"/>
      <c r="M33" s="224"/>
      <c r="N33" s="224"/>
      <c r="O33" s="224"/>
      <c r="P33" s="224"/>
      <c r="Q33" s="224"/>
      <c r="R33" s="224"/>
      <c r="S33" s="224"/>
      <c r="T33" s="224"/>
      <c r="U33" s="224"/>
      <c r="V33" s="224"/>
      <c r="W33" s="224"/>
      <c r="X33" s="224"/>
      <c r="Y33" s="224"/>
      <c r="Z33" s="224"/>
    </row>
    <row r="34" ht="24.75" customHeight="1">
      <c r="A34" s="148" t="s">
        <v>99</v>
      </c>
      <c r="B34" s="237" t="s">
        <v>180</v>
      </c>
      <c r="C34" s="150">
        <v>45901.0</v>
      </c>
      <c r="D34" s="187">
        <v>24.0</v>
      </c>
      <c r="E34" s="162">
        <v>20000.0</v>
      </c>
      <c r="F34" s="152">
        <f>D34*666.66-800</f>
        <v>15199.84</v>
      </c>
      <c r="G34" s="213">
        <f>15200-15200</f>
        <v>0</v>
      </c>
      <c r="H34" s="164" t="s">
        <v>36</v>
      </c>
      <c r="I34" s="5"/>
      <c r="J34" s="5"/>
      <c r="K34" s="5"/>
      <c r="L34" s="224"/>
      <c r="M34" s="224"/>
      <c r="N34" s="224"/>
      <c r="O34" s="224"/>
      <c r="P34" s="224"/>
      <c r="Q34" s="224"/>
      <c r="R34" s="224"/>
      <c r="S34" s="224"/>
      <c r="T34" s="224"/>
      <c r="U34" s="224"/>
      <c r="V34" s="224"/>
      <c r="W34" s="224"/>
      <c r="X34" s="224"/>
      <c r="Y34" s="224"/>
      <c r="Z34" s="224"/>
    </row>
    <row r="35" ht="24.75" customHeight="1">
      <c r="A35" s="148" t="s">
        <v>100</v>
      </c>
      <c r="B35" s="237" t="s">
        <v>195</v>
      </c>
      <c r="C35" s="150">
        <v>45901.0</v>
      </c>
      <c r="D35" s="187">
        <v>21.0</v>
      </c>
      <c r="E35" s="162">
        <v>16000.0</v>
      </c>
      <c r="F35" s="234">
        <f>D35*533.33-150</f>
        <v>11049.93</v>
      </c>
      <c r="G35" s="235" t="s">
        <v>186</v>
      </c>
      <c r="H35" s="164" t="s">
        <v>36</v>
      </c>
      <c r="I35" s="5"/>
      <c r="J35" s="5"/>
      <c r="K35" s="5"/>
      <c r="L35" s="224"/>
      <c r="M35" s="224"/>
      <c r="N35" s="224"/>
      <c r="O35" s="224"/>
      <c r="P35" s="224"/>
      <c r="Q35" s="224"/>
      <c r="R35" s="224"/>
      <c r="S35" s="224"/>
      <c r="T35" s="224"/>
      <c r="U35" s="224"/>
      <c r="V35" s="224"/>
      <c r="W35" s="224"/>
      <c r="X35" s="224"/>
      <c r="Y35" s="224"/>
      <c r="Z35" s="224"/>
    </row>
    <row r="36" ht="24.75" customHeight="1">
      <c r="A36" s="148" t="s">
        <v>101</v>
      </c>
      <c r="B36" s="237" t="s">
        <v>171</v>
      </c>
      <c r="C36" s="150">
        <v>45901.0</v>
      </c>
      <c r="D36" s="187">
        <v>30.0</v>
      </c>
      <c r="E36" s="162">
        <v>20000.0</v>
      </c>
      <c r="F36" s="152">
        <f>D36*666.66-750</f>
        <v>19249.8</v>
      </c>
      <c r="G36" s="213">
        <f>SUM(19250-19250)</f>
        <v>0</v>
      </c>
      <c r="H36" s="164" t="s">
        <v>36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4.75" customHeight="1">
      <c r="A37" s="148" t="s">
        <v>104</v>
      </c>
      <c r="B37" s="237" t="s">
        <v>126</v>
      </c>
      <c r="C37" s="150">
        <v>45901.0</v>
      </c>
      <c r="D37" s="187">
        <v>28.0</v>
      </c>
      <c r="E37" s="162">
        <v>20000.0</v>
      </c>
      <c r="F37" s="152">
        <f>D37*666.66-800+1</f>
        <v>17867.48</v>
      </c>
      <c r="G37" s="213">
        <f>SUM(17867-17867)</f>
        <v>0</v>
      </c>
      <c r="H37" s="164" t="s">
        <v>43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24.75" customHeight="1">
      <c r="A38" s="148" t="s">
        <v>107</v>
      </c>
      <c r="B38" s="237" t="s">
        <v>196</v>
      </c>
      <c r="C38" s="150">
        <v>45907.0</v>
      </c>
      <c r="D38" s="187">
        <v>23.0</v>
      </c>
      <c r="E38" s="162">
        <v>18000.0</v>
      </c>
      <c r="F38" s="152">
        <f>D38*600-850</f>
        <v>12950</v>
      </c>
      <c r="G38" s="213">
        <f>SUM(12950-12950)</f>
        <v>0</v>
      </c>
      <c r="H38" s="154" t="s">
        <v>43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4.75" customHeight="1">
      <c r="A39" s="148" t="s">
        <v>108</v>
      </c>
      <c r="B39" s="238" t="s">
        <v>197</v>
      </c>
      <c r="C39" s="150">
        <v>45910.0</v>
      </c>
      <c r="D39" s="187">
        <v>21.0</v>
      </c>
      <c r="E39" s="162">
        <v>25000.0</v>
      </c>
      <c r="F39" s="152">
        <f>D39*833.33-700</f>
        <v>16799.93</v>
      </c>
      <c r="G39" s="166">
        <f>SUM(16800-0)</f>
        <v>16800</v>
      </c>
      <c r="H39" s="164" t="s">
        <v>36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4.75" customHeight="1">
      <c r="A40" s="148" t="s">
        <v>135</v>
      </c>
      <c r="B40" s="238" t="s">
        <v>181</v>
      </c>
      <c r="C40" s="150">
        <v>45916.0</v>
      </c>
      <c r="D40" s="187">
        <v>15.0</v>
      </c>
      <c r="E40" s="162">
        <v>20000.0</v>
      </c>
      <c r="F40" s="152">
        <f>D40*666.66-550</f>
        <v>9449.9</v>
      </c>
      <c r="G40" s="213">
        <f>SUM(9450-9450)</f>
        <v>0</v>
      </c>
      <c r="H40" s="164" t="s">
        <v>36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24.75" customHeight="1">
      <c r="A41" s="154"/>
      <c r="B41" s="211"/>
      <c r="C41" s="232"/>
      <c r="D41" s="187"/>
      <c r="E41" s="162"/>
      <c r="F41" s="152"/>
      <c r="G41" s="213"/>
      <c r="H41" s="164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24.75" customHeight="1">
      <c r="A42" s="211"/>
      <c r="B42" s="239" t="s">
        <v>166</v>
      </c>
      <c r="C42" s="240"/>
      <c r="D42" s="178"/>
      <c r="E42" s="212">
        <v>44000.0</v>
      </c>
      <c r="F42" s="212">
        <v>44000.0</v>
      </c>
      <c r="G42" s="212"/>
      <c r="H42" s="241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24.75" customHeight="1">
      <c r="A43" s="189" t="s">
        <v>78</v>
      </c>
      <c r="B43" s="71"/>
      <c r="C43" s="71"/>
      <c r="D43" s="190"/>
      <c r="E43" s="152">
        <f t="shared" ref="E43:G43" si="2">SUM(E6:E42)</f>
        <v>1216000</v>
      </c>
      <c r="F43" s="152">
        <f t="shared" si="2"/>
        <v>1046523.08</v>
      </c>
      <c r="G43" s="152">
        <f t="shared" si="2"/>
        <v>44375</v>
      </c>
      <c r="H43" s="154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5"/>
      <c r="B44" s="5"/>
      <c r="C44" s="5"/>
      <c r="D44" s="5"/>
      <c r="E44" s="223"/>
      <c r="F44" s="9"/>
      <c r="G44" s="223"/>
      <c r="H44" s="224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5"/>
      <c r="B45" s="5"/>
      <c r="C45" s="5"/>
      <c r="D45" s="5"/>
      <c r="E45" s="223"/>
      <c r="F45" s="9"/>
      <c r="G45" s="223"/>
      <c r="H45" s="224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5"/>
      <c r="B46" s="5"/>
      <c r="C46" s="5"/>
      <c r="D46" s="5"/>
      <c r="E46" s="223"/>
      <c r="F46" s="9"/>
      <c r="G46" s="223"/>
      <c r="H46" s="224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5"/>
      <c r="B47" s="5"/>
      <c r="C47" s="5"/>
      <c r="D47" s="5"/>
      <c r="E47" s="223"/>
      <c r="F47" s="9"/>
      <c r="G47" s="223"/>
      <c r="H47" s="224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5"/>
      <c r="B48" s="5"/>
      <c r="C48" s="5"/>
      <c r="D48" s="5"/>
      <c r="E48" s="223"/>
      <c r="F48" s="9"/>
      <c r="G48" s="223"/>
      <c r="H48" s="224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5"/>
      <c r="B49" s="5"/>
      <c r="C49" s="5"/>
      <c r="D49" s="5"/>
      <c r="E49" s="223"/>
      <c r="F49" s="9"/>
      <c r="G49" s="223"/>
      <c r="H49" s="224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5"/>
      <c r="B50" s="5"/>
      <c r="C50" s="5"/>
      <c r="D50" s="5"/>
      <c r="E50" s="223"/>
      <c r="F50" s="9"/>
      <c r="G50" s="223"/>
      <c r="H50" s="224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5"/>
      <c r="B51" s="5"/>
      <c r="C51" s="5"/>
      <c r="D51" s="5"/>
      <c r="E51" s="223"/>
      <c r="F51" s="9"/>
      <c r="G51" s="223"/>
      <c r="H51" s="224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5"/>
      <c r="B52" s="5"/>
      <c r="C52" s="5"/>
      <c r="D52" s="5"/>
      <c r="E52" s="223"/>
      <c r="F52" s="9"/>
      <c r="G52" s="223"/>
      <c r="H52" s="224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5"/>
      <c r="B53" s="5"/>
      <c r="C53" s="5"/>
      <c r="D53" s="5"/>
      <c r="E53" s="223"/>
      <c r="F53" s="9"/>
      <c r="G53" s="223"/>
      <c r="H53" s="224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5"/>
      <c r="B54" s="5"/>
      <c r="C54" s="5"/>
      <c r="D54" s="5"/>
      <c r="E54" s="223"/>
      <c r="F54" s="9"/>
      <c r="G54" s="223"/>
      <c r="H54" s="224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5"/>
      <c r="B55" s="5"/>
      <c r="C55" s="5"/>
      <c r="D55" s="5"/>
      <c r="E55" s="223"/>
      <c r="F55" s="9"/>
      <c r="G55" s="223"/>
      <c r="H55" s="224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6.5" customHeight="1">
      <c r="A56" s="5"/>
      <c r="B56" s="5"/>
      <c r="C56" s="5"/>
      <c r="D56" s="5"/>
      <c r="E56" s="223"/>
      <c r="F56" s="9"/>
      <c r="G56" s="223"/>
      <c r="H56" s="224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6.5" customHeight="1">
      <c r="A57" s="5"/>
      <c r="B57" s="5"/>
      <c r="C57" s="5"/>
      <c r="D57" s="5"/>
      <c r="E57" s="223"/>
      <c r="F57" s="9"/>
      <c r="G57" s="223"/>
      <c r="H57" s="224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5"/>
      <c r="B58" s="5"/>
      <c r="C58" s="5"/>
      <c r="D58" s="5"/>
      <c r="E58" s="223"/>
      <c r="F58" s="9"/>
      <c r="G58" s="223"/>
      <c r="H58" s="224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5"/>
      <c r="B59" s="5"/>
      <c r="C59" s="5"/>
      <c r="D59" s="5"/>
      <c r="E59" s="223"/>
      <c r="F59" s="9"/>
      <c r="G59" s="223"/>
      <c r="H59" s="224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5"/>
      <c r="B60" s="5"/>
      <c r="C60" s="5"/>
      <c r="D60" s="5"/>
      <c r="E60" s="223"/>
      <c r="F60" s="9"/>
      <c r="G60" s="223"/>
      <c r="H60" s="224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5"/>
      <c r="B61" s="5"/>
      <c r="C61" s="5"/>
      <c r="D61" s="5"/>
      <c r="E61" s="223"/>
      <c r="F61" s="9"/>
      <c r="G61" s="223"/>
      <c r="H61" s="224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5"/>
      <c r="B62" s="5"/>
      <c r="C62" s="5"/>
      <c r="D62" s="5"/>
      <c r="E62" s="223"/>
      <c r="F62" s="9"/>
      <c r="G62" s="223"/>
      <c r="H62" s="224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5"/>
      <c r="B63" s="5"/>
      <c r="C63" s="5"/>
      <c r="D63" s="5"/>
      <c r="E63" s="223"/>
      <c r="F63" s="9"/>
      <c r="G63" s="223"/>
      <c r="H63" s="224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5"/>
      <c r="B64" s="5"/>
      <c r="C64" s="5"/>
      <c r="D64" s="5"/>
      <c r="E64" s="223"/>
      <c r="F64" s="9"/>
      <c r="G64" s="223"/>
      <c r="H64" s="224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5"/>
      <c r="B65" s="5"/>
      <c r="C65" s="5"/>
      <c r="D65" s="5"/>
      <c r="E65" s="223"/>
      <c r="F65" s="9"/>
      <c r="G65" s="223"/>
      <c r="H65" s="224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5"/>
      <c r="B66" s="5"/>
      <c r="C66" s="5"/>
      <c r="D66" s="5"/>
      <c r="E66" s="223"/>
      <c r="F66" s="9"/>
      <c r="G66" s="223"/>
      <c r="H66" s="224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5"/>
      <c r="B67" s="5"/>
      <c r="C67" s="5"/>
      <c r="D67" s="5"/>
      <c r="E67" s="223"/>
      <c r="F67" s="9"/>
      <c r="G67" s="223"/>
      <c r="H67" s="224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5"/>
      <c r="B68" s="5"/>
      <c r="C68" s="5"/>
      <c r="D68" s="5"/>
      <c r="E68" s="223"/>
      <c r="F68" s="9"/>
      <c r="G68" s="223"/>
      <c r="H68" s="224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5"/>
      <c r="B69" s="5"/>
      <c r="C69" s="5"/>
      <c r="D69" s="5"/>
      <c r="E69" s="223"/>
      <c r="F69" s="9"/>
      <c r="G69" s="223"/>
      <c r="H69" s="224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5"/>
      <c r="B70" s="5"/>
      <c r="C70" s="5"/>
      <c r="D70" s="5"/>
      <c r="E70" s="223"/>
      <c r="F70" s="9"/>
      <c r="G70" s="223"/>
      <c r="H70" s="224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5"/>
      <c r="B71" s="5"/>
      <c r="C71" s="5"/>
      <c r="D71" s="5"/>
      <c r="E71" s="223"/>
      <c r="F71" s="9"/>
      <c r="G71" s="223"/>
      <c r="H71" s="224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5"/>
      <c r="B72" s="5"/>
      <c r="C72" s="5"/>
      <c r="D72" s="5"/>
      <c r="E72" s="223"/>
      <c r="F72" s="9"/>
      <c r="G72" s="223"/>
      <c r="H72" s="224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5"/>
      <c r="B73" s="5"/>
      <c r="C73" s="5"/>
      <c r="D73" s="5"/>
      <c r="E73" s="223"/>
      <c r="F73" s="9"/>
      <c r="G73" s="223"/>
      <c r="H73" s="224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5"/>
      <c r="B74" s="5"/>
      <c r="C74" s="5"/>
      <c r="D74" s="5"/>
      <c r="E74" s="223"/>
      <c r="F74" s="9"/>
      <c r="G74" s="223"/>
      <c r="H74" s="224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5"/>
      <c r="B75" s="5"/>
      <c r="C75" s="5"/>
      <c r="D75" s="5"/>
      <c r="E75" s="223"/>
      <c r="F75" s="9"/>
      <c r="G75" s="223"/>
      <c r="H75" s="224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5"/>
      <c r="B76" s="5"/>
      <c r="C76" s="5"/>
      <c r="D76" s="5"/>
      <c r="E76" s="223"/>
      <c r="F76" s="9"/>
      <c r="G76" s="223"/>
      <c r="H76" s="224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5"/>
      <c r="B77" s="5"/>
      <c r="C77" s="5"/>
      <c r="D77" s="5"/>
      <c r="E77" s="223"/>
      <c r="F77" s="9"/>
      <c r="G77" s="223"/>
      <c r="H77" s="224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5"/>
      <c r="B78" s="5"/>
      <c r="C78" s="5"/>
      <c r="D78" s="5"/>
      <c r="E78" s="223"/>
      <c r="F78" s="9"/>
      <c r="G78" s="223"/>
      <c r="H78" s="224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5"/>
      <c r="B79" s="5"/>
      <c r="C79" s="5"/>
      <c r="D79" s="5"/>
      <c r="E79" s="223"/>
      <c r="F79" s="9"/>
      <c r="G79" s="223"/>
      <c r="H79" s="224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5"/>
      <c r="B80" s="5"/>
      <c r="C80" s="5"/>
      <c r="D80" s="5"/>
      <c r="E80" s="223"/>
      <c r="F80" s="9"/>
      <c r="G80" s="223"/>
      <c r="H80" s="224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5"/>
      <c r="B81" s="5"/>
      <c r="C81" s="5"/>
      <c r="D81" s="5"/>
      <c r="E81" s="223"/>
      <c r="F81" s="9"/>
      <c r="G81" s="223"/>
      <c r="H81" s="224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5"/>
      <c r="B82" s="5"/>
      <c r="C82" s="5"/>
      <c r="D82" s="5"/>
      <c r="E82" s="223"/>
      <c r="F82" s="9"/>
      <c r="G82" s="223"/>
      <c r="H82" s="224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5"/>
      <c r="B83" s="5"/>
      <c r="C83" s="5"/>
      <c r="D83" s="5"/>
      <c r="E83" s="223"/>
      <c r="F83" s="9"/>
      <c r="G83" s="223"/>
      <c r="H83" s="224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5"/>
      <c r="B84" s="5"/>
      <c r="C84" s="5"/>
      <c r="D84" s="5"/>
      <c r="E84" s="223"/>
      <c r="F84" s="9"/>
      <c r="G84" s="223"/>
      <c r="H84" s="224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5"/>
      <c r="B85" s="5"/>
      <c r="C85" s="5"/>
      <c r="D85" s="5"/>
      <c r="E85" s="223"/>
      <c r="F85" s="9"/>
      <c r="G85" s="223"/>
      <c r="H85" s="224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5"/>
      <c r="B86" s="5"/>
      <c r="C86" s="5"/>
      <c r="D86" s="5"/>
      <c r="E86" s="223"/>
      <c r="F86" s="9"/>
      <c r="G86" s="223"/>
      <c r="H86" s="224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5"/>
      <c r="B87" s="5"/>
      <c r="C87" s="5"/>
      <c r="D87" s="5"/>
      <c r="E87" s="223"/>
      <c r="F87" s="9"/>
      <c r="G87" s="223"/>
      <c r="H87" s="224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5"/>
      <c r="B88" s="5"/>
      <c r="C88" s="5"/>
      <c r="D88" s="5"/>
      <c r="E88" s="223"/>
      <c r="F88" s="9"/>
      <c r="G88" s="223"/>
      <c r="H88" s="224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5"/>
      <c r="B89" s="5"/>
      <c r="C89" s="5"/>
      <c r="D89" s="5"/>
      <c r="E89" s="223"/>
      <c r="F89" s="9"/>
      <c r="G89" s="223"/>
      <c r="H89" s="224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5"/>
      <c r="B90" s="5"/>
      <c r="C90" s="5"/>
      <c r="D90" s="5"/>
      <c r="E90" s="223"/>
      <c r="F90" s="9"/>
      <c r="G90" s="223"/>
      <c r="H90" s="224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5"/>
      <c r="B91" s="5"/>
      <c r="C91" s="5"/>
      <c r="D91" s="5"/>
      <c r="E91" s="223"/>
      <c r="F91" s="9"/>
      <c r="G91" s="223"/>
      <c r="H91" s="224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5"/>
      <c r="B92" s="5"/>
      <c r="C92" s="5"/>
      <c r="D92" s="5"/>
      <c r="E92" s="223"/>
      <c r="F92" s="9"/>
      <c r="G92" s="223"/>
      <c r="H92" s="224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5"/>
      <c r="B93" s="5"/>
      <c r="C93" s="5"/>
      <c r="D93" s="5"/>
      <c r="E93" s="223"/>
      <c r="F93" s="9"/>
      <c r="G93" s="223"/>
      <c r="H93" s="224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5"/>
      <c r="B94" s="5"/>
      <c r="C94" s="5"/>
      <c r="D94" s="5"/>
      <c r="E94" s="223"/>
      <c r="F94" s="9"/>
      <c r="G94" s="223"/>
      <c r="H94" s="224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5"/>
      <c r="B95" s="5"/>
      <c r="C95" s="5"/>
      <c r="D95" s="5"/>
      <c r="E95" s="223"/>
      <c r="F95" s="9"/>
      <c r="G95" s="223"/>
      <c r="H95" s="224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5"/>
      <c r="B96" s="5"/>
      <c r="C96" s="5"/>
      <c r="D96" s="5"/>
      <c r="E96" s="223"/>
      <c r="F96" s="9"/>
      <c r="G96" s="223"/>
      <c r="H96" s="224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5"/>
      <c r="B97" s="5"/>
      <c r="C97" s="5"/>
      <c r="D97" s="5"/>
      <c r="E97" s="223"/>
      <c r="F97" s="9"/>
      <c r="G97" s="223"/>
      <c r="H97" s="224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5"/>
      <c r="B98" s="5"/>
      <c r="C98" s="5"/>
      <c r="D98" s="5"/>
      <c r="E98" s="223"/>
      <c r="F98" s="9"/>
      <c r="G98" s="223"/>
      <c r="H98" s="224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5"/>
      <c r="B99" s="5"/>
      <c r="C99" s="5"/>
      <c r="D99" s="5"/>
      <c r="E99" s="223"/>
      <c r="F99" s="9"/>
      <c r="G99" s="223"/>
      <c r="H99" s="224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5"/>
      <c r="B100" s="5"/>
      <c r="C100" s="5"/>
      <c r="D100" s="5"/>
      <c r="E100" s="223"/>
      <c r="F100" s="9"/>
      <c r="G100" s="223"/>
      <c r="H100" s="224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5"/>
      <c r="B101" s="5"/>
      <c r="C101" s="5"/>
      <c r="D101" s="5"/>
      <c r="E101" s="223"/>
      <c r="F101" s="9"/>
      <c r="G101" s="223"/>
      <c r="H101" s="224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5"/>
      <c r="B102" s="5"/>
      <c r="C102" s="5"/>
      <c r="D102" s="5"/>
      <c r="E102" s="223"/>
      <c r="F102" s="9"/>
      <c r="G102" s="223"/>
      <c r="H102" s="224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5"/>
      <c r="B103" s="5"/>
      <c r="C103" s="5"/>
      <c r="D103" s="5"/>
      <c r="E103" s="223"/>
      <c r="F103" s="9"/>
      <c r="G103" s="223"/>
      <c r="H103" s="224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5"/>
      <c r="B104" s="5"/>
      <c r="C104" s="5"/>
      <c r="D104" s="5"/>
      <c r="E104" s="223"/>
      <c r="F104" s="9"/>
      <c r="G104" s="223"/>
      <c r="H104" s="224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5"/>
      <c r="B105" s="5"/>
      <c r="C105" s="5"/>
      <c r="D105" s="5"/>
      <c r="E105" s="223"/>
      <c r="F105" s="9"/>
      <c r="G105" s="223"/>
      <c r="H105" s="224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5"/>
      <c r="B106" s="5"/>
      <c r="C106" s="5"/>
      <c r="D106" s="5"/>
      <c r="E106" s="223"/>
      <c r="F106" s="9"/>
      <c r="G106" s="223"/>
      <c r="H106" s="224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5"/>
      <c r="B107" s="5"/>
      <c r="C107" s="5"/>
      <c r="D107" s="5"/>
      <c r="E107" s="223"/>
      <c r="F107" s="9"/>
      <c r="G107" s="223"/>
      <c r="H107" s="224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5"/>
      <c r="B108" s="5"/>
      <c r="C108" s="5"/>
      <c r="D108" s="5"/>
      <c r="E108" s="223"/>
      <c r="F108" s="9"/>
      <c r="G108" s="223"/>
      <c r="H108" s="224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5"/>
      <c r="B109" s="5"/>
      <c r="C109" s="5"/>
      <c r="D109" s="5"/>
      <c r="E109" s="223"/>
      <c r="F109" s="9"/>
      <c r="G109" s="223"/>
      <c r="H109" s="224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5"/>
      <c r="B110" s="5"/>
      <c r="C110" s="5"/>
      <c r="D110" s="5"/>
      <c r="E110" s="223"/>
      <c r="F110" s="9"/>
      <c r="G110" s="223"/>
      <c r="H110" s="224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5"/>
      <c r="B111" s="5"/>
      <c r="C111" s="5"/>
      <c r="D111" s="5"/>
      <c r="E111" s="223"/>
      <c r="F111" s="9"/>
      <c r="G111" s="223"/>
      <c r="H111" s="224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5"/>
      <c r="B112" s="5"/>
      <c r="C112" s="5"/>
      <c r="D112" s="5"/>
      <c r="E112" s="223"/>
      <c r="F112" s="9"/>
      <c r="G112" s="223"/>
      <c r="H112" s="224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5"/>
      <c r="B113" s="5"/>
      <c r="C113" s="5"/>
      <c r="D113" s="5"/>
      <c r="E113" s="223"/>
      <c r="F113" s="9"/>
      <c r="G113" s="223"/>
      <c r="H113" s="224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5"/>
      <c r="B114" s="5"/>
      <c r="C114" s="5"/>
      <c r="D114" s="5"/>
      <c r="E114" s="223"/>
      <c r="F114" s="9"/>
      <c r="G114" s="223"/>
      <c r="H114" s="224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5"/>
      <c r="B115" s="5"/>
      <c r="C115" s="5"/>
      <c r="D115" s="5"/>
      <c r="E115" s="223"/>
      <c r="F115" s="9"/>
      <c r="G115" s="223"/>
      <c r="H115" s="224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5"/>
      <c r="B116" s="5"/>
      <c r="C116" s="5"/>
      <c r="D116" s="5"/>
      <c r="E116" s="223"/>
      <c r="F116" s="9"/>
      <c r="G116" s="223"/>
      <c r="H116" s="224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5"/>
      <c r="B117" s="5"/>
      <c r="C117" s="5"/>
      <c r="D117" s="5"/>
      <c r="E117" s="223"/>
      <c r="F117" s="9"/>
      <c r="G117" s="223"/>
      <c r="H117" s="224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5"/>
      <c r="B118" s="5"/>
      <c r="C118" s="5"/>
      <c r="D118" s="5"/>
      <c r="E118" s="223"/>
      <c r="F118" s="9"/>
      <c r="G118" s="223"/>
      <c r="H118" s="224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5"/>
      <c r="B119" s="5"/>
      <c r="C119" s="5"/>
      <c r="D119" s="5"/>
      <c r="E119" s="223"/>
      <c r="F119" s="9"/>
      <c r="G119" s="223"/>
      <c r="H119" s="224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5"/>
      <c r="B120" s="5"/>
      <c r="C120" s="5"/>
      <c r="D120" s="5"/>
      <c r="E120" s="223"/>
      <c r="F120" s="9"/>
      <c r="G120" s="223"/>
      <c r="H120" s="224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5"/>
      <c r="B121" s="5"/>
      <c r="C121" s="5"/>
      <c r="D121" s="5"/>
      <c r="E121" s="223"/>
      <c r="F121" s="9"/>
      <c r="G121" s="223"/>
      <c r="H121" s="224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5"/>
      <c r="B122" s="5"/>
      <c r="C122" s="5"/>
      <c r="D122" s="5"/>
      <c r="E122" s="223"/>
      <c r="F122" s="9"/>
      <c r="G122" s="223"/>
      <c r="H122" s="224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5"/>
      <c r="B123" s="5"/>
      <c r="C123" s="5"/>
      <c r="D123" s="5"/>
      <c r="E123" s="223"/>
      <c r="F123" s="9"/>
      <c r="G123" s="223"/>
      <c r="H123" s="224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5"/>
      <c r="B124" s="5"/>
      <c r="C124" s="5"/>
      <c r="D124" s="5"/>
      <c r="E124" s="223"/>
      <c r="F124" s="9"/>
      <c r="G124" s="223"/>
      <c r="H124" s="224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5"/>
      <c r="B125" s="5"/>
      <c r="C125" s="5"/>
      <c r="D125" s="5"/>
      <c r="E125" s="223"/>
      <c r="F125" s="9"/>
      <c r="G125" s="223"/>
      <c r="H125" s="224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5"/>
      <c r="B126" s="5"/>
      <c r="C126" s="5"/>
      <c r="D126" s="5"/>
      <c r="E126" s="223"/>
      <c r="F126" s="9"/>
      <c r="G126" s="223"/>
      <c r="H126" s="224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5"/>
      <c r="B127" s="5"/>
      <c r="C127" s="5"/>
      <c r="D127" s="5"/>
      <c r="E127" s="223"/>
      <c r="F127" s="9"/>
      <c r="G127" s="223"/>
      <c r="H127" s="224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5"/>
      <c r="B128" s="5"/>
      <c r="C128" s="5"/>
      <c r="D128" s="5"/>
      <c r="E128" s="223"/>
      <c r="F128" s="9"/>
      <c r="G128" s="223"/>
      <c r="H128" s="224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5"/>
      <c r="B129" s="5"/>
      <c r="C129" s="5"/>
      <c r="D129" s="5"/>
      <c r="E129" s="223"/>
      <c r="F129" s="9"/>
      <c r="G129" s="223"/>
      <c r="H129" s="224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5"/>
      <c r="B130" s="5"/>
      <c r="C130" s="5"/>
      <c r="D130" s="5"/>
      <c r="E130" s="223"/>
      <c r="F130" s="9"/>
      <c r="G130" s="223"/>
      <c r="H130" s="224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5"/>
      <c r="B131" s="5"/>
      <c r="C131" s="5"/>
      <c r="D131" s="5"/>
      <c r="E131" s="223"/>
      <c r="F131" s="9"/>
      <c r="G131" s="223"/>
      <c r="H131" s="224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5"/>
      <c r="B132" s="5"/>
      <c r="C132" s="5"/>
      <c r="D132" s="5"/>
      <c r="E132" s="223"/>
      <c r="F132" s="9"/>
      <c r="G132" s="223"/>
      <c r="H132" s="224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5"/>
      <c r="B133" s="5"/>
      <c r="C133" s="5"/>
      <c r="D133" s="5"/>
      <c r="E133" s="223"/>
      <c r="F133" s="9"/>
      <c r="G133" s="223"/>
      <c r="H133" s="224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5"/>
      <c r="B134" s="5"/>
      <c r="C134" s="5"/>
      <c r="D134" s="5"/>
      <c r="E134" s="223"/>
      <c r="F134" s="9"/>
      <c r="G134" s="223"/>
      <c r="H134" s="224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5"/>
      <c r="B135" s="5"/>
      <c r="C135" s="5"/>
      <c r="D135" s="5"/>
      <c r="E135" s="223"/>
      <c r="F135" s="9"/>
      <c r="G135" s="223"/>
      <c r="H135" s="224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5"/>
      <c r="B136" s="5"/>
      <c r="C136" s="5"/>
      <c r="D136" s="5"/>
      <c r="E136" s="223"/>
      <c r="F136" s="9"/>
      <c r="G136" s="223"/>
      <c r="H136" s="224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5"/>
      <c r="B137" s="5"/>
      <c r="C137" s="5"/>
      <c r="D137" s="5"/>
      <c r="E137" s="223"/>
      <c r="F137" s="9"/>
      <c r="G137" s="223"/>
      <c r="H137" s="224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5"/>
      <c r="B138" s="5"/>
      <c r="C138" s="5"/>
      <c r="D138" s="5"/>
      <c r="E138" s="223"/>
      <c r="F138" s="9"/>
      <c r="G138" s="223"/>
      <c r="H138" s="224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5"/>
      <c r="B139" s="5"/>
      <c r="C139" s="5"/>
      <c r="D139" s="5"/>
      <c r="E139" s="223"/>
      <c r="F139" s="9"/>
      <c r="G139" s="223"/>
      <c r="H139" s="224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5"/>
      <c r="B140" s="5"/>
      <c r="C140" s="5"/>
      <c r="D140" s="5"/>
      <c r="E140" s="223"/>
      <c r="F140" s="9"/>
      <c r="G140" s="223"/>
      <c r="H140" s="224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5"/>
      <c r="B141" s="5"/>
      <c r="C141" s="5"/>
      <c r="D141" s="5"/>
      <c r="E141" s="223"/>
      <c r="F141" s="9"/>
      <c r="G141" s="223"/>
      <c r="H141" s="224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5"/>
      <c r="B142" s="5"/>
      <c r="C142" s="5"/>
      <c r="D142" s="5"/>
      <c r="E142" s="223"/>
      <c r="F142" s="9"/>
      <c r="G142" s="223"/>
      <c r="H142" s="224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5"/>
      <c r="B143" s="5"/>
      <c r="C143" s="5"/>
      <c r="D143" s="5"/>
      <c r="E143" s="223"/>
      <c r="F143" s="9"/>
      <c r="G143" s="223"/>
      <c r="H143" s="224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5"/>
      <c r="B144" s="5"/>
      <c r="C144" s="5"/>
      <c r="D144" s="5"/>
      <c r="E144" s="223"/>
      <c r="F144" s="9"/>
      <c r="G144" s="223"/>
      <c r="H144" s="224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5"/>
      <c r="B145" s="5"/>
      <c r="C145" s="5"/>
      <c r="D145" s="5"/>
      <c r="E145" s="223"/>
      <c r="F145" s="9"/>
      <c r="G145" s="223"/>
      <c r="H145" s="224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5"/>
      <c r="B146" s="5"/>
      <c r="C146" s="5"/>
      <c r="D146" s="5"/>
      <c r="E146" s="223"/>
      <c r="F146" s="9"/>
      <c r="G146" s="223"/>
      <c r="H146" s="224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5"/>
      <c r="B147" s="5"/>
      <c r="C147" s="5"/>
      <c r="D147" s="5"/>
      <c r="E147" s="223"/>
      <c r="F147" s="9"/>
      <c r="G147" s="223"/>
      <c r="H147" s="224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5"/>
      <c r="B148" s="5"/>
      <c r="C148" s="5"/>
      <c r="D148" s="5"/>
      <c r="E148" s="223"/>
      <c r="F148" s="9"/>
      <c r="G148" s="223"/>
      <c r="H148" s="224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5"/>
      <c r="B149" s="5"/>
      <c r="C149" s="5"/>
      <c r="D149" s="5"/>
      <c r="E149" s="223"/>
      <c r="F149" s="9"/>
      <c r="G149" s="223"/>
      <c r="H149" s="224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5"/>
      <c r="B150" s="5"/>
      <c r="C150" s="5"/>
      <c r="D150" s="5"/>
      <c r="E150" s="223"/>
      <c r="F150" s="9"/>
      <c r="G150" s="223"/>
      <c r="H150" s="224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5"/>
      <c r="B151" s="5"/>
      <c r="C151" s="5"/>
      <c r="D151" s="5"/>
      <c r="E151" s="223"/>
      <c r="F151" s="9"/>
      <c r="G151" s="223"/>
      <c r="H151" s="224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5"/>
      <c r="B152" s="5"/>
      <c r="C152" s="5"/>
      <c r="D152" s="5"/>
      <c r="E152" s="223"/>
      <c r="F152" s="9"/>
      <c r="G152" s="223"/>
      <c r="H152" s="224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5"/>
      <c r="B153" s="5"/>
      <c r="C153" s="5"/>
      <c r="D153" s="5"/>
      <c r="E153" s="223"/>
      <c r="F153" s="9"/>
      <c r="G153" s="223"/>
      <c r="H153" s="224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5"/>
      <c r="B154" s="5"/>
      <c r="C154" s="5"/>
      <c r="D154" s="5"/>
      <c r="E154" s="223"/>
      <c r="F154" s="9"/>
      <c r="G154" s="223"/>
      <c r="H154" s="224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5"/>
      <c r="B155" s="5"/>
      <c r="C155" s="5"/>
      <c r="D155" s="5"/>
      <c r="E155" s="223"/>
      <c r="F155" s="9"/>
      <c r="G155" s="223"/>
      <c r="H155" s="224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5"/>
      <c r="B156" s="5"/>
      <c r="C156" s="5"/>
      <c r="D156" s="5"/>
      <c r="E156" s="223"/>
      <c r="F156" s="9"/>
      <c r="G156" s="223"/>
      <c r="H156" s="224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5"/>
      <c r="B157" s="5"/>
      <c r="C157" s="5"/>
      <c r="D157" s="5"/>
      <c r="E157" s="223"/>
      <c r="F157" s="9"/>
      <c r="G157" s="223"/>
      <c r="H157" s="224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5"/>
      <c r="B158" s="5"/>
      <c r="C158" s="5"/>
      <c r="D158" s="5"/>
      <c r="E158" s="223"/>
      <c r="F158" s="9"/>
      <c r="G158" s="223"/>
      <c r="H158" s="224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5"/>
      <c r="B159" s="5"/>
      <c r="C159" s="5"/>
      <c r="D159" s="5"/>
      <c r="E159" s="223"/>
      <c r="F159" s="9"/>
      <c r="G159" s="223"/>
      <c r="H159" s="224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5"/>
      <c r="B160" s="5"/>
      <c r="C160" s="5"/>
      <c r="D160" s="5"/>
      <c r="E160" s="223"/>
      <c r="F160" s="9"/>
      <c r="G160" s="223"/>
      <c r="H160" s="224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5"/>
      <c r="B161" s="5"/>
      <c r="C161" s="5"/>
      <c r="D161" s="5"/>
      <c r="E161" s="223"/>
      <c r="F161" s="9"/>
      <c r="G161" s="223"/>
      <c r="H161" s="224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5"/>
      <c r="B162" s="5"/>
      <c r="C162" s="5"/>
      <c r="D162" s="5"/>
      <c r="E162" s="223"/>
      <c r="F162" s="9"/>
      <c r="G162" s="223"/>
      <c r="H162" s="224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5"/>
      <c r="B163" s="5"/>
      <c r="C163" s="5"/>
      <c r="D163" s="5"/>
      <c r="E163" s="223"/>
      <c r="F163" s="9"/>
      <c r="G163" s="223"/>
      <c r="H163" s="224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5"/>
      <c r="B164" s="5"/>
      <c r="C164" s="5"/>
      <c r="D164" s="5"/>
      <c r="E164" s="223"/>
      <c r="F164" s="9"/>
      <c r="G164" s="223"/>
      <c r="H164" s="224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5"/>
      <c r="B165" s="5"/>
      <c r="C165" s="5"/>
      <c r="D165" s="5"/>
      <c r="E165" s="223"/>
      <c r="F165" s="9"/>
      <c r="G165" s="223"/>
      <c r="H165" s="224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5"/>
      <c r="B166" s="5"/>
      <c r="C166" s="5"/>
      <c r="D166" s="5"/>
      <c r="E166" s="223"/>
      <c r="F166" s="9"/>
      <c r="G166" s="223"/>
      <c r="H166" s="224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5"/>
      <c r="B167" s="5"/>
      <c r="C167" s="5"/>
      <c r="D167" s="5"/>
      <c r="E167" s="223"/>
      <c r="F167" s="9"/>
      <c r="G167" s="223"/>
      <c r="H167" s="224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5"/>
      <c r="B168" s="5"/>
      <c r="C168" s="5"/>
      <c r="D168" s="5"/>
      <c r="E168" s="223"/>
      <c r="F168" s="9"/>
      <c r="G168" s="223"/>
      <c r="H168" s="224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5"/>
      <c r="B169" s="5"/>
      <c r="C169" s="5"/>
      <c r="D169" s="5"/>
      <c r="E169" s="223"/>
      <c r="F169" s="9"/>
      <c r="G169" s="223"/>
      <c r="H169" s="224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5"/>
      <c r="B170" s="5"/>
      <c r="C170" s="5"/>
      <c r="D170" s="5"/>
      <c r="E170" s="223"/>
      <c r="F170" s="9"/>
      <c r="G170" s="223"/>
      <c r="H170" s="224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5"/>
      <c r="B171" s="5"/>
      <c r="C171" s="5"/>
      <c r="D171" s="5"/>
      <c r="E171" s="223"/>
      <c r="F171" s="9"/>
      <c r="G171" s="223"/>
      <c r="H171" s="224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5"/>
      <c r="B172" s="5"/>
      <c r="C172" s="5"/>
      <c r="D172" s="5"/>
      <c r="E172" s="223"/>
      <c r="F172" s="9"/>
      <c r="G172" s="223"/>
      <c r="H172" s="224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5"/>
      <c r="B173" s="5"/>
      <c r="C173" s="5"/>
      <c r="D173" s="5"/>
      <c r="E173" s="223"/>
      <c r="F173" s="9"/>
      <c r="G173" s="223"/>
      <c r="H173" s="224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5"/>
      <c r="B174" s="5"/>
      <c r="C174" s="5"/>
      <c r="D174" s="5"/>
      <c r="E174" s="223"/>
      <c r="F174" s="9"/>
      <c r="G174" s="223"/>
      <c r="H174" s="224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5"/>
      <c r="B175" s="5"/>
      <c r="C175" s="5"/>
      <c r="D175" s="5"/>
      <c r="E175" s="223"/>
      <c r="F175" s="9"/>
      <c r="G175" s="223"/>
      <c r="H175" s="224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5"/>
      <c r="B176" s="5"/>
      <c r="C176" s="5"/>
      <c r="D176" s="5"/>
      <c r="E176" s="223"/>
      <c r="F176" s="9"/>
      <c r="G176" s="223"/>
      <c r="H176" s="224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5"/>
      <c r="B177" s="5"/>
      <c r="C177" s="5"/>
      <c r="D177" s="5"/>
      <c r="E177" s="223"/>
      <c r="F177" s="9"/>
      <c r="G177" s="223"/>
      <c r="H177" s="224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5"/>
      <c r="B178" s="5"/>
      <c r="C178" s="5"/>
      <c r="D178" s="5"/>
      <c r="E178" s="223"/>
      <c r="F178" s="9"/>
      <c r="G178" s="223"/>
      <c r="H178" s="224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5"/>
      <c r="B179" s="5"/>
      <c r="C179" s="5"/>
      <c r="D179" s="5"/>
      <c r="E179" s="223"/>
      <c r="F179" s="9"/>
      <c r="G179" s="223"/>
      <c r="H179" s="224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5"/>
      <c r="B180" s="5"/>
      <c r="C180" s="5"/>
      <c r="D180" s="5"/>
      <c r="E180" s="223"/>
      <c r="F180" s="9"/>
      <c r="G180" s="223"/>
      <c r="H180" s="224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5"/>
      <c r="B181" s="5"/>
      <c r="C181" s="5"/>
      <c r="D181" s="5"/>
      <c r="E181" s="223"/>
      <c r="F181" s="9"/>
      <c r="G181" s="223"/>
      <c r="H181" s="224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5"/>
      <c r="B182" s="5"/>
      <c r="C182" s="5"/>
      <c r="D182" s="5"/>
      <c r="E182" s="223"/>
      <c r="F182" s="9"/>
      <c r="G182" s="223"/>
      <c r="H182" s="224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5"/>
      <c r="B183" s="5"/>
      <c r="C183" s="5"/>
      <c r="D183" s="5"/>
      <c r="E183" s="223"/>
      <c r="F183" s="9"/>
      <c r="G183" s="223"/>
      <c r="H183" s="224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5"/>
      <c r="B184" s="5"/>
      <c r="C184" s="5"/>
      <c r="D184" s="5"/>
      <c r="E184" s="223"/>
      <c r="F184" s="9"/>
      <c r="G184" s="223"/>
      <c r="H184" s="224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5"/>
      <c r="B185" s="5"/>
      <c r="C185" s="5"/>
      <c r="D185" s="5"/>
      <c r="E185" s="223"/>
      <c r="F185" s="9"/>
      <c r="G185" s="223"/>
      <c r="H185" s="224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5"/>
      <c r="B186" s="5"/>
      <c r="C186" s="5"/>
      <c r="D186" s="5"/>
      <c r="E186" s="223"/>
      <c r="F186" s="9"/>
      <c r="G186" s="223"/>
      <c r="H186" s="224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5"/>
      <c r="B187" s="5"/>
      <c r="C187" s="5"/>
      <c r="D187" s="5"/>
      <c r="E187" s="223"/>
      <c r="F187" s="9"/>
      <c r="G187" s="223"/>
      <c r="H187" s="224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5"/>
      <c r="B188" s="5"/>
      <c r="C188" s="5"/>
      <c r="D188" s="5"/>
      <c r="E188" s="223"/>
      <c r="F188" s="9"/>
      <c r="G188" s="223"/>
      <c r="H188" s="224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5"/>
      <c r="B189" s="5"/>
      <c r="C189" s="5"/>
      <c r="D189" s="5"/>
      <c r="E189" s="223"/>
      <c r="F189" s="9"/>
      <c r="G189" s="223"/>
      <c r="H189" s="224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5"/>
      <c r="B190" s="5"/>
      <c r="C190" s="5"/>
      <c r="D190" s="5"/>
      <c r="E190" s="223"/>
      <c r="F190" s="9"/>
      <c r="G190" s="223"/>
      <c r="H190" s="224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5"/>
      <c r="B191" s="5"/>
      <c r="C191" s="5"/>
      <c r="D191" s="5"/>
      <c r="E191" s="223"/>
      <c r="F191" s="9"/>
      <c r="G191" s="223"/>
      <c r="H191" s="224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5"/>
      <c r="B192" s="5"/>
      <c r="C192" s="5"/>
      <c r="D192" s="5"/>
      <c r="E192" s="223"/>
      <c r="F192" s="9"/>
      <c r="G192" s="223"/>
      <c r="H192" s="224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5"/>
      <c r="B193" s="5"/>
      <c r="C193" s="5"/>
      <c r="D193" s="5"/>
      <c r="E193" s="223"/>
      <c r="F193" s="9"/>
      <c r="G193" s="223"/>
      <c r="H193" s="224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5"/>
      <c r="B194" s="5"/>
      <c r="C194" s="5"/>
      <c r="D194" s="5"/>
      <c r="E194" s="223"/>
      <c r="F194" s="9"/>
      <c r="G194" s="223"/>
      <c r="H194" s="224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5"/>
      <c r="B195" s="5"/>
      <c r="C195" s="5"/>
      <c r="D195" s="5"/>
      <c r="E195" s="223"/>
      <c r="F195" s="9"/>
      <c r="G195" s="223"/>
      <c r="H195" s="224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5"/>
      <c r="B196" s="5"/>
      <c r="C196" s="5"/>
      <c r="D196" s="5"/>
      <c r="E196" s="223"/>
      <c r="F196" s="9"/>
      <c r="G196" s="223"/>
      <c r="H196" s="224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5"/>
      <c r="B197" s="5"/>
      <c r="C197" s="5"/>
      <c r="D197" s="5"/>
      <c r="E197" s="223"/>
      <c r="F197" s="9"/>
      <c r="G197" s="223"/>
      <c r="H197" s="224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5"/>
      <c r="B198" s="5"/>
      <c r="C198" s="5"/>
      <c r="D198" s="5"/>
      <c r="E198" s="223"/>
      <c r="F198" s="9"/>
      <c r="G198" s="223"/>
      <c r="H198" s="224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5"/>
      <c r="B199" s="5"/>
      <c r="C199" s="5"/>
      <c r="D199" s="5"/>
      <c r="E199" s="223"/>
      <c r="F199" s="9"/>
      <c r="G199" s="223"/>
      <c r="H199" s="224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5"/>
      <c r="B200" s="5"/>
      <c r="C200" s="5"/>
      <c r="D200" s="5"/>
      <c r="E200" s="223"/>
      <c r="F200" s="9"/>
      <c r="G200" s="223"/>
      <c r="H200" s="224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5"/>
      <c r="B201" s="5"/>
      <c r="C201" s="5"/>
      <c r="D201" s="5"/>
      <c r="E201" s="223"/>
      <c r="F201" s="9"/>
      <c r="G201" s="223"/>
      <c r="H201" s="224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5"/>
      <c r="B202" s="5"/>
      <c r="C202" s="5"/>
      <c r="D202" s="5"/>
      <c r="E202" s="223"/>
      <c r="F202" s="9"/>
      <c r="G202" s="223"/>
      <c r="H202" s="224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5"/>
      <c r="B203" s="5"/>
      <c r="C203" s="5"/>
      <c r="D203" s="5"/>
      <c r="E203" s="223"/>
      <c r="F203" s="9"/>
      <c r="G203" s="223"/>
      <c r="H203" s="224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5"/>
      <c r="B204" s="5"/>
      <c r="C204" s="5"/>
      <c r="D204" s="5"/>
      <c r="E204" s="223"/>
      <c r="F204" s="9"/>
      <c r="G204" s="223"/>
      <c r="H204" s="224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5"/>
      <c r="B205" s="5"/>
      <c r="C205" s="5"/>
      <c r="D205" s="5"/>
      <c r="E205" s="223"/>
      <c r="F205" s="9"/>
      <c r="G205" s="223"/>
      <c r="H205" s="224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5"/>
      <c r="B206" s="5"/>
      <c r="C206" s="5"/>
      <c r="D206" s="5"/>
      <c r="E206" s="223"/>
      <c r="F206" s="9"/>
      <c r="G206" s="223"/>
      <c r="H206" s="224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5"/>
      <c r="B207" s="5"/>
      <c r="C207" s="5"/>
      <c r="D207" s="5"/>
      <c r="E207" s="223"/>
      <c r="F207" s="9"/>
      <c r="G207" s="223"/>
      <c r="H207" s="224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5"/>
      <c r="B208" s="5"/>
      <c r="C208" s="5"/>
      <c r="D208" s="5"/>
      <c r="E208" s="223"/>
      <c r="F208" s="9"/>
      <c r="G208" s="223"/>
      <c r="H208" s="224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5"/>
      <c r="B209" s="5"/>
      <c r="C209" s="5"/>
      <c r="D209" s="5"/>
      <c r="E209" s="223"/>
      <c r="F209" s="9"/>
      <c r="G209" s="223"/>
      <c r="H209" s="224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5"/>
      <c r="B210" s="5"/>
      <c r="C210" s="5"/>
      <c r="D210" s="5"/>
      <c r="E210" s="223"/>
      <c r="F210" s="9"/>
      <c r="G210" s="223"/>
      <c r="H210" s="224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5"/>
      <c r="B211" s="5"/>
      <c r="C211" s="5"/>
      <c r="D211" s="5"/>
      <c r="E211" s="223"/>
      <c r="F211" s="9"/>
      <c r="G211" s="223"/>
      <c r="H211" s="224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5"/>
      <c r="B212" s="5"/>
      <c r="C212" s="5"/>
      <c r="D212" s="5"/>
      <c r="E212" s="223"/>
      <c r="F212" s="9"/>
      <c r="G212" s="223"/>
      <c r="H212" s="224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5"/>
      <c r="B213" s="5"/>
      <c r="C213" s="5"/>
      <c r="D213" s="5"/>
      <c r="E213" s="223"/>
      <c r="F213" s="9"/>
      <c r="G213" s="223"/>
      <c r="H213" s="224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5"/>
      <c r="B214" s="5"/>
      <c r="C214" s="5"/>
      <c r="D214" s="5"/>
      <c r="E214" s="223"/>
      <c r="F214" s="9"/>
      <c r="G214" s="223"/>
      <c r="H214" s="224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5"/>
      <c r="B215" s="5"/>
      <c r="C215" s="5"/>
      <c r="D215" s="5"/>
      <c r="E215" s="223"/>
      <c r="F215" s="9"/>
      <c r="G215" s="223"/>
      <c r="H215" s="224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5"/>
      <c r="B216" s="5"/>
      <c r="C216" s="5"/>
      <c r="D216" s="5"/>
      <c r="E216" s="223"/>
      <c r="F216" s="9"/>
      <c r="G216" s="223"/>
      <c r="H216" s="224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5"/>
      <c r="B217" s="5"/>
      <c r="C217" s="5"/>
      <c r="D217" s="5"/>
      <c r="E217" s="223"/>
      <c r="F217" s="9"/>
      <c r="G217" s="223"/>
      <c r="H217" s="224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5"/>
      <c r="B218" s="5"/>
      <c r="C218" s="5"/>
      <c r="D218" s="5"/>
      <c r="E218" s="223"/>
      <c r="F218" s="9"/>
      <c r="G218" s="223"/>
      <c r="H218" s="224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5"/>
      <c r="B219" s="5"/>
      <c r="C219" s="5"/>
      <c r="D219" s="5"/>
      <c r="E219" s="223"/>
      <c r="F219" s="9"/>
      <c r="G219" s="223"/>
      <c r="H219" s="224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5"/>
      <c r="B220" s="5"/>
      <c r="C220" s="5"/>
      <c r="D220" s="5"/>
      <c r="E220" s="223"/>
      <c r="F220" s="9"/>
      <c r="G220" s="223"/>
      <c r="H220" s="224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5"/>
      <c r="B221" s="5"/>
      <c r="C221" s="5"/>
      <c r="D221" s="5"/>
      <c r="E221" s="223"/>
      <c r="F221" s="9"/>
      <c r="G221" s="223"/>
      <c r="H221" s="224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5"/>
      <c r="B222" s="5"/>
      <c r="C222" s="5"/>
      <c r="D222" s="5"/>
      <c r="E222" s="223"/>
      <c r="F222" s="9"/>
      <c r="G222" s="223"/>
      <c r="H222" s="224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5"/>
      <c r="B223" s="5"/>
      <c r="C223" s="5"/>
      <c r="D223" s="5"/>
      <c r="E223" s="223"/>
      <c r="F223" s="9"/>
      <c r="G223" s="223"/>
      <c r="H223" s="224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5"/>
      <c r="B224" s="5"/>
      <c r="C224" s="5"/>
      <c r="D224" s="5"/>
      <c r="E224" s="223"/>
      <c r="F224" s="9"/>
      <c r="G224" s="223"/>
      <c r="H224" s="224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5"/>
      <c r="B225" s="5"/>
      <c r="C225" s="5"/>
      <c r="D225" s="5"/>
      <c r="E225" s="223"/>
      <c r="F225" s="9"/>
      <c r="G225" s="223"/>
      <c r="H225" s="224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5"/>
      <c r="B226" s="5"/>
      <c r="C226" s="5"/>
      <c r="D226" s="5"/>
      <c r="E226" s="223"/>
      <c r="F226" s="9"/>
      <c r="G226" s="223"/>
      <c r="H226" s="224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5"/>
      <c r="B227" s="5"/>
      <c r="C227" s="5"/>
      <c r="D227" s="5"/>
      <c r="E227" s="223"/>
      <c r="F227" s="9"/>
      <c r="G227" s="223"/>
      <c r="H227" s="224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5"/>
      <c r="B228" s="5"/>
      <c r="C228" s="5"/>
      <c r="D228" s="5"/>
      <c r="E228" s="223"/>
      <c r="F228" s="9"/>
      <c r="G228" s="223"/>
      <c r="H228" s="224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5"/>
      <c r="B229" s="5"/>
      <c r="C229" s="5"/>
      <c r="D229" s="5"/>
      <c r="E229" s="223"/>
      <c r="F229" s="9"/>
      <c r="G229" s="223"/>
      <c r="H229" s="224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5"/>
      <c r="B230" s="5"/>
      <c r="C230" s="5"/>
      <c r="D230" s="5"/>
      <c r="E230" s="223"/>
      <c r="F230" s="9"/>
      <c r="G230" s="223"/>
      <c r="H230" s="224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5"/>
      <c r="B231" s="5"/>
      <c r="C231" s="5"/>
      <c r="D231" s="5"/>
      <c r="E231" s="223"/>
      <c r="F231" s="9"/>
      <c r="G231" s="223"/>
      <c r="H231" s="224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5"/>
      <c r="B232" s="5"/>
      <c r="C232" s="5"/>
      <c r="D232" s="5"/>
      <c r="E232" s="223"/>
      <c r="F232" s="9"/>
      <c r="G232" s="223"/>
      <c r="H232" s="224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5"/>
      <c r="B233" s="5"/>
      <c r="C233" s="5"/>
      <c r="D233" s="5"/>
      <c r="E233" s="223"/>
      <c r="F233" s="9"/>
      <c r="G233" s="223"/>
      <c r="H233" s="224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5"/>
      <c r="B234" s="5"/>
      <c r="C234" s="5"/>
      <c r="D234" s="5"/>
      <c r="E234" s="223"/>
      <c r="F234" s="9"/>
      <c r="G234" s="223"/>
      <c r="H234" s="224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5"/>
      <c r="B235" s="5"/>
      <c r="C235" s="5"/>
      <c r="D235" s="5"/>
      <c r="E235" s="223"/>
      <c r="F235" s="9"/>
      <c r="G235" s="223"/>
      <c r="H235" s="224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5"/>
      <c r="B236" s="5"/>
      <c r="C236" s="5"/>
      <c r="D236" s="5"/>
      <c r="E236" s="223"/>
      <c r="F236" s="9"/>
      <c r="G236" s="223"/>
      <c r="H236" s="224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5"/>
      <c r="B237" s="5"/>
      <c r="C237" s="5"/>
      <c r="D237" s="5"/>
      <c r="E237" s="223"/>
      <c r="F237" s="9"/>
      <c r="G237" s="223"/>
      <c r="H237" s="224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5"/>
      <c r="B238" s="5"/>
      <c r="C238" s="5"/>
      <c r="D238" s="5"/>
      <c r="E238" s="223"/>
      <c r="F238" s="9"/>
      <c r="G238" s="223"/>
      <c r="H238" s="224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5"/>
      <c r="B239" s="5"/>
      <c r="C239" s="5"/>
      <c r="D239" s="5"/>
      <c r="E239" s="223"/>
      <c r="F239" s="9"/>
      <c r="G239" s="223"/>
      <c r="H239" s="224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5"/>
      <c r="B240" s="5"/>
      <c r="C240" s="5"/>
      <c r="D240" s="5"/>
      <c r="E240" s="223"/>
      <c r="F240" s="9"/>
      <c r="G240" s="223"/>
      <c r="H240" s="224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5"/>
      <c r="B241" s="5"/>
      <c r="C241" s="5"/>
      <c r="D241" s="5"/>
      <c r="E241" s="223"/>
      <c r="F241" s="9"/>
      <c r="G241" s="223"/>
      <c r="H241" s="224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5"/>
      <c r="B242" s="5"/>
      <c r="C242" s="5"/>
      <c r="D242" s="5"/>
      <c r="E242" s="223"/>
      <c r="F242" s="9"/>
      <c r="G242" s="223"/>
      <c r="H242" s="224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5"/>
      <c r="B243" s="5"/>
      <c r="C243" s="5"/>
      <c r="D243" s="5"/>
      <c r="E243" s="223"/>
      <c r="F243" s="9"/>
      <c r="G243" s="223"/>
      <c r="H243" s="224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5"/>
      <c r="B244" s="5"/>
      <c r="C244" s="5"/>
      <c r="D244" s="5"/>
      <c r="E244" s="223"/>
      <c r="F244" s="9"/>
      <c r="G244" s="223"/>
      <c r="H244" s="224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5"/>
      <c r="B245" s="5"/>
      <c r="C245" s="5"/>
      <c r="D245" s="5"/>
      <c r="E245" s="223"/>
      <c r="F245" s="9"/>
      <c r="G245" s="223"/>
      <c r="H245" s="224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5"/>
      <c r="B246" s="5"/>
      <c r="C246" s="5"/>
      <c r="D246" s="5"/>
      <c r="E246" s="223"/>
      <c r="F246" s="9"/>
      <c r="G246" s="223"/>
      <c r="H246" s="224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5"/>
      <c r="B247" s="5"/>
      <c r="C247" s="5"/>
      <c r="D247" s="5"/>
      <c r="E247" s="223"/>
      <c r="F247" s="9"/>
      <c r="G247" s="223"/>
      <c r="H247" s="224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5"/>
      <c r="B248" s="5"/>
      <c r="C248" s="5"/>
      <c r="D248" s="5"/>
      <c r="E248" s="223"/>
      <c r="F248" s="9"/>
      <c r="G248" s="223"/>
      <c r="H248" s="224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5"/>
      <c r="B249" s="5"/>
      <c r="C249" s="5"/>
      <c r="D249" s="5"/>
      <c r="E249" s="223"/>
      <c r="F249" s="9"/>
      <c r="G249" s="223"/>
      <c r="H249" s="224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5"/>
      <c r="B250" s="5"/>
      <c r="C250" s="5"/>
      <c r="D250" s="5"/>
      <c r="E250" s="223"/>
      <c r="F250" s="9"/>
      <c r="G250" s="223"/>
      <c r="H250" s="224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5"/>
      <c r="B251" s="5"/>
      <c r="C251" s="5"/>
      <c r="D251" s="5"/>
      <c r="E251" s="223"/>
      <c r="F251" s="9"/>
      <c r="G251" s="223"/>
      <c r="H251" s="224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5"/>
      <c r="B252" s="5"/>
      <c r="C252" s="5"/>
      <c r="D252" s="5"/>
      <c r="E252" s="223"/>
      <c r="F252" s="9"/>
      <c r="G252" s="223"/>
      <c r="H252" s="224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5"/>
      <c r="B253" s="5"/>
      <c r="C253" s="5"/>
      <c r="D253" s="5"/>
      <c r="E253" s="223"/>
      <c r="F253" s="9"/>
      <c r="G253" s="223"/>
      <c r="H253" s="224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5"/>
      <c r="B254" s="5"/>
      <c r="C254" s="5"/>
      <c r="D254" s="5"/>
      <c r="E254" s="223"/>
      <c r="F254" s="9"/>
      <c r="G254" s="223"/>
      <c r="H254" s="224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5"/>
      <c r="B255" s="5"/>
      <c r="C255" s="5"/>
      <c r="D255" s="5"/>
      <c r="E255" s="223"/>
      <c r="F255" s="9"/>
      <c r="G255" s="223"/>
      <c r="H255" s="224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5"/>
      <c r="B256" s="5"/>
      <c r="C256" s="5"/>
      <c r="D256" s="5"/>
      <c r="E256" s="223"/>
      <c r="F256" s="9"/>
      <c r="G256" s="223"/>
      <c r="H256" s="224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5"/>
      <c r="B257" s="5"/>
      <c r="C257" s="5"/>
      <c r="D257" s="5"/>
      <c r="E257" s="223"/>
      <c r="F257" s="9"/>
      <c r="G257" s="223"/>
      <c r="H257" s="224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5"/>
      <c r="B258" s="5"/>
      <c r="C258" s="5"/>
      <c r="D258" s="5"/>
      <c r="E258" s="223"/>
      <c r="F258" s="9"/>
      <c r="G258" s="223"/>
      <c r="H258" s="224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5"/>
      <c r="B259" s="5"/>
      <c r="C259" s="5"/>
      <c r="D259" s="5"/>
      <c r="E259" s="223"/>
      <c r="F259" s="9"/>
      <c r="G259" s="223"/>
      <c r="H259" s="224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5"/>
      <c r="B260" s="5"/>
      <c r="C260" s="5"/>
      <c r="D260" s="5"/>
      <c r="E260" s="223"/>
      <c r="F260" s="9"/>
      <c r="G260" s="223"/>
      <c r="H260" s="224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5"/>
      <c r="B261" s="5"/>
      <c r="C261" s="5"/>
      <c r="D261" s="5"/>
      <c r="E261" s="223"/>
      <c r="F261" s="9"/>
      <c r="G261" s="223"/>
      <c r="H261" s="224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5"/>
      <c r="B262" s="5"/>
      <c r="C262" s="5"/>
      <c r="D262" s="5"/>
      <c r="E262" s="223"/>
      <c r="F262" s="9"/>
      <c r="G262" s="223"/>
      <c r="H262" s="224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5"/>
      <c r="B263" s="5"/>
      <c r="C263" s="5"/>
      <c r="D263" s="5"/>
      <c r="E263" s="223"/>
      <c r="F263" s="9"/>
      <c r="G263" s="223"/>
      <c r="H263" s="224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5"/>
      <c r="B264" s="5"/>
      <c r="C264" s="5"/>
      <c r="D264" s="5"/>
      <c r="E264" s="223"/>
      <c r="F264" s="9"/>
      <c r="G264" s="223"/>
      <c r="H264" s="224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5"/>
      <c r="B265" s="5"/>
      <c r="C265" s="5"/>
      <c r="D265" s="5"/>
      <c r="E265" s="223"/>
      <c r="F265" s="9"/>
      <c r="G265" s="223"/>
      <c r="H265" s="224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5"/>
      <c r="B266" s="5"/>
      <c r="C266" s="5"/>
      <c r="D266" s="5"/>
      <c r="E266" s="223"/>
      <c r="F266" s="9"/>
      <c r="G266" s="223"/>
      <c r="H266" s="224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5"/>
      <c r="B267" s="5"/>
      <c r="C267" s="5"/>
      <c r="D267" s="5"/>
      <c r="E267" s="223"/>
      <c r="F267" s="9"/>
      <c r="G267" s="223"/>
      <c r="H267" s="224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5"/>
      <c r="B268" s="5"/>
      <c r="C268" s="5"/>
      <c r="D268" s="5"/>
      <c r="E268" s="223"/>
      <c r="F268" s="9"/>
      <c r="G268" s="223"/>
      <c r="H268" s="224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5"/>
      <c r="B269" s="5"/>
      <c r="C269" s="5"/>
      <c r="D269" s="5"/>
      <c r="E269" s="223"/>
      <c r="F269" s="9"/>
      <c r="G269" s="223"/>
      <c r="H269" s="224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5"/>
      <c r="B270" s="5"/>
      <c r="C270" s="5"/>
      <c r="D270" s="5"/>
      <c r="E270" s="223"/>
      <c r="F270" s="9"/>
      <c r="G270" s="223"/>
      <c r="H270" s="224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5"/>
      <c r="B271" s="5"/>
      <c r="C271" s="5"/>
      <c r="D271" s="5"/>
      <c r="E271" s="223"/>
      <c r="F271" s="9"/>
      <c r="G271" s="223"/>
      <c r="H271" s="224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5"/>
      <c r="B272" s="5"/>
      <c r="C272" s="5"/>
      <c r="D272" s="5"/>
      <c r="E272" s="223"/>
      <c r="F272" s="9"/>
      <c r="G272" s="223"/>
      <c r="H272" s="224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5"/>
      <c r="B273" s="5"/>
      <c r="C273" s="5"/>
      <c r="D273" s="5"/>
      <c r="E273" s="223"/>
      <c r="F273" s="9"/>
      <c r="G273" s="223"/>
      <c r="H273" s="224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5"/>
      <c r="B274" s="5"/>
      <c r="C274" s="5"/>
      <c r="D274" s="5"/>
      <c r="E274" s="223"/>
      <c r="F274" s="9"/>
      <c r="G274" s="223"/>
      <c r="H274" s="224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5"/>
      <c r="B275" s="5"/>
      <c r="C275" s="5"/>
      <c r="D275" s="5"/>
      <c r="E275" s="223"/>
      <c r="F275" s="9"/>
      <c r="G275" s="223"/>
      <c r="H275" s="224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5"/>
      <c r="B276" s="5"/>
      <c r="C276" s="5"/>
      <c r="D276" s="5"/>
      <c r="E276" s="223"/>
      <c r="F276" s="9"/>
      <c r="G276" s="223"/>
      <c r="H276" s="224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5"/>
      <c r="B277" s="5"/>
      <c r="C277" s="5"/>
      <c r="D277" s="5"/>
      <c r="E277" s="223"/>
      <c r="F277" s="9"/>
      <c r="G277" s="223"/>
      <c r="H277" s="224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5"/>
      <c r="B278" s="5"/>
      <c r="C278" s="5"/>
      <c r="D278" s="5"/>
      <c r="E278" s="223"/>
      <c r="F278" s="9"/>
      <c r="G278" s="223"/>
      <c r="H278" s="224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5"/>
      <c r="B279" s="5"/>
      <c r="C279" s="5"/>
      <c r="D279" s="5"/>
      <c r="E279" s="223"/>
      <c r="F279" s="9"/>
      <c r="G279" s="223"/>
      <c r="H279" s="224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5"/>
      <c r="B280" s="5"/>
      <c r="C280" s="5"/>
      <c r="D280" s="5"/>
      <c r="E280" s="223"/>
      <c r="F280" s="9"/>
      <c r="G280" s="223"/>
      <c r="H280" s="224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5"/>
      <c r="B281" s="5"/>
      <c r="C281" s="5"/>
      <c r="D281" s="5"/>
      <c r="E281" s="223"/>
      <c r="F281" s="9"/>
      <c r="G281" s="223"/>
      <c r="H281" s="224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5"/>
      <c r="B282" s="5"/>
      <c r="C282" s="5"/>
      <c r="D282" s="5"/>
      <c r="E282" s="223"/>
      <c r="F282" s="9"/>
      <c r="G282" s="223"/>
      <c r="H282" s="224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5"/>
      <c r="B283" s="5"/>
      <c r="C283" s="5"/>
      <c r="D283" s="5"/>
      <c r="E283" s="223"/>
      <c r="F283" s="9"/>
      <c r="G283" s="223"/>
      <c r="H283" s="224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5"/>
      <c r="B284" s="5"/>
      <c r="C284" s="5"/>
      <c r="D284" s="5"/>
      <c r="E284" s="223"/>
      <c r="F284" s="9"/>
      <c r="G284" s="223"/>
      <c r="H284" s="224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5"/>
      <c r="B285" s="5"/>
      <c r="C285" s="5"/>
      <c r="D285" s="5"/>
      <c r="E285" s="223"/>
      <c r="F285" s="9"/>
      <c r="G285" s="223"/>
      <c r="H285" s="224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5"/>
      <c r="B286" s="5"/>
      <c r="C286" s="5"/>
      <c r="D286" s="5"/>
      <c r="E286" s="223"/>
      <c r="F286" s="9"/>
      <c r="G286" s="223"/>
      <c r="H286" s="224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5"/>
      <c r="B287" s="5"/>
      <c r="C287" s="5"/>
      <c r="D287" s="5"/>
      <c r="E287" s="223"/>
      <c r="F287" s="9"/>
      <c r="G287" s="223"/>
      <c r="H287" s="224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5"/>
      <c r="B288" s="5"/>
      <c r="C288" s="5"/>
      <c r="D288" s="5"/>
      <c r="E288" s="223"/>
      <c r="F288" s="9"/>
      <c r="G288" s="223"/>
      <c r="H288" s="224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5"/>
      <c r="B289" s="5"/>
      <c r="C289" s="5"/>
      <c r="D289" s="5"/>
      <c r="E289" s="223"/>
      <c r="F289" s="9"/>
      <c r="G289" s="223"/>
      <c r="H289" s="224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5"/>
      <c r="B290" s="5"/>
      <c r="C290" s="5"/>
      <c r="D290" s="5"/>
      <c r="E290" s="223"/>
      <c r="F290" s="9"/>
      <c r="G290" s="223"/>
      <c r="H290" s="224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5"/>
      <c r="B291" s="5"/>
      <c r="C291" s="5"/>
      <c r="D291" s="5"/>
      <c r="E291" s="223"/>
      <c r="F291" s="9"/>
      <c r="G291" s="223"/>
      <c r="H291" s="224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5"/>
      <c r="B292" s="5"/>
      <c r="C292" s="5"/>
      <c r="D292" s="5"/>
      <c r="E292" s="223"/>
      <c r="F292" s="9"/>
      <c r="G292" s="223"/>
      <c r="H292" s="224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5"/>
      <c r="B293" s="5"/>
      <c r="C293" s="5"/>
      <c r="D293" s="5"/>
      <c r="E293" s="223"/>
      <c r="F293" s="9"/>
      <c r="G293" s="223"/>
      <c r="H293" s="224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5"/>
      <c r="B294" s="5"/>
      <c r="C294" s="5"/>
      <c r="D294" s="5"/>
      <c r="E294" s="223"/>
      <c r="F294" s="9"/>
      <c r="G294" s="223"/>
      <c r="H294" s="224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5"/>
      <c r="B295" s="5"/>
      <c r="C295" s="5"/>
      <c r="D295" s="5"/>
      <c r="E295" s="223"/>
      <c r="F295" s="9"/>
      <c r="G295" s="223"/>
      <c r="H295" s="224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5"/>
      <c r="B296" s="5"/>
      <c r="C296" s="5"/>
      <c r="D296" s="5"/>
      <c r="E296" s="223"/>
      <c r="F296" s="9"/>
      <c r="G296" s="223"/>
      <c r="H296" s="224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5"/>
      <c r="B297" s="5"/>
      <c r="C297" s="5"/>
      <c r="D297" s="5"/>
      <c r="E297" s="223"/>
      <c r="F297" s="9"/>
      <c r="G297" s="223"/>
      <c r="H297" s="224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5"/>
      <c r="B298" s="5"/>
      <c r="C298" s="5"/>
      <c r="D298" s="5"/>
      <c r="E298" s="223"/>
      <c r="F298" s="9"/>
      <c r="G298" s="223"/>
      <c r="H298" s="224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5"/>
      <c r="B299" s="5"/>
      <c r="C299" s="5"/>
      <c r="D299" s="5"/>
      <c r="E299" s="223"/>
      <c r="F299" s="9"/>
      <c r="G299" s="223"/>
      <c r="H299" s="224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5"/>
      <c r="B300" s="5"/>
      <c r="C300" s="5"/>
      <c r="D300" s="5"/>
      <c r="E300" s="223"/>
      <c r="F300" s="9"/>
      <c r="G300" s="223"/>
      <c r="H300" s="224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5"/>
      <c r="B301" s="5"/>
      <c r="C301" s="5"/>
      <c r="D301" s="5"/>
      <c r="E301" s="223"/>
      <c r="F301" s="9"/>
      <c r="G301" s="223"/>
      <c r="H301" s="224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5"/>
      <c r="B302" s="5"/>
      <c r="C302" s="5"/>
      <c r="D302" s="5"/>
      <c r="E302" s="223"/>
      <c r="F302" s="9"/>
      <c r="G302" s="223"/>
      <c r="H302" s="224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5"/>
      <c r="B303" s="5"/>
      <c r="C303" s="5"/>
      <c r="D303" s="5"/>
      <c r="E303" s="223"/>
      <c r="F303" s="9"/>
      <c r="G303" s="223"/>
      <c r="H303" s="224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5"/>
      <c r="B304" s="5"/>
      <c r="C304" s="5"/>
      <c r="D304" s="5"/>
      <c r="E304" s="223"/>
      <c r="F304" s="9"/>
      <c r="G304" s="223"/>
      <c r="H304" s="224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5"/>
      <c r="B305" s="5"/>
      <c r="C305" s="5"/>
      <c r="D305" s="5"/>
      <c r="E305" s="223"/>
      <c r="F305" s="9"/>
      <c r="G305" s="223"/>
      <c r="H305" s="224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5"/>
      <c r="B306" s="5"/>
      <c r="C306" s="5"/>
      <c r="D306" s="5"/>
      <c r="E306" s="223"/>
      <c r="F306" s="9"/>
      <c r="G306" s="223"/>
      <c r="H306" s="224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5"/>
      <c r="B307" s="5"/>
      <c r="C307" s="5"/>
      <c r="D307" s="5"/>
      <c r="E307" s="223"/>
      <c r="F307" s="9"/>
      <c r="G307" s="223"/>
      <c r="H307" s="224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5"/>
      <c r="B308" s="5"/>
      <c r="C308" s="5"/>
      <c r="D308" s="5"/>
      <c r="E308" s="223"/>
      <c r="F308" s="9"/>
      <c r="G308" s="223"/>
      <c r="H308" s="224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5"/>
      <c r="B309" s="5"/>
      <c r="C309" s="5"/>
      <c r="D309" s="5"/>
      <c r="E309" s="223"/>
      <c r="F309" s="9"/>
      <c r="G309" s="223"/>
      <c r="H309" s="224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5"/>
      <c r="B310" s="5"/>
      <c r="C310" s="5"/>
      <c r="D310" s="5"/>
      <c r="E310" s="223"/>
      <c r="F310" s="9"/>
      <c r="G310" s="223"/>
      <c r="H310" s="224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5"/>
      <c r="B311" s="5"/>
      <c r="C311" s="5"/>
      <c r="D311" s="5"/>
      <c r="E311" s="223"/>
      <c r="F311" s="9"/>
      <c r="G311" s="223"/>
      <c r="H311" s="224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5"/>
      <c r="B312" s="5"/>
      <c r="C312" s="5"/>
      <c r="D312" s="5"/>
      <c r="E312" s="223"/>
      <c r="F312" s="9"/>
      <c r="G312" s="223"/>
      <c r="H312" s="224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5"/>
      <c r="B313" s="5"/>
      <c r="C313" s="5"/>
      <c r="D313" s="5"/>
      <c r="E313" s="223"/>
      <c r="F313" s="9"/>
      <c r="G313" s="223"/>
      <c r="H313" s="224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5"/>
      <c r="B314" s="5"/>
      <c r="C314" s="5"/>
      <c r="D314" s="5"/>
      <c r="E314" s="223"/>
      <c r="F314" s="9"/>
      <c r="G314" s="223"/>
      <c r="H314" s="224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5"/>
      <c r="B315" s="5"/>
      <c r="C315" s="5"/>
      <c r="D315" s="5"/>
      <c r="E315" s="223"/>
      <c r="F315" s="9"/>
      <c r="G315" s="223"/>
      <c r="H315" s="224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5"/>
      <c r="B316" s="5"/>
      <c r="C316" s="5"/>
      <c r="D316" s="5"/>
      <c r="E316" s="223"/>
      <c r="F316" s="9"/>
      <c r="G316" s="223"/>
      <c r="H316" s="224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5"/>
      <c r="B317" s="5"/>
      <c r="C317" s="5"/>
      <c r="D317" s="5"/>
      <c r="E317" s="223"/>
      <c r="F317" s="9"/>
      <c r="G317" s="223"/>
      <c r="H317" s="224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5"/>
      <c r="B318" s="5"/>
      <c r="C318" s="5"/>
      <c r="D318" s="5"/>
      <c r="E318" s="223"/>
      <c r="F318" s="9"/>
      <c r="G318" s="223"/>
      <c r="H318" s="224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5"/>
      <c r="B319" s="5"/>
      <c r="C319" s="5"/>
      <c r="D319" s="5"/>
      <c r="E319" s="223"/>
      <c r="F319" s="9"/>
      <c r="G319" s="223"/>
      <c r="H319" s="224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5"/>
      <c r="B320" s="5"/>
      <c r="C320" s="5"/>
      <c r="D320" s="5"/>
      <c r="E320" s="223"/>
      <c r="F320" s="9"/>
      <c r="G320" s="223"/>
      <c r="H320" s="224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5"/>
      <c r="B321" s="5"/>
      <c r="C321" s="5"/>
      <c r="D321" s="5"/>
      <c r="E321" s="223"/>
      <c r="F321" s="9"/>
      <c r="G321" s="223"/>
      <c r="H321" s="224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5"/>
      <c r="B322" s="5"/>
      <c r="C322" s="5"/>
      <c r="D322" s="5"/>
      <c r="E322" s="223"/>
      <c r="F322" s="9"/>
      <c r="G322" s="223"/>
      <c r="H322" s="224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5"/>
      <c r="B323" s="5"/>
      <c r="C323" s="5"/>
      <c r="D323" s="5"/>
      <c r="E323" s="223"/>
      <c r="F323" s="9"/>
      <c r="G323" s="223"/>
      <c r="H323" s="224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5"/>
      <c r="B324" s="5"/>
      <c r="C324" s="5"/>
      <c r="D324" s="5"/>
      <c r="E324" s="223"/>
      <c r="F324" s="9"/>
      <c r="G324" s="223"/>
      <c r="H324" s="224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5"/>
      <c r="B325" s="5"/>
      <c r="C325" s="5"/>
      <c r="D325" s="5"/>
      <c r="E325" s="223"/>
      <c r="F325" s="9"/>
      <c r="G325" s="223"/>
      <c r="H325" s="224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5"/>
      <c r="B326" s="5"/>
      <c r="C326" s="5"/>
      <c r="D326" s="5"/>
      <c r="E326" s="223"/>
      <c r="F326" s="9"/>
      <c r="G326" s="223"/>
      <c r="H326" s="224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5"/>
      <c r="B327" s="5"/>
      <c r="C327" s="5"/>
      <c r="D327" s="5"/>
      <c r="E327" s="223"/>
      <c r="F327" s="9"/>
      <c r="G327" s="223"/>
      <c r="H327" s="224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5"/>
      <c r="B328" s="5"/>
      <c r="C328" s="5"/>
      <c r="D328" s="5"/>
      <c r="E328" s="223"/>
      <c r="F328" s="9"/>
      <c r="G328" s="223"/>
      <c r="H328" s="224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5"/>
      <c r="B329" s="5"/>
      <c r="C329" s="5"/>
      <c r="D329" s="5"/>
      <c r="E329" s="223"/>
      <c r="F329" s="9"/>
      <c r="G329" s="223"/>
      <c r="H329" s="224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5"/>
      <c r="B330" s="5"/>
      <c r="C330" s="5"/>
      <c r="D330" s="5"/>
      <c r="E330" s="223"/>
      <c r="F330" s="9"/>
      <c r="G330" s="223"/>
      <c r="H330" s="224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5"/>
      <c r="B331" s="5"/>
      <c r="C331" s="5"/>
      <c r="D331" s="5"/>
      <c r="E331" s="223"/>
      <c r="F331" s="9"/>
      <c r="G331" s="223"/>
      <c r="H331" s="224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5"/>
      <c r="B332" s="5"/>
      <c r="C332" s="5"/>
      <c r="D332" s="5"/>
      <c r="E332" s="223"/>
      <c r="F332" s="9"/>
      <c r="G332" s="223"/>
      <c r="H332" s="224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5"/>
      <c r="B333" s="5"/>
      <c r="C333" s="5"/>
      <c r="D333" s="5"/>
      <c r="E333" s="223"/>
      <c r="F333" s="9"/>
      <c r="G333" s="223"/>
      <c r="H333" s="224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5"/>
      <c r="B334" s="5"/>
      <c r="C334" s="5"/>
      <c r="D334" s="5"/>
      <c r="E334" s="223"/>
      <c r="F334" s="9"/>
      <c r="G334" s="223"/>
      <c r="H334" s="224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5"/>
      <c r="B335" s="5"/>
      <c r="C335" s="5"/>
      <c r="D335" s="5"/>
      <c r="E335" s="223"/>
      <c r="F335" s="9"/>
      <c r="G335" s="223"/>
      <c r="H335" s="224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5"/>
      <c r="B336" s="5"/>
      <c r="C336" s="5"/>
      <c r="D336" s="5"/>
      <c r="E336" s="223"/>
      <c r="F336" s="9"/>
      <c r="G336" s="223"/>
      <c r="H336" s="224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5"/>
      <c r="B337" s="5"/>
      <c r="C337" s="5"/>
      <c r="D337" s="5"/>
      <c r="E337" s="223"/>
      <c r="F337" s="9"/>
      <c r="G337" s="223"/>
      <c r="H337" s="224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5"/>
      <c r="B338" s="5"/>
      <c r="C338" s="5"/>
      <c r="D338" s="5"/>
      <c r="E338" s="223"/>
      <c r="F338" s="9"/>
      <c r="G338" s="223"/>
      <c r="H338" s="224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5"/>
      <c r="B339" s="5"/>
      <c r="C339" s="5"/>
      <c r="D339" s="5"/>
      <c r="E339" s="223"/>
      <c r="F339" s="9"/>
      <c r="G339" s="223"/>
      <c r="H339" s="224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5"/>
      <c r="B340" s="5"/>
      <c r="C340" s="5"/>
      <c r="D340" s="5"/>
      <c r="E340" s="223"/>
      <c r="F340" s="9"/>
      <c r="G340" s="223"/>
      <c r="H340" s="224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5"/>
      <c r="B341" s="5"/>
      <c r="C341" s="5"/>
      <c r="D341" s="5"/>
      <c r="E341" s="223"/>
      <c r="F341" s="9"/>
      <c r="G341" s="223"/>
      <c r="H341" s="224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5"/>
      <c r="B342" s="5"/>
      <c r="C342" s="5"/>
      <c r="D342" s="5"/>
      <c r="E342" s="223"/>
      <c r="F342" s="9"/>
      <c r="G342" s="223"/>
      <c r="H342" s="224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5"/>
      <c r="B343" s="5"/>
      <c r="C343" s="5"/>
      <c r="D343" s="5"/>
      <c r="E343" s="223"/>
      <c r="F343" s="9"/>
      <c r="G343" s="223"/>
      <c r="H343" s="224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5"/>
      <c r="B344" s="5"/>
      <c r="C344" s="5"/>
      <c r="D344" s="5"/>
      <c r="E344" s="223"/>
      <c r="F344" s="9"/>
      <c r="G344" s="223"/>
      <c r="H344" s="224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5"/>
      <c r="B345" s="5"/>
      <c r="C345" s="5"/>
      <c r="D345" s="5"/>
      <c r="E345" s="223"/>
      <c r="F345" s="9"/>
      <c r="G345" s="223"/>
      <c r="H345" s="224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5"/>
      <c r="B346" s="5"/>
      <c r="C346" s="5"/>
      <c r="D346" s="5"/>
      <c r="E346" s="223"/>
      <c r="F346" s="9"/>
      <c r="G346" s="223"/>
      <c r="H346" s="224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5"/>
      <c r="B347" s="5"/>
      <c r="C347" s="5"/>
      <c r="D347" s="5"/>
      <c r="E347" s="223"/>
      <c r="F347" s="9"/>
      <c r="G347" s="223"/>
      <c r="H347" s="224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5"/>
      <c r="B348" s="5"/>
      <c r="C348" s="5"/>
      <c r="D348" s="5"/>
      <c r="E348" s="223"/>
      <c r="F348" s="9"/>
      <c r="G348" s="223"/>
      <c r="H348" s="224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5"/>
      <c r="B349" s="5"/>
      <c r="C349" s="5"/>
      <c r="D349" s="5"/>
      <c r="E349" s="223"/>
      <c r="F349" s="9"/>
      <c r="G349" s="223"/>
      <c r="H349" s="224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5"/>
      <c r="B350" s="5"/>
      <c r="C350" s="5"/>
      <c r="D350" s="5"/>
      <c r="E350" s="223"/>
      <c r="F350" s="9"/>
      <c r="G350" s="223"/>
      <c r="H350" s="224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5"/>
      <c r="B351" s="5"/>
      <c r="C351" s="5"/>
      <c r="D351" s="5"/>
      <c r="E351" s="223"/>
      <c r="F351" s="9"/>
      <c r="G351" s="223"/>
      <c r="H351" s="224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5"/>
      <c r="B352" s="5"/>
      <c r="C352" s="5"/>
      <c r="D352" s="5"/>
      <c r="E352" s="223"/>
      <c r="F352" s="9"/>
      <c r="G352" s="223"/>
      <c r="H352" s="224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5"/>
      <c r="B353" s="5"/>
      <c r="C353" s="5"/>
      <c r="D353" s="5"/>
      <c r="E353" s="223"/>
      <c r="F353" s="9"/>
      <c r="G353" s="223"/>
      <c r="H353" s="224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5"/>
      <c r="B354" s="5"/>
      <c r="C354" s="5"/>
      <c r="D354" s="5"/>
      <c r="E354" s="223"/>
      <c r="F354" s="9"/>
      <c r="G354" s="223"/>
      <c r="H354" s="224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5"/>
      <c r="B355" s="5"/>
      <c r="C355" s="5"/>
      <c r="D355" s="5"/>
      <c r="E355" s="223"/>
      <c r="F355" s="9"/>
      <c r="G355" s="223"/>
      <c r="H355" s="224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5"/>
      <c r="B356" s="5"/>
      <c r="C356" s="5"/>
      <c r="D356" s="5"/>
      <c r="E356" s="223"/>
      <c r="F356" s="9"/>
      <c r="G356" s="223"/>
      <c r="H356" s="224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5"/>
      <c r="B357" s="5"/>
      <c r="C357" s="5"/>
      <c r="D357" s="5"/>
      <c r="E357" s="223"/>
      <c r="F357" s="9"/>
      <c r="G357" s="223"/>
      <c r="H357" s="224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5"/>
      <c r="B358" s="5"/>
      <c r="C358" s="5"/>
      <c r="D358" s="5"/>
      <c r="E358" s="223"/>
      <c r="F358" s="9"/>
      <c r="G358" s="223"/>
      <c r="H358" s="224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5"/>
      <c r="B359" s="5"/>
      <c r="C359" s="5"/>
      <c r="D359" s="5"/>
      <c r="E359" s="223"/>
      <c r="F359" s="9"/>
      <c r="G359" s="223"/>
      <c r="H359" s="224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5"/>
      <c r="B360" s="5"/>
      <c r="C360" s="5"/>
      <c r="D360" s="5"/>
      <c r="E360" s="223"/>
      <c r="F360" s="9"/>
      <c r="G360" s="223"/>
      <c r="H360" s="224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5"/>
      <c r="B361" s="5"/>
      <c r="C361" s="5"/>
      <c r="D361" s="5"/>
      <c r="E361" s="223"/>
      <c r="F361" s="9"/>
      <c r="G361" s="223"/>
      <c r="H361" s="224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5"/>
      <c r="B362" s="5"/>
      <c r="C362" s="5"/>
      <c r="D362" s="5"/>
      <c r="E362" s="223"/>
      <c r="F362" s="9"/>
      <c r="G362" s="223"/>
      <c r="H362" s="224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5"/>
      <c r="B363" s="5"/>
      <c r="C363" s="5"/>
      <c r="D363" s="5"/>
      <c r="E363" s="223"/>
      <c r="F363" s="9"/>
      <c r="G363" s="223"/>
      <c r="H363" s="224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5"/>
      <c r="B364" s="5"/>
      <c r="C364" s="5"/>
      <c r="D364" s="5"/>
      <c r="E364" s="223"/>
      <c r="F364" s="9"/>
      <c r="G364" s="223"/>
      <c r="H364" s="224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5"/>
      <c r="B365" s="5"/>
      <c r="C365" s="5"/>
      <c r="D365" s="5"/>
      <c r="E365" s="223"/>
      <c r="F365" s="9"/>
      <c r="G365" s="223"/>
      <c r="H365" s="224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5"/>
      <c r="B366" s="5"/>
      <c r="C366" s="5"/>
      <c r="D366" s="5"/>
      <c r="E366" s="223"/>
      <c r="F366" s="9"/>
      <c r="G366" s="223"/>
      <c r="H366" s="224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5"/>
      <c r="B367" s="5"/>
      <c r="C367" s="5"/>
      <c r="D367" s="5"/>
      <c r="E367" s="223"/>
      <c r="F367" s="9"/>
      <c r="G367" s="223"/>
      <c r="H367" s="224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5"/>
      <c r="B368" s="5"/>
      <c r="C368" s="5"/>
      <c r="D368" s="5"/>
      <c r="E368" s="223"/>
      <c r="F368" s="9"/>
      <c r="G368" s="223"/>
      <c r="H368" s="224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5"/>
      <c r="B369" s="5"/>
      <c r="C369" s="5"/>
      <c r="D369" s="5"/>
      <c r="E369" s="223"/>
      <c r="F369" s="9"/>
      <c r="G369" s="223"/>
      <c r="H369" s="224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5"/>
      <c r="B370" s="5"/>
      <c r="C370" s="5"/>
      <c r="D370" s="5"/>
      <c r="E370" s="223"/>
      <c r="F370" s="9"/>
      <c r="G370" s="223"/>
      <c r="H370" s="224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5"/>
      <c r="B371" s="5"/>
      <c r="C371" s="5"/>
      <c r="D371" s="5"/>
      <c r="E371" s="223"/>
      <c r="F371" s="9"/>
      <c r="G371" s="223"/>
      <c r="H371" s="224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5"/>
      <c r="B372" s="5"/>
      <c r="C372" s="5"/>
      <c r="D372" s="5"/>
      <c r="E372" s="223"/>
      <c r="F372" s="9"/>
      <c r="G372" s="223"/>
      <c r="H372" s="224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5"/>
      <c r="B373" s="5"/>
      <c r="C373" s="5"/>
      <c r="D373" s="5"/>
      <c r="E373" s="223"/>
      <c r="F373" s="9"/>
      <c r="G373" s="223"/>
      <c r="H373" s="224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5"/>
      <c r="B374" s="5"/>
      <c r="C374" s="5"/>
      <c r="D374" s="5"/>
      <c r="E374" s="223"/>
      <c r="F374" s="9"/>
      <c r="G374" s="223"/>
      <c r="H374" s="224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5"/>
      <c r="B375" s="5"/>
      <c r="C375" s="5"/>
      <c r="D375" s="5"/>
      <c r="E375" s="223"/>
      <c r="F375" s="9"/>
      <c r="G375" s="223"/>
      <c r="H375" s="224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5"/>
      <c r="B376" s="5"/>
      <c r="C376" s="5"/>
      <c r="D376" s="5"/>
      <c r="E376" s="223"/>
      <c r="F376" s="9"/>
      <c r="G376" s="223"/>
      <c r="H376" s="224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5"/>
      <c r="B377" s="5"/>
      <c r="C377" s="5"/>
      <c r="D377" s="5"/>
      <c r="E377" s="223"/>
      <c r="F377" s="9"/>
      <c r="G377" s="223"/>
      <c r="H377" s="224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5"/>
      <c r="B378" s="5"/>
      <c r="C378" s="5"/>
      <c r="D378" s="5"/>
      <c r="E378" s="223"/>
      <c r="F378" s="9"/>
      <c r="G378" s="223"/>
      <c r="H378" s="224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5"/>
      <c r="B379" s="5"/>
      <c r="C379" s="5"/>
      <c r="D379" s="5"/>
      <c r="E379" s="223"/>
      <c r="F379" s="9"/>
      <c r="G379" s="223"/>
      <c r="H379" s="224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5"/>
      <c r="B380" s="5"/>
      <c r="C380" s="5"/>
      <c r="D380" s="5"/>
      <c r="E380" s="223"/>
      <c r="F380" s="9"/>
      <c r="G380" s="223"/>
      <c r="H380" s="224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5"/>
      <c r="B381" s="5"/>
      <c r="C381" s="5"/>
      <c r="D381" s="5"/>
      <c r="E381" s="223"/>
      <c r="F381" s="9"/>
      <c r="G381" s="223"/>
      <c r="H381" s="224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5"/>
      <c r="B382" s="5"/>
      <c r="C382" s="5"/>
      <c r="D382" s="5"/>
      <c r="E382" s="223"/>
      <c r="F382" s="9"/>
      <c r="G382" s="223"/>
      <c r="H382" s="224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5"/>
      <c r="B383" s="5"/>
      <c r="C383" s="5"/>
      <c r="D383" s="5"/>
      <c r="E383" s="223"/>
      <c r="F383" s="9"/>
      <c r="G383" s="223"/>
      <c r="H383" s="224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5"/>
      <c r="B384" s="5"/>
      <c r="C384" s="5"/>
      <c r="D384" s="5"/>
      <c r="E384" s="223"/>
      <c r="F384" s="9"/>
      <c r="G384" s="223"/>
      <c r="H384" s="224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5"/>
      <c r="B385" s="5"/>
      <c r="C385" s="5"/>
      <c r="D385" s="5"/>
      <c r="E385" s="223"/>
      <c r="F385" s="9"/>
      <c r="G385" s="223"/>
      <c r="H385" s="224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5"/>
      <c r="B386" s="5"/>
      <c r="C386" s="5"/>
      <c r="D386" s="5"/>
      <c r="E386" s="223"/>
      <c r="F386" s="9"/>
      <c r="G386" s="223"/>
      <c r="H386" s="224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5"/>
      <c r="B387" s="5"/>
      <c r="C387" s="5"/>
      <c r="D387" s="5"/>
      <c r="E387" s="223"/>
      <c r="F387" s="9"/>
      <c r="G387" s="223"/>
      <c r="H387" s="224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5"/>
      <c r="B388" s="5"/>
      <c r="C388" s="5"/>
      <c r="D388" s="5"/>
      <c r="E388" s="223"/>
      <c r="F388" s="9"/>
      <c r="G388" s="223"/>
      <c r="H388" s="224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5"/>
      <c r="B389" s="5"/>
      <c r="C389" s="5"/>
      <c r="D389" s="5"/>
      <c r="E389" s="223"/>
      <c r="F389" s="9"/>
      <c r="G389" s="223"/>
      <c r="H389" s="224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5"/>
      <c r="B390" s="5"/>
      <c r="C390" s="5"/>
      <c r="D390" s="5"/>
      <c r="E390" s="223"/>
      <c r="F390" s="9"/>
      <c r="G390" s="223"/>
      <c r="H390" s="224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5"/>
      <c r="B391" s="5"/>
      <c r="C391" s="5"/>
      <c r="D391" s="5"/>
      <c r="E391" s="223"/>
      <c r="F391" s="9"/>
      <c r="G391" s="223"/>
      <c r="H391" s="224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5"/>
      <c r="B392" s="5"/>
      <c r="C392" s="5"/>
      <c r="D392" s="5"/>
      <c r="E392" s="223"/>
      <c r="F392" s="9"/>
      <c r="G392" s="223"/>
      <c r="H392" s="224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5"/>
      <c r="B393" s="5"/>
      <c r="C393" s="5"/>
      <c r="D393" s="5"/>
      <c r="E393" s="223"/>
      <c r="F393" s="9"/>
      <c r="G393" s="223"/>
      <c r="H393" s="224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5"/>
      <c r="B394" s="5"/>
      <c r="C394" s="5"/>
      <c r="D394" s="5"/>
      <c r="E394" s="223"/>
      <c r="F394" s="9"/>
      <c r="G394" s="223"/>
      <c r="H394" s="224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5"/>
      <c r="B395" s="5"/>
      <c r="C395" s="5"/>
      <c r="D395" s="5"/>
      <c r="E395" s="223"/>
      <c r="F395" s="9"/>
      <c r="G395" s="223"/>
      <c r="H395" s="224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5"/>
      <c r="B396" s="5"/>
      <c r="C396" s="5"/>
      <c r="D396" s="5"/>
      <c r="E396" s="223"/>
      <c r="F396" s="9"/>
      <c r="G396" s="223"/>
      <c r="H396" s="224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5"/>
      <c r="B397" s="5"/>
      <c r="C397" s="5"/>
      <c r="D397" s="5"/>
      <c r="E397" s="223"/>
      <c r="F397" s="9"/>
      <c r="G397" s="223"/>
      <c r="H397" s="224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5"/>
      <c r="B398" s="5"/>
      <c r="C398" s="5"/>
      <c r="D398" s="5"/>
      <c r="E398" s="223"/>
      <c r="F398" s="9"/>
      <c r="G398" s="223"/>
      <c r="H398" s="224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5"/>
      <c r="B399" s="5"/>
      <c r="C399" s="5"/>
      <c r="D399" s="5"/>
      <c r="E399" s="223"/>
      <c r="F399" s="9"/>
      <c r="G399" s="223"/>
      <c r="H399" s="224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5"/>
      <c r="B400" s="5"/>
      <c r="C400" s="5"/>
      <c r="D400" s="5"/>
      <c r="E400" s="223"/>
      <c r="F400" s="9"/>
      <c r="G400" s="223"/>
      <c r="H400" s="224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5"/>
      <c r="B401" s="5"/>
      <c r="C401" s="5"/>
      <c r="D401" s="5"/>
      <c r="E401" s="223"/>
      <c r="F401" s="9"/>
      <c r="G401" s="223"/>
      <c r="H401" s="224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5"/>
      <c r="B402" s="5"/>
      <c r="C402" s="5"/>
      <c r="D402" s="5"/>
      <c r="E402" s="223"/>
      <c r="F402" s="9"/>
      <c r="G402" s="223"/>
      <c r="H402" s="224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5"/>
      <c r="B403" s="5"/>
      <c r="C403" s="5"/>
      <c r="D403" s="5"/>
      <c r="E403" s="223"/>
      <c r="F403" s="9"/>
      <c r="G403" s="223"/>
      <c r="H403" s="224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5"/>
      <c r="B404" s="5"/>
      <c r="C404" s="5"/>
      <c r="D404" s="5"/>
      <c r="E404" s="223"/>
      <c r="F404" s="9"/>
      <c r="G404" s="223"/>
      <c r="H404" s="224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5"/>
      <c r="B405" s="5"/>
      <c r="C405" s="5"/>
      <c r="D405" s="5"/>
      <c r="E405" s="223"/>
      <c r="F405" s="9"/>
      <c r="G405" s="223"/>
      <c r="H405" s="224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5"/>
      <c r="B406" s="5"/>
      <c r="C406" s="5"/>
      <c r="D406" s="5"/>
      <c r="E406" s="223"/>
      <c r="F406" s="9"/>
      <c r="G406" s="223"/>
      <c r="H406" s="224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5"/>
      <c r="B407" s="5"/>
      <c r="C407" s="5"/>
      <c r="D407" s="5"/>
      <c r="E407" s="223"/>
      <c r="F407" s="9"/>
      <c r="G407" s="223"/>
      <c r="H407" s="224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5"/>
      <c r="B408" s="5"/>
      <c r="C408" s="5"/>
      <c r="D408" s="5"/>
      <c r="E408" s="223"/>
      <c r="F408" s="9"/>
      <c r="G408" s="223"/>
      <c r="H408" s="224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5"/>
      <c r="B409" s="5"/>
      <c r="C409" s="5"/>
      <c r="D409" s="5"/>
      <c r="E409" s="223"/>
      <c r="F409" s="9"/>
      <c r="G409" s="223"/>
      <c r="H409" s="224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5"/>
      <c r="B410" s="5"/>
      <c r="C410" s="5"/>
      <c r="D410" s="5"/>
      <c r="E410" s="223"/>
      <c r="F410" s="9"/>
      <c r="G410" s="223"/>
      <c r="H410" s="224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5"/>
      <c r="B411" s="5"/>
      <c r="C411" s="5"/>
      <c r="D411" s="5"/>
      <c r="E411" s="223"/>
      <c r="F411" s="9"/>
      <c r="G411" s="223"/>
      <c r="H411" s="224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5"/>
      <c r="B412" s="5"/>
      <c r="C412" s="5"/>
      <c r="D412" s="5"/>
      <c r="E412" s="223"/>
      <c r="F412" s="9"/>
      <c r="G412" s="223"/>
      <c r="H412" s="224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5"/>
      <c r="B413" s="5"/>
      <c r="C413" s="5"/>
      <c r="D413" s="5"/>
      <c r="E413" s="223"/>
      <c r="F413" s="9"/>
      <c r="G413" s="223"/>
      <c r="H413" s="224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5"/>
      <c r="B414" s="5"/>
      <c r="C414" s="5"/>
      <c r="D414" s="5"/>
      <c r="E414" s="223"/>
      <c r="F414" s="9"/>
      <c r="G414" s="223"/>
      <c r="H414" s="224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5"/>
      <c r="B415" s="5"/>
      <c r="C415" s="5"/>
      <c r="D415" s="5"/>
      <c r="E415" s="223"/>
      <c r="F415" s="9"/>
      <c r="G415" s="223"/>
      <c r="H415" s="224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5"/>
      <c r="B416" s="5"/>
      <c r="C416" s="5"/>
      <c r="D416" s="5"/>
      <c r="E416" s="223"/>
      <c r="F416" s="9"/>
      <c r="G416" s="223"/>
      <c r="H416" s="224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5"/>
      <c r="B417" s="5"/>
      <c r="C417" s="5"/>
      <c r="D417" s="5"/>
      <c r="E417" s="223"/>
      <c r="F417" s="9"/>
      <c r="G417" s="223"/>
      <c r="H417" s="224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5"/>
      <c r="B418" s="5"/>
      <c r="C418" s="5"/>
      <c r="D418" s="5"/>
      <c r="E418" s="223"/>
      <c r="F418" s="9"/>
      <c r="G418" s="223"/>
      <c r="H418" s="224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5"/>
      <c r="B419" s="5"/>
      <c r="C419" s="5"/>
      <c r="D419" s="5"/>
      <c r="E419" s="223"/>
      <c r="F419" s="9"/>
      <c r="G419" s="223"/>
      <c r="H419" s="224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5"/>
      <c r="B420" s="5"/>
      <c r="C420" s="5"/>
      <c r="D420" s="5"/>
      <c r="E420" s="223"/>
      <c r="F420" s="9"/>
      <c r="G420" s="223"/>
      <c r="H420" s="224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5"/>
      <c r="B421" s="5"/>
      <c r="C421" s="5"/>
      <c r="D421" s="5"/>
      <c r="E421" s="223"/>
      <c r="F421" s="9"/>
      <c r="G421" s="223"/>
      <c r="H421" s="224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5"/>
      <c r="B422" s="5"/>
      <c r="C422" s="5"/>
      <c r="D422" s="5"/>
      <c r="E422" s="223"/>
      <c r="F422" s="9"/>
      <c r="G422" s="223"/>
      <c r="H422" s="224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5"/>
      <c r="B423" s="5"/>
      <c r="C423" s="5"/>
      <c r="D423" s="5"/>
      <c r="E423" s="223"/>
      <c r="F423" s="9"/>
      <c r="G423" s="223"/>
      <c r="H423" s="224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5"/>
      <c r="B424" s="5"/>
      <c r="C424" s="5"/>
      <c r="D424" s="5"/>
      <c r="E424" s="223"/>
      <c r="F424" s="9"/>
      <c r="G424" s="223"/>
      <c r="H424" s="224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5"/>
      <c r="B425" s="5"/>
      <c r="C425" s="5"/>
      <c r="D425" s="5"/>
      <c r="E425" s="223"/>
      <c r="F425" s="9"/>
      <c r="G425" s="223"/>
      <c r="H425" s="224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5"/>
      <c r="B426" s="5"/>
      <c r="C426" s="5"/>
      <c r="D426" s="5"/>
      <c r="E426" s="223"/>
      <c r="F426" s="9"/>
      <c r="G426" s="223"/>
      <c r="H426" s="224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5"/>
      <c r="B427" s="5"/>
      <c r="C427" s="5"/>
      <c r="D427" s="5"/>
      <c r="E427" s="223"/>
      <c r="F427" s="9"/>
      <c r="G427" s="223"/>
      <c r="H427" s="224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5"/>
      <c r="B428" s="5"/>
      <c r="C428" s="5"/>
      <c r="D428" s="5"/>
      <c r="E428" s="223"/>
      <c r="F428" s="9"/>
      <c r="G428" s="223"/>
      <c r="H428" s="224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5"/>
      <c r="B429" s="5"/>
      <c r="C429" s="5"/>
      <c r="D429" s="5"/>
      <c r="E429" s="223"/>
      <c r="F429" s="9"/>
      <c r="G429" s="223"/>
      <c r="H429" s="224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5"/>
      <c r="B430" s="5"/>
      <c r="C430" s="5"/>
      <c r="D430" s="5"/>
      <c r="E430" s="223"/>
      <c r="F430" s="9"/>
      <c r="G430" s="223"/>
      <c r="H430" s="224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5"/>
      <c r="B431" s="5"/>
      <c r="C431" s="5"/>
      <c r="D431" s="5"/>
      <c r="E431" s="223"/>
      <c r="F431" s="9"/>
      <c r="G431" s="223"/>
      <c r="H431" s="224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5"/>
      <c r="B432" s="5"/>
      <c r="C432" s="5"/>
      <c r="D432" s="5"/>
      <c r="E432" s="223"/>
      <c r="F432" s="9"/>
      <c r="G432" s="223"/>
      <c r="H432" s="224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5"/>
      <c r="B433" s="5"/>
      <c r="C433" s="5"/>
      <c r="D433" s="5"/>
      <c r="E433" s="223"/>
      <c r="F433" s="9"/>
      <c r="G433" s="223"/>
      <c r="H433" s="224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5"/>
      <c r="B434" s="5"/>
      <c r="C434" s="5"/>
      <c r="D434" s="5"/>
      <c r="E434" s="223"/>
      <c r="F434" s="9"/>
      <c r="G434" s="223"/>
      <c r="H434" s="224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5"/>
      <c r="B435" s="5"/>
      <c r="C435" s="5"/>
      <c r="D435" s="5"/>
      <c r="E435" s="223"/>
      <c r="F435" s="9"/>
      <c r="G435" s="223"/>
      <c r="H435" s="224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5"/>
      <c r="B436" s="5"/>
      <c r="C436" s="5"/>
      <c r="D436" s="5"/>
      <c r="E436" s="223"/>
      <c r="F436" s="9"/>
      <c r="G436" s="223"/>
      <c r="H436" s="224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5"/>
      <c r="B437" s="5"/>
      <c r="C437" s="5"/>
      <c r="D437" s="5"/>
      <c r="E437" s="223"/>
      <c r="F437" s="9"/>
      <c r="G437" s="223"/>
      <c r="H437" s="224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5"/>
      <c r="B438" s="5"/>
      <c r="C438" s="5"/>
      <c r="D438" s="5"/>
      <c r="E438" s="223"/>
      <c r="F438" s="9"/>
      <c r="G438" s="223"/>
      <c r="H438" s="224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5"/>
      <c r="B439" s="5"/>
      <c r="C439" s="5"/>
      <c r="D439" s="5"/>
      <c r="E439" s="223"/>
      <c r="F439" s="9"/>
      <c r="G439" s="223"/>
      <c r="H439" s="224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5"/>
      <c r="B440" s="5"/>
      <c r="C440" s="5"/>
      <c r="D440" s="5"/>
      <c r="E440" s="223"/>
      <c r="F440" s="9"/>
      <c r="G440" s="223"/>
      <c r="H440" s="224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5"/>
      <c r="B441" s="5"/>
      <c r="C441" s="5"/>
      <c r="D441" s="5"/>
      <c r="E441" s="223"/>
      <c r="F441" s="9"/>
      <c r="G441" s="223"/>
      <c r="H441" s="224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5"/>
      <c r="B442" s="5"/>
      <c r="C442" s="5"/>
      <c r="D442" s="5"/>
      <c r="E442" s="223"/>
      <c r="F442" s="9"/>
      <c r="G442" s="223"/>
      <c r="H442" s="224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5"/>
      <c r="B443" s="5"/>
      <c r="C443" s="5"/>
      <c r="D443" s="5"/>
      <c r="E443" s="223"/>
      <c r="F443" s="9"/>
      <c r="G443" s="223"/>
      <c r="H443" s="224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5"/>
      <c r="B444" s="5"/>
      <c r="C444" s="5"/>
      <c r="D444" s="5"/>
      <c r="E444" s="223"/>
      <c r="F444" s="9"/>
      <c r="G444" s="223"/>
      <c r="H444" s="224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5"/>
      <c r="B445" s="5"/>
      <c r="C445" s="5"/>
      <c r="D445" s="5"/>
      <c r="E445" s="223"/>
      <c r="F445" s="9"/>
      <c r="G445" s="223"/>
      <c r="H445" s="224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5"/>
      <c r="B446" s="5"/>
      <c r="C446" s="5"/>
      <c r="D446" s="5"/>
      <c r="E446" s="223"/>
      <c r="F446" s="9"/>
      <c r="G446" s="223"/>
      <c r="H446" s="224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5"/>
      <c r="B447" s="5"/>
      <c r="C447" s="5"/>
      <c r="D447" s="5"/>
      <c r="E447" s="223"/>
      <c r="F447" s="9"/>
      <c r="G447" s="223"/>
      <c r="H447" s="224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5"/>
      <c r="B448" s="5"/>
      <c r="C448" s="5"/>
      <c r="D448" s="5"/>
      <c r="E448" s="223"/>
      <c r="F448" s="9"/>
      <c r="G448" s="223"/>
      <c r="H448" s="224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5"/>
      <c r="B449" s="5"/>
      <c r="C449" s="5"/>
      <c r="D449" s="5"/>
      <c r="E449" s="223"/>
      <c r="F449" s="9"/>
      <c r="G449" s="223"/>
      <c r="H449" s="224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5"/>
      <c r="B450" s="5"/>
      <c r="C450" s="5"/>
      <c r="D450" s="5"/>
      <c r="E450" s="223"/>
      <c r="F450" s="9"/>
      <c r="G450" s="223"/>
      <c r="H450" s="224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5"/>
      <c r="B451" s="5"/>
      <c r="C451" s="5"/>
      <c r="D451" s="5"/>
      <c r="E451" s="223"/>
      <c r="F451" s="9"/>
      <c r="G451" s="223"/>
      <c r="H451" s="224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5"/>
      <c r="B452" s="5"/>
      <c r="C452" s="5"/>
      <c r="D452" s="5"/>
      <c r="E452" s="223"/>
      <c r="F452" s="9"/>
      <c r="G452" s="223"/>
      <c r="H452" s="224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5"/>
      <c r="B453" s="5"/>
      <c r="C453" s="5"/>
      <c r="D453" s="5"/>
      <c r="E453" s="223"/>
      <c r="F453" s="9"/>
      <c r="G453" s="223"/>
      <c r="H453" s="224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5"/>
      <c r="B454" s="5"/>
      <c r="C454" s="5"/>
      <c r="D454" s="5"/>
      <c r="E454" s="223"/>
      <c r="F454" s="9"/>
      <c r="G454" s="223"/>
      <c r="H454" s="224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5"/>
      <c r="B455" s="5"/>
      <c r="C455" s="5"/>
      <c r="D455" s="5"/>
      <c r="E455" s="223"/>
      <c r="F455" s="9"/>
      <c r="G455" s="223"/>
      <c r="H455" s="224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5"/>
      <c r="B456" s="5"/>
      <c r="C456" s="5"/>
      <c r="D456" s="5"/>
      <c r="E456" s="223"/>
      <c r="F456" s="9"/>
      <c r="G456" s="223"/>
      <c r="H456" s="224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5"/>
      <c r="B457" s="5"/>
      <c r="C457" s="5"/>
      <c r="D457" s="5"/>
      <c r="E457" s="223"/>
      <c r="F457" s="9"/>
      <c r="G457" s="223"/>
      <c r="H457" s="224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5"/>
      <c r="B458" s="5"/>
      <c r="C458" s="5"/>
      <c r="D458" s="5"/>
      <c r="E458" s="223"/>
      <c r="F458" s="9"/>
      <c r="G458" s="223"/>
      <c r="H458" s="224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5"/>
      <c r="B459" s="5"/>
      <c r="C459" s="5"/>
      <c r="D459" s="5"/>
      <c r="E459" s="223"/>
      <c r="F459" s="9"/>
      <c r="G459" s="223"/>
      <c r="H459" s="224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5"/>
      <c r="B460" s="5"/>
      <c r="C460" s="5"/>
      <c r="D460" s="5"/>
      <c r="E460" s="223"/>
      <c r="F460" s="9"/>
      <c r="G460" s="223"/>
      <c r="H460" s="224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5"/>
      <c r="B461" s="5"/>
      <c r="C461" s="5"/>
      <c r="D461" s="5"/>
      <c r="E461" s="223"/>
      <c r="F461" s="9"/>
      <c r="G461" s="223"/>
      <c r="H461" s="224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5"/>
      <c r="B462" s="5"/>
      <c r="C462" s="5"/>
      <c r="D462" s="5"/>
      <c r="E462" s="223"/>
      <c r="F462" s="9"/>
      <c r="G462" s="223"/>
      <c r="H462" s="224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5"/>
      <c r="B463" s="5"/>
      <c r="C463" s="5"/>
      <c r="D463" s="5"/>
      <c r="E463" s="223"/>
      <c r="F463" s="9"/>
      <c r="G463" s="223"/>
      <c r="H463" s="224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5"/>
      <c r="B464" s="5"/>
      <c r="C464" s="5"/>
      <c r="D464" s="5"/>
      <c r="E464" s="223"/>
      <c r="F464" s="9"/>
      <c r="G464" s="223"/>
      <c r="H464" s="224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5"/>
      <c r="B465" s="5"/>
      <c r="C465" s="5"/>
      <c r="D465" s="5"/>
      <c r="E465" s="223"/>
      <c r="F465" s="9"/>
      <c r="G465" s="223"/>
      <c r="H465" s="224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5"/>
      <c r="B466" s="5"/>
      <c r="C466" s="5"/>
      <c r="D466" s="5"/>
      <c r="E466" s="223"/>
      <c r="F466" s="9"/>
      <c r="G466" s="223"/>
      <c r="H466" s="224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5"/>
      <c r="B467" s="5"/>
      <c r="C467" s="5"/>
      <c r="D467" s="5"/>
      <c r="E467" s="223"/>
      <c r="F467" s="9"/>
      <c r="G467" s="223"/>
      <c r="H467" s="224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5"/>
      <c r="B468" s="5"/>
      <c r="C468" s="5"/>
      <c r="D468" s="5"/>
      <c r="E468" s="223"/>
      <c r="F468" s="9"/>
      <c r="G468" s="223"/>
      <c r="H468" s="224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5"/>
      <c r="B469" s="5"/>
      <c r="C469" s="5"/>
      <c r="D469" s="5"/>
      <c r="E469" s="223"/>
      <c r="F469" s="9"/>
      <c r="G469" s="223"/>
      <c r="H469" s="224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5"/>
      <c r="B470" s="5"/>
      <c r="C470" s="5"/>
      <c r="D470" s="5"/>
      <c r="E470" s="223"/>
      <c r="F470" s="9"/>
      <c r="G470" s="223"/>
      <c r="H470" s="224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5"/>
      <c r="B471" s="5"/>
      <c r="C471" s="5"/>
      <c r="D471" s="5"/>
      <c r="E471" s="223"/>
      <c r="F471" s="9"/>
      <c r="G471" s="223"/>
      <c r="H471" s="224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5"/>
      <c r="B472" s="5"/>
      <c r="C472" s="5"/>
      <c r="D472" s="5"/>
      <c r="E472" s="223"/>
      <c r="F472" s="9"/>
      <c r="G472" s="223"/>
      <c r="H472" s="224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5"/>
      <c r="B473" s="5"/>
      <c r="C473" s="5"/>
      <c r="D473" s="5"/>
      <c r="E473" s="223"/>
      <c r="F473" s="9"/>
      <c r="G473" s="223"/>
      <c r="H473" s="224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5"/>
      <c r="B474" s="5"/>
      <c r="C474" s="5"/>
      <c r="D474" s="5"/>
      <c r="E474" s="223"/>
      <c r="F474" s="9"/>
      <c r="G474" s="223"/>
      <c r="H474" s="224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5"/>
      <c r="B475" s="5"/>
      <c r="C475" s="5"/>
      <c r="D475" s="5"/>
      <c r="E475" s="223"/>
      <c r="F475" s="9"/>
      <c r="G475" s="223"/>
      <c r="H475" s="224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5"/>
      <c r="B476" s="5"/>
      <c r="C476" s="5"/>
      <c r="D476" s="5"/>
      <c r="E476" s="223"/>
      <c r="F476" s="9"/>
      <c r="G476" s="223"/>
      <c r="H476" s="224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5"/>
      <c r="B477" s="5"/>
      <c r="C477" s="5"/>
      <c r="D477" s="5"/>
      <c r="E477" s="223"/>
      <c r="F477" s="9"/>
      <c r="G477" s="223"/>
      <c r="H477" s="224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5"/>
      <c r="B478" s="5"/>
      <c r="C478" s="5"/>
      <c r="D478" s="5"/>
      <c r="E478" s="223"/>
      <c r="F478" s="9"/>
      <c r="G478" s="223"/>
      <c r="H478" s="224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5"/>
      <c r="B479" s="5"/>
      <c r="C479" s="5"/>
      <c r="D479" s="5"/>
      <c r="E479" s="223"/>
      <c r="F479" s="9"/>
      <c r="G479" s="223"/>
      <c r="H479" s="224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5"/>
      <c r="B480" s="5"/>
      <c r="C480" s="5"/>
      <c r="D480" s="5"/>
      <c r="E480" s="223"/>
      <c r="F480" s="9"/>
      <c r="G480" s="223"/>
      <c r="H480" s="224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5"/>
      <c r="B481" s="5"/>
      <c r="C481" s="5"/>
      <c r="D481" s="5"/>
      <c r="E481" s="223"/>
      <c r="F481" s="9"/>
      <c r="G481" s="223"/>
      <c r="H481" s="224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5"/>
      <c r="B482" s="5"/>
      <c r="C482" s="5"/>
      <c r="D482" s="5"/>
      <c r="E482" s="223"/>
      <c r="F482" s="9"/>
      <c r="G482" s="223"/>
      <c r="H482" s="224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5"/>
      <c r="B483" s="5"/>
      <c r="C483" s="5"/>
      <c r="D483" s="5"/>
      <c r="E483" s="223"/>
      <c r="F483" s="9"/>
      <c r="G483" s="223"/>
      <c r="H483" s="224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5"/>
      <c r="B484" s="5"/>
      <c r="C484" s="5"/>
      <c r="D484" s="5"/>
      <c r="E484" s="223"/>
      <c r="F484" s="9"/>
      <c r="G484" s="223"/>
      <c r="H484" s="224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5"/>
      <c r="B485" s="5"/>
      <c r="C485" s="5"/>
      <c r="D485" s="5"/>
      <c r="E485" s="223"/>
      <c r="F485" s="9"/>
      <c r="G485" s="223"/>
      <c r="H485" s="224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5"/>
      <c r="B486" s="5"/>
      <c r="C486" s="5"/>
      <c r="D486" s="5"/>
      <c r="E486" s="223"/>
      <c r="F486" s="9"/>
      <c r="G486" s="223"/>
      <c r="H486" s="224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5"/>
      <c r="B487" s="5"/>
      <c r="C487" s="5"/>
      <c r="D487" s="5"/>
      <c r="E487" s="223"/>
      <c r="F487" s="9"/>
      <c r="G487" s="223"/>
      <c r="H487" s="224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5"/>
      <c r="B488" s="5"/>
      <c r="C488" s="5"/>
      <c r="D488" s="5"/>
      <c r="E488" s="223"/>
      <c r="F488" s="9"/>
      <c r="G488" s="223"/>
      <c r="H488" s="224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5"/>
      <c r="B489" s="5"/>
      <c r="C489" s="5"/>
      <c r="D489" s="5"/>
      <c r="E489" s="223"/>
      <c r="F489" s="9"/>
      <c r="G489" s="223"/>
      <c r="H489" s="224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5"/>
      <c r="B490" s="5"/>
      <c r="C490" s="5"/>
      <c r="D490" s="5"/>
      <c r="E490" s="223"/>
      <c r="F490" s="9"/>
      <c r="G490" s="223"/>
      <c r="H490" s="224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5"/>
      <c r="B491" s="5"/>
      <c r="C491" s="5"/>
      <c r="D491" s="5"/>
      <c r="E491" s="223"/>
      <c r="F491" s="9"/>
      <c r="G491" s="223"/>
      <c r="H491" s="224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5"/>
      <c r="B492" s="5"/>
      <c r="C492" s="5"/>
      <c r="D492" s="5"/>
      <c r="E492" s="223"/>
      <c r="F492" s="9"/>
      <c r="G492" s="223"/>
      <c r="H492" s="224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5"/>
      <c r="B493" s="5"/>
      <c r="C493" s="5"/>
      <c r="D493" s="5"/>
      <c r="E493" s="223"/>
      <c r="F493" s="9"/>
      <c r="G493" s="223"/>
      <c r="H493" s="224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5"/>
      <c r="B494" s="5"/>
      <c r="C494" s="5"/>
      <c r="D494" s="5"/>
      <c r="E494" s="223"/>
      <c r="F494" s="9"/>
      <c r="G494" s="223"/>
      <c r="H494" s="224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5"/>
      <c r="B495" s="5"/>
      <c r="C495" s="5"/>
      <c r="D495" s="5"/>
      <c r="E495" s="223"/>
      <c r="F495" s="9"/>
      <c r="G495" s="223"/>
      <c r="H495" s="224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5"/>
      <c r="B496" s="5"/>
      <c r="C496" s="5"/>
      <c r="D496" s="5"/>
      <c r="E496" s="223"/>
      <c r="F496" s="9"/>
      <c r="G496" s="223"/>
      <c r="H496" s="224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5"/>
      <c r="B497" s="5"/>
      <c r="C497" s="5"/>
      <c r="D497" s="5"/>
      <c r="E497" s="223"/>
      <c r="F497" s="9"/>
      <c r="G497" s="223"/>
      <c r="H497" s="224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5"/>
      <c r="B498" s="5"/>
      <c r="C498" s="5"/>
      <c r="D498" s="5"/>
      <c r="E498" s="223"/>
      <c r="F498" s="9"/>
      <c r="G498" s="223"/>
      <c r="H498" s="224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5"/>
      <c r="B499" s="5"/>
      <c r="C499" s="5"/>
      <c r="D499" s="5"/>
      <c r="E499" s="223"/>
      <c r="F499" s="9"/>
      <c r="G499" s="223"/>
      <c r="H499" s="224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5"/>
      <c r="B500" s="5"/>
      <c r="C500" s="5"/>
      <c r="D500" s="5"/>
      <c r="E500" s="223"/>
      <c r="F500" s="9"/>
      <c r="G500" s="223"/>
      <c r="H500" s="224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5"/>
      <c r="B501" s="5"/>
      <c r="C501" s="5"/>
      <c r="D501" s="5"/>
      <c r="E501" s="223"/>
      <c r="F501" s="9"/>
      <c r="G501" s="223"/>
      <c r="H501" s="224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5"/>
      <c r="B502" s="5"/>
      <c r="C502" s="5"/>
      <c r="D502" s="5"/>
      <c r="E502" s="223"/>
      <c r="F502" s="9"/>
      <c r="G502" s="223"/>
      <c r="H502" s="224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5"/>
      <c r="B503" s="5"/>
      <c r="C503" s="5"/>
      <c r="D503" s="5"/>
      <c r="E503" s="223"/>
      <c r="F503" s="9"/>
      <c r="G503" s="223"/>
      <c r="H503" s="224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5"/>
      <c r="B504" s="5"/>
      <c r="C504" s="5"/>
      <c r="D504" s="5"/>
      <c r="E504" s="223"/>
      <c r="F504" s="9"/>
      <c r="G504" s="223"/>
      <c r="H504" s="224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5"/>
      <c r="B505" s="5"/>
      <c r="C505" s="5"/>
      <c r="D505" s="5"/>
      <c r="E505" s="223"/>
      <c r="F505" s="9"/>
      <c r="G505" s="223"/>
      <c r="H505" s="224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5"/>
      <c r="B506" s="5"/>
      <c r="C506" s="5"/>
      <c r="D506" s="5"/>
      <c r="E506" s="223"/>
      <c r="F506" s="9"/>
      <c r="G506" s="223"/>
      <c r="H506" s="224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5"/>
      <c r="B507" s="5"/>
      <c r="C507" s="5"/>
      <c r="D507" s="5"/>
      <c r="E507" s="223"/>
      <c r="F507" s="9"/>
      <c r="G507" s="223"/>
      <c r="H507" s="224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5"/>
      <c r="B508" s="5"/>
      <c r="C508" s="5"/>
      <c r="D508" s="5"/>
      <c r="E508" s="223"/>
      <c r="F508" s="9"/>
      <c r="G508" s="223"/>
      <c r="H508" s="224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5"/>
      <c r="B509" s="5"/>
      <c r="C509" s="5"/>
      <c r="D509" s="5"/>
      <c r="E509" s="223"/>
      <c r="F509" s="9"/>
      <c r="G509" s="223"/>
      <c r="H509" s="224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5"/>
      <c r="B510" s="5"/>
      <c r="C510" s="5"/>
      <c r="D510" s="5"/>
      <c r="E510" s="223"/>
      <c r="F510" s="9"/>
      <c r="G510" s="223"/>
      <c r="H510" s="224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5"/>
      <c r="B511" s="5"/>
      <c r="C511" s="5"/>
      <c r="D511" s="5"/>
      <c r="E511" s="223"/>
      <c r="F511" s="9"/>
      <c r="G511" s="223"/>
      <c r="H511" s="224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5"/>
      <c r="B512" s="5"/>
      <c r="C512" s="5"/>
      <c r="D512" s="5"/>
      <c r="E512" s="223"/>
      <c r="F512" s="9"/>
      <c r="G512" s="223"/>
      <c r="H512" s="224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5"/>
      <c r="B513" s="5"/>
      <c r="C513" s="5"/>
      <c r="D513" s="5"/>
      <c r="E513" s="223"/>
      <c r="F513" s="9"/>
      <c r="G513" s="223"/>
      <c r="H513" s="224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5"/>
      <c r="B514" s="5"/>
      <c r="C514" s="5"/>
      <c r="D514" s="5"/>
      <c r="E514" s="223"/>
      <c r="F514" s="9"/>
      <c r="G514" s="223"/>
      <c r="H514" s="224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5"/>
      <c r="B515" s="5"/>
      <c r="C515" s="5"/>
      <c r="D515" s="5"/>
      <c r="E515" s="223"/>
      <c r="F515" s="9"/>
      <c r="G515" s="223"/>
      <c r="H515" s="224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5"/>
      <c r="B516" s="5"/>
      <c r="C516" s="5"/>
      <c r="D516" s="5"/>
      <c r="E516" s="223"/>
      <c r="F516" s="9"/>
      <c r="G516" s="223"/>
      <c r="H516" s="224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5"/>
      <c r="B517" s="5"/>
      <c r="C517" s="5"/>
      <c r="D517" s="5"/>
      <c r="E517" s="223"/>
      <c r="F517" s="9"/>
      <c r="G517" s="223"/>
      <c r="H517" s="224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5"/>
      <c r="B518" s="5"/>
      <c r="C518" s="5"/>
      <c r="D518" s="5"/>
      <c r="E518" s="223"/>
      <c r="F518" s="9"/>
      <c r="G518" s="223"/>
      <c r="H518" s="224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5"/>
      <c r="B519" s="5"/>
      <c r="C519" s="5"/>
      <c r="D519" s="5"/>
      <c r="E519" s="223"/>
      <c r="F519" s="9"/>
      <c r="G519" s="223"/>
      <c r="H519" s="224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5"/>
      <c r="B520" s="5"/>
      <c r="C520" s="5"/>
      <c r="D520" s="5"/>
      <c r="E520" s="223"/>
      <c r="F520" s="9"/>
      <c r="G520" s="223"/>
      <c r="H520" s="224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5"/>
      <c r="B521" s="5"/>
      <c r="C521" s="5"/>
      <c r="D521" s="5"/>
      <c r="E521" s="223"/>
      <c r="F521" s="9"/>
      <c r="G521" s="223"/>
      <c r="H521" s="224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5"/>
      <c r="B522" s="5"/>
      <c r="C522" s="5"/>
      <c r="D522" s="5"/>
      <c r="E522" s="223"/>
      <c r="F522" s="9"/>
      <c r="G522" s="223"/>
      <c r="H522" s="224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5"/>
      <c r="B523" s="5"/>
      <c r="C523" s="5"/>
      <c r="D523" s="5"/>
      <c r="E523" s="223"/>
      <c r="F523" s="9"/>
      <c r="G523" s="223"/>
      <c r="H523" s="224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5"/>
      <c r="B524" s="5"/>
      <c r="C524" s="5"/>
      <c r="D524" s="5"/>
      <c r="E524" s="223"/>
      <c r="F524" s="9"/>
      <c r="G524" s="223"/>
      <c r="H524" s="224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5"/>
      <c r="B525" s="5"/>
      <c r="C525" s="5"/>
      <c r="D525" s="5"/>
      <c r="E525" s="223"/>
      <c r="F525" s="9"/>
      <c r="G525" s="223"/>
      <c r="H525" s="224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5"/>
      <c r="B526" s="5"/>
      <c r="C526" s="5"/>
      <c r="D526" s="5"/>
      <c r="E526" s="223"/>
      <c r="F526" s="9"/>
      <c r="G526" s="223"/>
      <c r="H526" s="224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5"/>
      <c r="B527" s="5"/>
      <c r="C527" s="5"/>
      <c r="D527" s="5"/>
      <c r="E527" s="223"/>
      <c r="F527" s="9"/>
      <c r="G527" s="223"/>
      <c r="H527" s="224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5"/>
      <c r="B528" s="5"/>
      <c r="C528" s="5"/>
      <c r="D528" s="5"/>
      <c r="E528" s="223"/>
      <c r="F528" s="9"/>
      <c r="G528" s="223"/>
      <c r="H528" s="224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5"/>
      <c r="B529" s="5"/>
      <c r="C529" s="5"/>
      <c r="D529" s="5"/>
      <c r="E529" s="223"/>
      <c r="F529" s="9"/>
      <c r="G529" s="223"/>
      <c r="H529" s="224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5"/>
      <c r="B530" s="5"/>
      <c r="C530" s="5"/>
      <c r="D530" s="5"/>
      <c r="E530" s="223"/>
      <c r="F530" s="9"/>
      <c r="G530" s="223"/>
      <c r="H530" s="224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5"/>
      <c r="B531" s="5"/>
      <c r="C531" s="5"/>
      <c r="D531" s="5"/>
      <c r="E531" s="223"/>
      <c r="F531" s="9"/>
      <c r="G531" s="223"/>
      <c r="H531" s="224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5"/>
      <c r="B532" s="5"/>
      <c r="C532" s="5"/>
      <c r="D532" s="5"/>
      <c r="E532" s="223"/>
      <c r="F532" s="9"/>
      <c r="G532" s="223"/>
      <c r="H532" s="224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5"/>
      <c r="B533" s="5"/>
      <c r="C533" s="5"/>
      <c r="D533" s="5"/>
      <c r="E533" s="223"/>
      <c r="F533" s="9"/>
      <c r="G533" s="223"/>
      <c r="H533" s="224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5"/>
      <c r="B534" s="5"/>
      <c r="C534" s="5"/>
      <c r="D534" s="5"/>
      <c r="E534" s="223"/>
      <c r="F534" s="9"/>
      <c r="G534" s="223"/>
      <c r="H534" s="224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5"/>
      <c r="B535" s="5"/>
      <c r="C535" s="5"/>
      <c r="D535" s="5"/>
      <c r="E535" s="223"/>
      <c r="F535" s="9"/>
      <c r="G535" s="223"/>
      <c r="H535" s="224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5"/>
      <c r="B536" s="5"/>
      <c r="C536" s="5"/>
      <c r="D536" s="5"/>
      <c r="E536" s="223"/>
      <c r="F536" s="9"/>
      <c r="G536" s="223"/>
      <c r="H536" s="224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5"/>
      <c r="B537" s="5"/>
      <c r="C537" s="5"/>
      <c r="D537" s="5"/>
      <c r="E537" s="223"/>
      <c r="F537" s="9"/>
      <c r="G537" s="223"/>
      <c r="H537" s="224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5"/>
      <c r="B538" s="5"/>
      <c r="C538" s="5"/>
      <c r="D538" s="5"/>
      <c r="E538" s="223"/>
      <c r="F538" s="9"/>
      <c r="G538" s="223"/>
      <c r="H538" s="224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5"/>
      <c r="B539" s="5"/>
      <c r="C539" s="5"/>
      <c r="D539" s="5"/>
      <c r="E539" s="223"/>
      <c r="F539" s="9"/>
      <c r="G539" s="223"/>
      <c r="H539" s="224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5"/>
      <c r="B540" s="5"/>
      <c r="C540" s="5"/>
      <c r="D540" s="5"/>
      <c r="E540" s="223"/>
      <c r="F540" s="9"/>
      <c r="G540" s="223"/>
      <c r="H540" s="224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5"/>
      <c r="B541" s="5"/>
      <c r="C541" s="5"/>
      <c r="D541" s="5"/>
      <c r="E541" s="223"/>
      <c r="F541" s="9"/>
      <c r="G541" s="223"/>
      <c r="H541" s="224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5"/>
      <c r="B542" s="5"/>
      <c r="C542" s="5"/>
      <c r="D542" s="5"/>
      <c r="E542" s="223"/>
      <c r="F542" s="9"/>
      <c r="G542" s="223"/>
      <c r="H542" s="224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5"/>
      <c r="B543" s="5"/>
      <c r="C543" s="5"/>
      <c r="D543" s="5"/>
      <c r="E543" s="223"/>
      <c r="F543" s="9"/>
      <c r="G543" s="223"/>
      <c r="H543" s="224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5"/>
      <c r="B544" s="5"/>
      <c r="C544" s="5"/>
      <c r="D544" s="5"/>
      <c r="E544" s="223"/>
      <c r="F544" s="9"/>
      <c r="G544" s="223"/>
      <c r="H544" s="224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5"/>
      <c r="B545" s="5"/>
      <c r="C545" s="5"/>
      <c r="D545" s="5"/>
      <c r="E545" s="223"/>
      <c r="F545" s="9"/>
      <c r="G545" s="223"/>
      <c r="H545" s="224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5"/>
      <c r="B546" s="5"/>
      <c r="C546" s="5"/>
      <c r="D546" s="5"/>
      <c r="E546" s="223"/>
      <c r="F546" s="9"/>
      <c r="G546" s="223"/>
      <c r="H546" s="224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5"/>
      <c r="B547" s="5"/>
      <c r="C547" s="5"/>
      <c r="D547" s="5"/>
      <c r="E547" s="223"/>
      <c r="F547" s="9"/>
      <c r="G547" s="223"/>
      <c r="H547" s="224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5"/>
      <c r="B548" s="5"/>
      <c r="C548" s="5"/>
      <c r="D548" s="5"/>
      <c r="E548" s="223"/>
      <c r="F548" s="9"/>
      <c r="G548" s="223"/>
      <c r="H548" s="224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5"/>
      <c r="B549" s="5"/>
      <c r="C549" s="5"/>
      <c r="D549" s="5"/>
      <c r="E549" s="223"/>
      <c r="F549" s="9"/>
      <c r="G549" s="223"/>
      <c r="H549" s="224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5"/>
      <c r="B550" s="5"/>
      <c r="C550" s="5"/>
      <c r="D550" s="5"/>
      <c r="E550" s="223"/>
      <c r="F550" s="9"/>
      <c r="G550" s="223"/>
      <c r="H550" s="224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5"/>
      <c r="B551" s="5"/>
      <c r="C551" s="5"/>
      <c r="D551" s="5"/>
      <c r="E551" s="223"/>
      <c r="F551" s="9"/>
      <c r="G551" s="223"/>
      <c r="H551" s="224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5"/>
      <c r="B552" s="5"/>
      <c r="C552" s="5"/>
      <c r="D552" s="5"/>
      <c r="E552" s="223"/>
      <c r="F552" s="9"/>
      <c r="G552" s="223"/>
      <c r="H552" s="224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5"/>
      <c r="B553" s="5"/>
      <c r="C553" s="5"/>
      <c r="D553" s="5"/>
      <c r="E553" s="223"/>
      <c r="F553" s="9"/>
      <c r="G553" s="223"/>
      <c r="H553" s="224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5"/>
      <c r="B554" s="5"/>
      <c r="C554" s="5"/>
      <c r="D554" s="5"/>
      <c r="E554" s="223"/>
      <c r="F554" s="9"/>
      <c r="G554" s="223"/>
      <c r="H554" s="224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5"/>
      <c r="B555" s="5"/>
      <c r="C555" s="5"/>
      <c r="D555" s="5"/>
      <c r="E555" s="223"/>
      <c r="F555" s="9"/>
      <c r="G555" s="223"/>
      <c r="H555" s="224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5"/>
      <c r="B556" s="5"/>
      <c r="C556" s="5"/>
      <c r="D556" s="5"/>
      <c r="E556" s="223"/>
      <c r="F556" s="9"/>
      <c r="G556" s="223"/>
      <c r="H556" s="224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5"/>
      <c r="B557" s="5"/>
      <c r="C557" s="5"/>
      <c r="D557" s="5"/>
      <c r="E557" s="223"/>
      <c r="F557" s="9"/>
      <c r="G557" s="223"/>
      <c r="H557" s="224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5"/>
      <c r="B558" s="5"/>
      <c r="C558" s="5"/>
      <c r="D558" s="5"/>
      <c r="E558" s="223"/>
      <c r="F558" s="9"/>
      <c r="G558" s="223"/>
      <c r="H558" s="224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5"/>
      <c r="B559" s="5"/>
      <c r="C559" s="5"/>
      <c r="D559" s="5"/>
      <c r="E559" s="223"/>
      <c r="F559" s="9"/>
      <c r="G559" s="223"/>
      <c r="H559" s="224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5"/>
      <c r="B560" s="5"/>
      <c r="C560" s="5"/>
      <c r="D560" s="5"/>
      <c r="E560" s="223"/>
      <c r="F560" s="9"/>
      <c r="G560" s="223"/>
      <c r="H560" s="224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5"/>
      <c r="B561" s="5"/>
      <c r="C561" s="5"/>
      <c r="D561" s="5"/>
      <c r="E561" s="223"/>
      <c r="F561" s="9"/>
      <c r="G561" s="223"/>
      <c r="H561" s="224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5"/>
      <c r="B562" s="5"/>
      <c r="C562" s="5"/>
      <c r="D562" s="5"/>
      <c r="E562" s="223"/>
      <c r="F562" s="9"/>
      <c r="G562" s="223"/>
      <c r="H562" s="224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5"/>
      <c r="B563" s="5"/>
      <c r="C563" s="5"/>
      <c r="D563" s="5"/>
      <c r="E563" s="223"/>
      <c r="F563" s="9"/>
      <c r="G563" s="223"/>
      <c r="H563" s="224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5"/>
      <c r="B564" s="5"/>
      <c r="C564" s="5"/>
      <c r="D564" s="5"/>
      <c r="E564" s="223"/>
      <c r="F564" s="9"/>
      <c r="G564" s="223"/>
      <c r="H564" s="224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5"/>
      <c r="B565" s="5"/>
      <c r="C565" s="5"/>
      <c r="D565" s="5"/>
      <c r="E565" s="223"/>
      <c r="F565" s="9"/>
      <c r="G565" s="223"/>
      <c r="H565" s="224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5"/>
      <c r="B566" s="5"/>
      <c r="C566" s="5"/>
      <c r="D566" s="5"/>
      <c r="E566" s="223"/>
      <c r="F566" s="9"/>
      <c r="G566" s="223"/>
      <c r="H566" s="224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5"/>
      <c r="B567" s="5"/>
      <c r="C567" s="5"/>
      <c r="D567" s="5"/>
      <c r="E567" s="223"/>
      <c r="F567" s="9"/>
      <c r="G567" s="223"/>
      <c r="H567" s="224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5"/>
      <c r="B568" s="5"/>
      <c r="C568" s="5"/>
      <c r="D568" s="5"/>
      <c r="E568" s="223"/>
      <c r="F568" s="9"/>
      <c r="G568" s="223"/>
      <c r="H568" s="224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5"/>
      <c r="B569" s="5"/>
      <c r="C569" s="5"/>
      <c r="D569" s="5"/>
      <c r="E569" s="223"/>
      <c r="F569" s="9"/>
      <c r="G569" s="223"/>
      <c r="H569" s="224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5"/>
      <c r="B570" s="5"/>
      <c r="C570" s="5"/>
      <c r="D570" s="5"/>
      <c r="E570" s="223"/>
      <c r="F570" s="9"/>
      <c r="G570" s="223"/>
      <c r="H570" s="224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5"/>
      <c r="B571" s="5"/>
      <c r="C571" s="5"/>
      <c r="D571" s="5"/>
      <c r="E571" s="223"/>
      <c r="F571" s="9"/>
      <c r="G571" s="223"/>
      <c r="H571" s="224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5"/>
      <c r="B572" s="5"/>
      <c r="C572" s="5"/>
      <c r="D572" s="5"/>
      <c r="E572" s="223"/>
      <c r="F572" s="9"/>
      <c r="G572" s="223"/>
      <c r="H572" s="224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5"/>
      <c r="B573" s="5"/>
      <c r="C573" s="5"/>
      <c r="D573" s="5"/>
      <c r="E573" s="223"/>
      <c r="F573" s="9"/>
      <c r="G573" s="223"/>
      <c r="H573" s="224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5"/>
      <c r="B574" s="5"/>
      <c r="C574" s="5"/>
      <c r="D574" s="5"/>
      <c r="E574" s="223"/>
      <c r="F574" s="9"/>
      <c r="G574" s="223"/>
      <c r="H574" s="224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5"/>
      <c r="B575" s="5"/>
      <c r="C575" s="5"/>
      <c r="D575" s="5"/>
      <c r="E575" s="223"/>
      <c r="F575" s="9"/>
      <c r="G575" s="223"/>
      <c r="H575" s="224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5"/>
      <c r="B576" s="5"/>
      <c r="C576" s="5"/>
      <c r="D576" s="5"/>
      <c r="E576" s="223"/>
      <c r="F576" s="9"/>
      <c r="G576" s="223"/>
      <c r="H576" s="224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5"/>
      <c r="B577" s="5"/>
      <c r="C577" s="5"/>
      <c r="D577" s="5"/>
      <c r="E577" s="223"/>
      <c r="F577" s="9"/>
      <c r="G577" s="223"/>
      <c r="H577" s="224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5"/>
      <c r="B578" s="5"/>
      <c r="C578" s="5"/>
      <c r="D578" s="5"/>
      <c r="E578" s="223"/>
      <c r="F578" s="9"/>
      <c r="G578" s="223"/>
      <c r="H578" s="224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5"/>
      <c r="B579" s="5"/>
      <c r="C579" s="5"/>
      <c r="D579" s="5"/>
      <c r="E579" s="223"/>
      <c r="F579" s="9"/>
      <c r="G579" s="223"/>
      <c r="H579" s="224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5"/>
      <c r="B580" s="5"/>
      <c r="C580" s="5"/>
      <c r="D580" s="5"/>
      <c r="E580" s="223"/>
      <c r="F580" s="9"/>
      <c r="G580" s="223"/>
      <c r="H580" s="224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5"/>
      <c r="B581" s="5"/>
      <c r="C581" s="5"/>
      <c r="D581" s="5"/>
      <c r="E581" s="223"/>
      <c r="F581" s="9"/>
      <c r="G581" s="223"/>
      <c r="H581" s="224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5"/>
      <c r="B582" s="5"/>
      <c r="C582" s="5"/>
      <c r="D582" s="5"/>
      <c r="E582" s="223"/>
      <c r="F582" s="9"/>
      <c r="G582" s="223"/>
      <c r="H582" s="224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5"/>
      <c r="B583" s="5"/>
      <c r="C583" s="5"/>
      <c r="D583" s="5"/>
      <c r="E583" s="223"/>
      <c r="F583" s="9"/>
      <c r="G583" s="223"/>
      <c r="H583" s="224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5"/>
      <c r="B584" s="5"/>
      <c r="C584" s="5"/>
      <c r="D584" s="5"/>
      <c r="E584" s="223"/>
      <c r="F584" s="9"/>
      <c r="G584" s="223"/>
      <c r="H584" s="224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5"/>
      <c r="B585" s="5"/>
      <c r="C585" s="5"/>
      <c r="D585" s="5"/>
      <c r="E585" s="223"/>
      <c r="F585" s="9"/>
      <c r="G585" s="223"/>
      <c r="H585" s="224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5"/>
      <c r="B586" s="5"/>
      <c r="C586" s="5"/>
      <c r="D586" s="5"/>
      <c r="E586" s="223"/>
      <c r="F586" s="9"/>
      <c r="G586" s="223"/>
      <c r="H586" s="224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5"/>
      <c r="B587" s="5"/>
      <c r="C587" s="5"/>
      <c r="D587" s="5"/>
      <c r="E587" s="223"/>
      <c r="F587" s="9"/>
      <c r="G587" s="223"/>
      <c r="H587" s="224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5"/>
      <c r="B588" s="5"/>
      <c r="C588" s="5"/>
      <c r="D588" s="5"/>
      <c r="E588" s="223"/>
      <c r="F588" s="9"/>
      <c r="G588" s="223"/>
      <c r="H588" s="224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5"/>
      <c r="B589" s="5"/>
      <c r="C589" s="5"/>
      <c r="D589" s="5"/>
      <c r="E589" s="223"/>
      <c r="F589" s="9"/>
      <c r="G589" s="223"/>
      <c r="H589" s="224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5"/>
      <c r="B590" s="5"/>
      <c r="C590" s="5"/>
      <c r="D590" s="5"/>
      <c r="E590" s="223"/>
      <c r="F590" s="9"/>
      <c r="G590" s="223"/>
      <c r="H590" s="224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5"/>
      <c r="B591" s="5"/>
      <c r="C591" s="5"/>
      <c r="D591" s="5"/>
      <c r="E591" s="223"/>
      <c r="F591" s="9"/>
      <c r="G591" s="223"/>
      <c r="H591" s="224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5"/>
      <c r="B592" s="5"/>
      <c r="C592" s="5"/>
      <c r="D592" s="5"/>
      <c r="E592" s="223"/>
      <c r="F592" s="9"/>
      <c r="G592" s="223"/>
      <c r="H592" s="224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5"/>
      <c r="B593" s="5"/>
      <c r="C593" s="5"/>
      <c r="D593" s="5"/>
      <c r="E593" s="223"/>
      <c r="F593" s="9"/>
      <c r="G593" s="223"/>
      <c r="H593" s="224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5"/>
      <c r="B594" s="5"/>
      <c r="C594" s="5"/>
      <c r="D594" s="5"/>
      <c r="E594" s="223"/>
      <c r="F594" s="9"/>
      <c r="G594" s="223"/>
      <c r="H594" s="224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5"/>
      <c r="B595" s="5"/>
      <c r="C595" s="5"/>
      <c r="D595" s="5"/>
      <c r="E595" s="223"/>
      <c r="F595" s="9"/>
      <c r="G595" s="223"/>
      <c r="H595" s="224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5"/>
      <c r="B596" s="5"/>
      <c r="C596" s="5"/>
      <c r="D596" s="5"/>
      <c r="E596" s="223"/>
      <c r="F596" s="9"/>
      <c r="G596" s="223"/>
      <c r="H596" s="224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5"/>
      <c r="B597" s="5"/>
      <c r="C597" s="5"/>
      <c r="D597" s="5"/>
      <c r="E597" s="223"/>
      <c r="F597" s="9"/>
      <c r="G597" s="223"/>
      <c r="H597" s="224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5"/>
      <c r="B598" s="5"/>
      <c r="C598" s="5"/>
      <c r="D598" s="5"/>
      <c r="E598" s="223"/>
      <c r="F598" s="9"/>
      <c r="G598" s="223"/>
      <c r="H598" s="224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5"/>
      <c r="B599" s="5"/>
      <c r="C599" s="5"/>
      <c r="D599" s="5"/>
      <c r="E599" s="223"/>
      <c r="F599" s="9"/>
      <c r="G599" s="223"/>
      <c r="H599" s="224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5"/>
      <c r="B600" s="5"/>
      <c r="C600" s="5"/>
      <c r="D600" s="5"/>
      <c r="E600" s="223"/>
      <c r="F600" s="9"/>
      <c r="G600" s="223"/>
      <c r="H600" s="224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5"/>
      <c r="B601" s="5"/>
      <c r="C601" s="5"/>
      <c r="D601" s="5"/>
      <c r="E601" s="223"/>
      <c r="F601" s="9"/>
      <c r="G601" s="223"/>
      <c r="H601" s="224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5"/>
      <c r="B602" s="5"/>
      <c r="C602" s="5"/>
      <c r="D602" s="5"/>
      <c r="E602" s="223"/>
      <c r="F602" s="9"/>
      <c r="G602" s="223"/>
      <c r="H602" s="224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5"/>
      <c r="B603" s="5"/>
      <c r="C603" s="5"/>
      <c r="D603" s="5"/>
      <c r="E603" s="223"/>
      <c r="F603" s="9"/>
      <c r="G603" s="223"/>
      <c r="H603" s="224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5"/>
      <c r="B604" s="5"/>
      <c r="C604" s="5"/>
      <c r="D604" s="5"/>
      <c r="E604" s="223"/>
      <c r="F604" s="9"/>
      <c r="G604" s="223"/>
      <c r="H604" s="224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5"/>
      <c r="B605" s="5"/>
      <c r="C605" s="5"/>
      <c r="D605" s="5"/>
      <c r="E605" s="223"/>
      <c r="F605" s="9"/>
      <c r="G605" s="223"/>
      <c r="H605" s="224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5"/>
      <c r="B606" s="5"/>
      <c r="C606" s="5"/>
      <c r="D606" s="5"/>
      <c r="E606" s="223"/>
      <c r="F606" s="9"/>
      <c r="G606" s="223"/>
      <c r="H606" s="224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5"/>
      <c r="B607" s="5"/>
      <c r="C607" s="5"/>
      <c r="D607" s="5"/>
      <c r="E607" s="223"/>
      <c r="F607" s="9"/>
      <c r="G607" s="223"/>
      <c r="H607" s="224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5"/>
      <c r="B608" s="5"/>
      <c r="C608" s="5"/>
      <c r="D608" s="5"/>
      <c r="E608" s="223"/>
      <c r="F608" s="9"/>
      <c r="G608" s="223"/>
      <c r="H608" s="224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5"/>
      <c r="B609" s="5"/>
      <c r="C609" s="5"/>
      <c r="D609" s="5"/>
      <c r="E609" s="223"/>
      <c r="F609" s="9"/>
      <c r="G609" s="223"/>
      <c r="H609" s="224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5"/>
      <c r="B610" s="5"/>
      <c r="C610" s="5"/>
      <c r="D610" s="5"/>
      <c r="E610" s="223"/>
      <c r="F610" s="9"/>
      <c r="G610" s="223"/>
      <c r="H610" s="224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5"/>
      <c r="B611" s="5"/>
      <c r="C611" s="5"/>
      <c r="D611" s="5"/>
      <c r="E611" s="223"/>
      <c r="F611" s="9"/>
      <c r="G611" s="223"/>
      <c r="H611" s="224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5"/>
      <c r="B612" s="5"/>
      <c r="C612" s="5"/>
      <c r="D612" s="5"/>
      <c r="E612" s="223"/>
      <c r="F612" s="9"/>
      <c r="G612" s="223"/>
      <c r="H612" s="224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5"/>
      <c r="B613" s="5"/>
      <c r="C613" s="5"/>
      <c r="D613" s="5"/>
      <c r="E613" s="223"/>
      <c r="F613" s="9"/>
      <c r="G613" s="223"/>
      <c r="H613" s="224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5"/>
      <c r="B614" s="5"/>
      <c r="C614" s="5"/>
      <c r="D614" s="5"/>
      <c r="E614" s="223"/>
      <c r="F614" s="9"/>
      <c r="G614" s="223"/>
      <c r="H614" s="224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5"/>
      <c r="B615" s="5"/>
      <c r="C615" s="5"/>
      <c r="D615" s="5"/>
      <c r="E615" s="223"/>
      <c r="F615" s="9"/>
      <c r="G615" s="223"/>
      <c r="H615" s="224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5"/>
      <c r="B616" s="5"/>
      <c r="C616" s="5"/>
      <c r="D616" s="5"/>
      <c r="E616" s="223"/>
      <c r="F616" s="9"/>
      <c r="G616" s="223"/>
      <c r="H616" s="224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5"/>
      <c r="B617" s="5"/>
      <c r="C617" s="5"/>
      <c r="D617" s="5"/>
      <c r="E617" s="223"/>
      <c r="F617" s="9"/>
      <c r="G617" s="223"/>
      <c r="H617" s="224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5"/>
      <c r="B618" s="5"/>
      <c r="C618" s="5"/>
      <c r="D618" s="5"/>
      <c r="E618" s="223"/>
      <c r="F618" s="9"/>
      <c r="G618" s="223"/>
      <c r="H618" s="224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5"/>
      <c r="B619" s="5"/>
      <c r="C619" s="5"/>
      <c r="D619" s="5"/>
      <c r="E619" s="223"/>
      <c r="F619" s="9"/>
      <c r="G619" s="223"/>
      <c r="H619" s="224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5"/>
      <c r="B620" s="5"/>
      <c r="C620" s="5"/>
      <c r="D620" s="5"/>
      <c r="E620" s="223"/>
      <c r="F620" s="9"/>
      <c r="G620" s="223"/>
      <c r="H620" s="224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5"/>
      <c r="B621" s="5"/>
      <c r="C621" s="5"/>
      <c r="D621" s="5"/>
      <c r="E621" s="223"/>
      <c r="F621" s="9"/>
      <c r="G621" s="223"/>
      <c r="H621" s="224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5"/>
      <c r="B622" s="5"/>
      <c r="C622" s="5"/>
      <c r="D622" s="5"/>
      <c r="E622" s="223"/>
      <c r="F622" s="9"/>
      <c r="G622" s="223"/>
      <c r="H622" s="224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5"/>
      <c r="B623" s="5"/>
      <c r="C623" s="5"/>
      <c r="D623" s="5"/>
      <c r="E623" s="223"/>
      <c r="F623" s="9"/>
      <c r="G623" s="223"/>
      <c r="H623" s="224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5"/>
      <c r="B624" s="5"/>
      <c r="C624" s="5"/>
      <c r="D624" s="5"/>
      <c r="E624" s="223"/>
      <c r="F624" s="9"/>
      <c r="G624" s="223"/>
      <c r="H624" s="224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5"/>
      <c r="B625" s="5"/>
      <c r="C625" s="5"/>
      <c r="D625" s="5"/>
      <c r="E625" s="223"/>
      <c r="F625" s="9"/>
      <c r="G625" s="223"/>
      <c r="H625" s="224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5"/>
      <c r="B626" s="5"/>
      <c r="C626" s="5"/>
      <c r="D626" s="5"/>
      <c r="E626" s="223"/>
      <c r="F626" s="9"/>
      <c r="G626" s="223"/>
      <c r="H626" s="224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5"/>
      <c r="B627" s="5"/>
      <c r="C627" s="5"/>
      <c r="D627" s="5"/>
      <c r="E627" s="223"/>
      <c r="F627" s="9"/>
      <c r="G627" s="223"/>
      <c r="H627" s="224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5"/>
      <c r="B628" s="5"/>
      <c r="C628" s="5"/>
      <c r="D628" s="5"/>
      <c r="E628" s="223"/>
      <c r="F628" s="9"/>
      <c r="G628" s="223"/>
      <c r="H628" s="224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5"/>
      <c r="B629" s="5"/>
      <c r="C629" s="5"/>
      <c r="D629" s="5"/>
      <c r="E629" s="223"/>
      <c r="F629" s="9"/>
      <c r="G629" s="223"/>
      <c r="H629" s="224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5"/>
      <c r="B630" s="5"/>
      <c r="C630" s="5"/>
      <c r="D630" s="5"/>
      <c r="E630" s="223"/>
      <c r="F630" s="9"/>
      <c r="G630" s="223"/>
      <c r="H630" s="224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5"/>
      <c r="B631" s="5"/>
      <c r="C631" s="5"/>
      <c r="D631" s="5"/>
      <c r="E631" s="223"/>
      <c r="F631" s="9"/>
      <c r="G631" s="223"/>
      <c r="H631" s="224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5"/>
      <c r="B632" s="5"/>
      <c r="C632" s="5"/>
      <c r="D632" s="5"/>
      <c r="E632" s="223"/>
      <c r="F632" s="9"/>
      <c r="G632" s="223"/>
      <c r="H632" s="224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5"/>
      <c r="B633" s="5"/>
      <c r="C633" s="5"/>
      <c r="D633" s="5"/>
      <c r="E633" s="223"/>
      <c r="F633" s="9"/>
      <c r="G633" s="223"/>
      <c r="H633" s="224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5"/>
      <c r="B634" s="5"/>
      <c r="C634" s="5"/>
      <c r="D634" s="5"/>
      <c r="E634" s="223"/>
      <c r="F634" s="9"/>
      <c r="G634" s="223"/>
      <c r="H634" s="224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5"/>
      <c r="B635" s="5"/>
      <c r="C635" s="5"/>
      <c r="D635" s="5"/>
      <c r="E635" s="223"/>
      <c r="F635" s="9"/>
      <c r="G635" s="223"/>
      <c r="H635" s="224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5"/>
      <c r="B636" s="5"/>
      <c r="C636" s="5"/>
      <c r="D636" s="5"/>
      <c r="E636" s="223"/>
      <c r="F636" s="9"/>
      <c r="G636" s="223"/>
      <c r="H636" s="224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5"/>
      <c r="B637" s="5"/>
      <c r="C637" s="5"/>
      <c r="D637" s="5"/>
      <c r="E637" s="223"/>
      <c r="F637" s="9"/>
      <c r="G637" s="223"/>
      <c r="H637" s="224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5"/>
      <c r="B638" s="5"/>
      <c r="C638" s="5"/>
      <c r="D638" s="5"/>
      <c r="E638" s="223"/>
      <c r="F638" s="9"/>
      <c r="G638" s="223"/>
      <c r="H638" s="224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5"/>
      <c r="B639" s="5"/>
      <c r="C639" s="5"/>
      <c r="D639" s="5"/>
      <c r="E639" s="223"/>
      <c r="F639" s="9"/>
      <c r="G639" s="223"/>
      <c r="H639" s="224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5"/>
      <c r="B640" s="5"/>
      <c r="C640" s="5"/>
      <c r="D640" s="5"/>
      <c r="E640" s="223"/>
      <c r="F640" s="9"/>
      <c r="G640" s="223"/>
      <c r="H640" s="224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5"/>
      <c r="B641" s="5"/>
      <c r="C641" s="5"/>
      <c r="D641" s="5"/>
      <c r="E641" s="223"/>
      <c r="F641" s="9"/>
      <c r="G641" s="223"/>
      <c r="H641" s="224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5"/>
      <c r="B642" s="5"/>
      <c r="C642" s="5"/>
      <c r="D642" s="5"/>
      <c r="E642" s="223"/>
      <c r="F642" s="9"/>
      <c r="G642" s="223"/>
      <c r="H642" s="224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5"/>
      <c r="B643" s="5"/>
      <c r="C643" s="5"/>
      <c r="D643" s="5"/>
      <c r="E643" s="223"/>
      <c r="F643" s="9"/>
      <c r="G643" s="223"/>
      <c r="H643" s="224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5"/>
      <c r="B644" s="5"/>
      <c r="C644" s="5"/>
      <c r="D644" s="5"/>
      <c r="E644" s="223"/>
      <c r="F644" s="9"/>
      <c r="G644" s="223"/>
      <c r="H644" s="224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5"/>
      <c r="B645" s="5"/>
      <c r="C645" s="5"/>
      <c r="D645" s="5"/>
      <c r="E645" s="223"/>
      <c r="F645" s="9"/>
      <c r="G645" s="223"/>
      <c r="H645" s="224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5"/>
      <c r="B646" s="5"/>
      <c r="C646" s="5"/>
      <c r="D646" s="5"/>
      <c r="E646" s="223"/>
      <c r="F646" s="9"/>
      <c r="G646" s="223"/>
      <c r="H646" s="224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5"/>
      <c r="B647" s="5"/>
      <c r="C647" s="5"/>
      <c r="D647" s="5"/>
      <c r="E647" s="223"/>
      <c r="F647" s="9"/>
      <c r="G647" s="223"/>
      <c r="H647" s="224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5"/>
      <c r="B648" s="5"/>
      <c r="C648" s="5"/>
      <c r="D648" s="5"/>
      <c r="E648" s="223"/>
      <c r="F648" s="9"/>
      <c r="G648" s="223"/>
      <c r="H648" s="224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5"/>
      <c r="B649" s="5"/>
      <c r="C649" s="5"/>
      <c r="D649" s="5"/>
      <c r="E649" s="223"/>
      <c r="F649" s="9"/>
      <c r="G649" s="223"/>
      <c r="H649" s="224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5"/>
      <c r="B650" s="5"/>
      <c r="C650" s="5"/>
      <c r="D650" s="5"/>
      <c r="E650" s="223"/>
      <c r="F650" s="9"/>
      <c r="G650" s="223"/>
      <c r="H650" s="224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5"/>
      <c r="B651" s="5"/>
      <c r="C651" s="5"/>
      <c r="D651" s="5"/>
      <c r="E651" s="223"/>
      <c r="F651" s="9"/>
      <c r="G651" s="223"/>
      <c r="H651" s="224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5"/>
      <c r="B652" s="5"/>
      <c r="C652" s="5"/>
      <c r="D652" s="5"/>
      <c r="E652" s="223"/>
      <c r="F652" s="9"/>
      <c r="G652" s="223"/>
      <c r="H652" s="224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5"/>
      <c r="B653" s="5"/>
      <c r="C653" s="5"/>
      <c r="D653" s="5"/>
      <c r="E653" s="223"/>
      <c r="F653" s="9"/>
      <c r="G653" s="223"/>
      <c r="H653" s="224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5"/>
      <c r="B654" s="5"/>
      <c r="C654" s="5"/>
      <c r="D654" s="5"/>
      <c r="E654" s="223"/>
      <c r="F654" s="9"/>
      <c r="G654" s="223"/>
      <c r="H654" s="224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5"/>
      <c r="B655" s="5"/>
      <c r="C655" s="5"/>
      <c r="D655" s="5"/>
      <c r="E655" s="223"/>
      <c r="F655" s="9"/>
      <c r="G655" s="223"/>
      <c r="H655" s="224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5"/>
      <c r="B656" s="5"/>
      <c r="C656" s="5"/>
      <c r="D656" s="5"/>
      <c r="E656" s="223"/>
      <c r="F656" s="9"/>
      <c r="G656" s="223"/>
      <c r="H656" s="224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5"/>
      <c r="B657" s="5"/>
      <c r="C657" s="5"/>
      <c r="D657" s="5"/>
      <c r="E657" s="223"/>
      <c r="F657" s="9"/>
      <c r="G657" s="223"/>
      <c r="H657" s="224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5"/>
      <c r="B658" s="5"/>
      <c r="C658" s="5"/>
      <c r="D658" s="5"/>
      <c r="E658" s="223"/>
      <c r="F658" s="9"/>
      <c r="G658" s="223"/>
      <c r="H658" s="224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5"/>
      <c r="B659" s="5"/>
      <c r="C659" s="5"/>
      <c r="D659" s="5"/>
      <c r="E659" s="223"/>
      <c r="F659" s="9"/>
      <c r="G659" s="223"/>
      <c r="H659" s="224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5"/>
      <c r="B660" s="5"/>
      <c r="C660" s="5"/>
      <c r="D660" s="5"/>
      <c r="E660" s="223"/>
      <c r="F660" s="9"/>
      <c r="G660" s="223"/>
      <c r="H660" s="224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5"/>
      <c r="B661" s="5"/>
      <c r="C661" s="5"/>
      <c r="D661" s="5"/>
      <c r="E661" s="223"/>
      <c r="F661" s="9"/>
      <c r="G661" s="223"/>
      <c r="H661" s="224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5"/>
      <c r="B662" s="5"/>
      <c r="C662" s="5"/>
      <c r="D662" s="5"/>
      <c r="E662" s="223"/>
      <c r="F662" s="9"/>
      <c r="G662" s="223"/>
      <c r="H662" s="224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5"/>
      <c r="B663" s="5"/>
      <c r="C663" s="5"/>
      <c r="D663" s="5"/>
      <c r="E663" s="223"/>
      <c r="F663" s="9"/>
      <c r="G663" s="223"/>
      <c r="H663" s="224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5"/>
      <c r="B664" s="5"/>
      <c r="C664" s="5"/>
      <c r="D664" s="5"/>
      <c r="E664" s="223"/>
      <c r="F664" s="9"/>
      <c r="G664" s="223"/>
      <c r="H664" s="224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5"/>
      <c r="B665" s="5"/>
      <c r="C665" s="5"/>
      <c r="D665" s="5"/>
      <c r="E665" s="223"/>
      <c r="F665" s="9"/>
      <c r="G665" s="223"/>
      <c r="H665" s="224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5"/>
      <c r="B666" s="5"/>
      <c r="C666" s="5"/>
      <c r="D666" s="5"/>
      <c r="E666" s="223"/>
      <c r="F666" s="9"/>
      <c r="G666" s="223"/>
      <c r="H666" s="224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5"/>
      <c r="B667" s="5"/>
      <c r="C667" s="5"/>
      <c r="D667" s="5"/>
      <c r="E667" s="223"/>
      <c r="F667" s="9"/>
      <c r="G667" s="223"/>
      <c r="H667" s="224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5"/>
      <c r="B668" s="5"/>
      <c r="C668" s="5"/>
      <c r="D668" s="5"/>
      <c r="E668" s="223"/>
      <c r="F668" s="9"/>
      <c r="G668" s="223"/>
      <c r="H668" s="224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5"/>
      <c r="B669" s="5"/>
      <c r="C669" s="5"/>
      <c r="D669" s="5"/>
      <c r="E669" s="223"/>
      <c r="F669" s="9"/>
      <c r="G669" s="223"/>
      <c r="H669" s="224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5"/>
      <c r="B670" s="5"/>
      <c r="C670" s="5"/>
      <c r="D670" s="5"/>
      <c r="E670" s="223"/>
      <c r="F670" s="9"/>
      <c r="G670" s="223"/>
      <c r="H670" s="224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5"/>
      <c r="B671" s="5"/>
      <c r="C671" s="5"/>
      <c r="D671" s="5"/>
      <c r="E671" s="223"/>
      <c r="F671" s="9"/>
      <c r="G671" s="223"/>
      <c r="H671" s="224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5"/>
      <c r="B672" s="5"/>
      <c r="C672" s="5"/>
      <c r="D672" s="5"/>
      <c r="E672" s="223"/>
      <c r="F672" s="9"/>
      <c r="G672" s="223"/>
      <c r="H672" s="224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5"/>
      <c r="B673" s="5"/>
      <c r="C673" s="5"/>
      <c r="D673" s="5"/>
      <c r="E673" s="223"/>
      <c r="F673" s="9"/>
      <c r="G673" s="223"/>
      <c r="H673" s="224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5"/>
      <c r="B674" s="5"/>
      <c r="C674" s="5"/>
      <c r="D674" s="5"/>
      <c r="E674" s="223"/>
      <c r="F674" s="9"/>
      <c r="G674" s="223"/>
      <c r="H674" s="224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5"/>
      <c r="B675" s="5"/>
      <c r="C675" s="5"/>
      <c r="D675" s="5"/>
      <c r="E675" s="223"/>
      <c r="F675" s="9"/>
      <c r="G675" s="223"/>
      <c r="H675" s="224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5"/>
      <c r="B676" s="5"/>
      <c r="C676" s="5"/>
      <c r="D676" s="5"/>
      <c r="E676" s="223"/>
      <c r="F676" s="9"/>
      <c r="G676" s="223"/>
      <c r="H676" s="224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5"/>
      <c r="B677" s="5"/>
      <c r="C677" s="5"/>
      <c r="D677" s="5"/>
      <c r="E677" s="223"/>
      <c r="F677" s="9"/>
      <c r="G677" s="223"/>
      <c r="H677" s="224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5"/>
      <c r="B678" s="5"/>
      <c r="C678" s="5"/>
      <c r="D678" s="5"/>
      <c r="E678" s="223"/>
      <c r="F678" s="9"/>
      <c r="G678" s="223"/>
      <c r="H678" s="224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5"/>
      <c r="B679" s="5"/>
      <c r="C679" s="5"/>
      <c r="D679" s="5"/>
      <c r="E679" s="223"/>
      <c r="F679" s="9"/>
      <c r="G679" s="223"/>
      <c r="H679" s="224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5"/>
      <c r="B680" s="5"/>
      <c r="C680" s="5"/>
      <c r="D680" s="5"/>
      <c r="E680" s="223"/>
      <c r="F680" s="9"/>
      <c r="G680" s="223"/>
      <c r="H680" s="224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5"/>
      <c r="B681" s="5"/>
      <c r="C681" s="5"/>
      <c r="D681" s="5"/>
      <c r="E681" s="223"/>
      <c r="F681" s="9"/>
      <c r="G681" s="223"/>
      <c r="H681" s="224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5"/>
      <c r="B682" s="5"/>
      <c r="C682" s="5"/>
      <c r="D682" s="5"/>
      <c r="E682" s="223"/>
      <c r="F682" s="9"/>
      <c r="G682" s="223"/>
      <c r="H682" s="224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5"/>
      <c r="B683" s="5"/>
      <c r="C683" s="5"/>
      <c r="D683" s="5"/>
      <c r="E683" s="223"/>
      <c r="F683" s="9"/>
      <c r="G683" s="223"/>
      <c r="H683" s="224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5"/>
      <c r="B684" s="5"/>
      <c r="C684" s="5"/>
      <c r="D684" s="5"/>
      <c r="E684" s="223"/>
      <c r="F684" s="9"/>
      <c r="G684" s="223"/>
      <c r="H684" s="224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5"/>
      <c r="B685" s="5"/>
      <c r="C685" s="5"/>
      <c r="D685" s="5"/>
      <c r="E685" s="223"/>
      <c r="F685" s="9"/>
      <c r="G685" s="223"/>
      <c r="H685" s="224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5"/>
      <c r="B686" s="5"/>
      <c r="C686" s="5"/>
      <c r="D686" s="5"/>
      <c r="E686" s="223"/>
      <c r="F686" s="9"/>
      <c r="G686" s="223"/>
      <c r="H686" s="224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5"/>
      <c r="B687" s="5"/>
      <c r="C687" s="5"/>
      <c r="D687" s="5"/>
      <c r="E687" s="223"/>
      <c r="F687" s="9"/>
      <c r="G687" s="223"/>
      <c r="H687" s="224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5"/>
      <c r="B688" s="5"/>
      <c r="C688" s="5"/>
      <c r="D688" s="5"/>
      <c r="E688" s="223"/>
      <c r="F688" s="9"/>
      <c r="G688" s="223"/>
      <c r="H688" s="224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5"/>
      <c r="B689" s="5"/>
      <c r="C689" s="5"/>
      <c r="D689" s="5"/>
      <c r="E689" s="223"/>
      <c r="F689" s="9"/>
      <c r="G689" s="223"/>
      <c r="H689" s="224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5"/>
      <c r="B690" s="5"/>
      <c r="C690" s="5"/>
      <c r="D690" s="5"/>
      <c r="E690" s="223"/>
      <c r="F690" s="9"/>
      <c r="G690" s="223"/>
      <c r="H690" s="224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5"/>
      <c r="B691" s="5"/>
      <c r="C691" s="5"/>
      <c r="D691" s="5"/>
      <c r="E691" s="223"/>
      <c r="F691" s="9"/>
      <c r="G691" s="223"/>
      <c r="H691" s="224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5"/>
      <c r="B692" s="5"/>
      <c r="C692" s="5"/>
      <c r="D692" s="5"/>
      <c r="E692" s="223"/>
      <c r="F692" s="9"/>
      <c r="G692" s="223"/>
      <c r="H692" s="224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5"/>
      <c r="B693" s="5"/>
      <c r="C693" s="5"/>
      <c r="D693" s="5"/>
      <c r="E693" s="223"/>
      <c r="F693" s="9"/>
      <c r="G693" s="223"/>
      <c r="H693" s="224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5"/>
      <c r="B694" s="5"/>
      <c r="C694" s="5"/>
      <c r="D694" s="5"/>
      <c r="E694" s="223"/>
      <c r="F694" s="9"/>
      <c r="G694" s="223"/>
      <c r="H694" s="224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5"/>
      <c r="B695" s="5"/>
      <c r="C695" s="5"/>
      <c r="D695" s="5"/>
      <c r="E695" s="223"/>
      <c r="F695" s="9"/>
      <c r="G695" s="223"/>
      <c r="H695" s="224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5"/>
      <c r="B696" s="5"/>
      <c r="C696" s="5"/>
      <c r="D696" s="5"/>
      <c r="E696" s="223"/>
      <c r="F696" s="9"/>
      <c r="G696" s="223"/>
      <c r="H696" s="224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5"/>
      <c r="B697" s="5"/>
      <c r="C697" s="5"/>
      <c r="D697" s="5"/>
      <c r="E697" s="223"/>
      <c r="F697" s="9"/>
      <c r="G697" s="223"/>
      <c r="H697" s="224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5"/>
      <c r="B698" s="5"/>
      <c r="C698" s="5"/>
      <c r="D698" s="5"/>
      <c r="E698" s="223"/>
      <c r="F698" s="9"/>
      <c r="G698" s="223"/>
      <c r="H698" s="224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5"/>
      <c r="B699" s="5"/>
      <c r="C699" s="5"/>
      <c r="D699" s="5"/>
      <c r="E699" s="223"/>
      <c r="F699" s="9"/>
      <c r="G699" s="223"/>
      <c r="H699" s="224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5"/>
      <c r="B700" s="5"/>
      <c r="C700" s="5"/>
      <c r="D700" s="5"/>
      <c r="E700" s="223"/>
      <c r="F700" s="9"/>
      <c r="G700" s="223"/>
      <c r="H700" s="224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5"/>
      <c r="B701" s="5"/>
      <c r="C701" s="5"/>
      <c r="D701" s="5"/>
      <c r="E701" s="223"/>
      <c r="F701" s="9"/>
      <c r="G701" s="223"/>
      <c r="H701" s="224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5"/>
      <c r="B702" s="5"/>
      <c r="C702" s="5"/>
      <c r="D702" s="5"/>
      <c r="E702" s="223"/>
      <c r="F702" s="9"/>
      <c r="G702" s="223"/>
      <c r="H702" s="224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5"/>
      <c r="B703" s="5"/>
      <c r="C703" s="5"/>
      <c r="D703" s="5"/>
      <c r="E703" s="223"/>
      <c r="F703" s="9"/>
      <c r="G703" s="223"/>
      <c r="H703" s="224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5"/>
      <c r="B704" s="5"/>
      <c r="C704" s="5"/>
      <c r="D704" s="5"/>
      <c r="E704" s="223"/>
      <c r="F704" s="9"/>
      <c r="G704" s="223"/>
      <c r="H704" s="224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5"/>
      <c r="B705" s="5"/>
      <c r="C705" s="5"/>
      <c r="D705" s="5"/>
      <c r="E705" s="223"/>
      <c r="F705" s="9"/>
      <c r="G705" s="223"/>
      <c r="H705" s="224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5"/>
      <c r="B706" s="5"/>
      <c r="C706" s="5"/>
      <c r="D706" s="5"/>
      <c r="E706" s="223"/>
      <c r="F706" s="9"/>
      <c r="G706" s="223"/>
      <c r="H706" s="224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5"/>
      <c r="B707" s="5"/>
      <c r="C707" s="5"/>
      <c r="D707" s="5"/>
      <c r="E707" s="223"/>
      <c r="F707" s="9"/>
      <c r="G707" s="223"/>
      <c r="H707" s="224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5"/>
      <c r="B708" s="5"/>
      <c r="C708" s="5"/>
      <c r="D708" s="5"/>
      <c r="E708" s="223"/>
      <c r="F708" s="9"/>
      <c r="G708" s="223"/>
      <c r="H708" s="224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5"/>
      <c r="B709" s="5"/>
      <c r="C709" s="5"/>
      <c r="D709" s="5"/>
      <c r="E709" s="223"/>
      <c r="F709" s="9"/>
      <c r="G709" s="223"/>
      <c r="H709" s="224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5"/>
      <c r="B710" s="5"/>
      <c r="C710" s="5"/>
      <c r="D710" s="5"/>
      <c r="E710" s="223"/>
      <c r="F710" s="9"/>
      <c r="G710" s="223"/>
      <c r="H710" s="224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5"/>
      <c r="B711" s="5"/>
      <c r="C711" s="5"/>
      <c r="D711" s="5"/>
      <c r="E711" s="223"/>
      <c r="F711" s="9"/>
      <c r="G711" s="223"/>
      <c r="H711" s="224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5"/>
      <c r="B712" s="5"/>
      <c r="C712" s="5"/>
      <c r="D712" s="5"/>
      <c r="E712" s="223"/>
      <c r="F712" s="9"/>
      <c r="G712" s="223"/>
      <c r="H712" s="224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5"/>
      <c r="B713" s="5"/>
      <c r="C713" s="5"/>
      <c r="D713" s="5"/>
      <c r="E713" s="223"/>
      <c r="F713" s="9"/>
      <c r="G713" s="223"/>
      <c r="H713" s="224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5"/>
      <c r="B714" s="5"/>
      <c r="C714" s="5"/>
      <c r="D714" s="5"/>
      <c r="E714" s="223"/>
      <c r="F714" s="9"/>
      <c r="G714" s="223"/>
      <c r="H714" s="224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5"/>
      <c r="B715" s="5"/>
      <c r="C715" s="5"/>
      <c r="D715" s="5"/>
      <c r="E715" s="223"/>
      <c r="F715" s="9"/>
      <c r="G715" s="223"/>
      <c r="H715" s="224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5"/>
      <c r="B716" s="5"/>
      <c r="C716" s="5"/>
      <c r="D716" s="5"/>
      <c r="E716" s="223"/>
      <c r="F716" s="9"/>
      <c r="G716" s="223"/>
      <c r="H716" s="224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5"/>
      <c r="B717" s="5"/>
      <c r="C717" s="5"/>
      <c r="D717" s="5"/>
      <c r="E717" s="223"/>
      <c r="F717" s="9"/>
      <c r="G717" s="223"/>
      <c r="H717" s="224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5"/>
      <c r="B718" s="5"/>
      <c r="C718" s="5"/>
      <c r="D718" s="5"/>
      <c r="E718" s="223"/>
      <c r="F718" s="9"/>
      <c r="G718" s="223"/>
      <c r="H718" s="224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5"/>
      <c r="B719" s="5"/>
      <c r="C719" s="5"/>
      <c r="D719" s="5"/>
      <c r="E719" s="223"/>
      <c r="F719" s="9"/>
      <c r="G719" s="223"/>
      <c r="H719" s="224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5"/>
      <c r="B720" s="5"/>
      <c r="C720" s="5"/>
      <c r="D720" s="5"/>
      <c r="E720" s="223"/>
      <c r="F720" s="9"/>
      <c r="G720" s="223"/>
      <c r="H720" s="224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5"/>
      <c r="B721" s="5"/>
      <c r="C721" s="5"/>
      <c r="D721" s="5"/>
      <c r="E721" s="223"/>
      <c r="F721" s="9"/>
      <c r="G721" s="223"/>
      <c r="H721" s="224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5"/>
      <c r="B722" s="5"/>
      <c r="C722" s="5"/>
      <c r="D722" s="5"/>
      <c r="E722" s="223"/>
      <c r="F722" s="9"/>
      <c r="G722" s="223"/>
      <c r="H722" s="224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5"/>
      <c r="B723" s="5"/>
      <c r="C723" s="5"/>
      <c r="D723" s="5"/>
      <c r="E723" s="223"/>
      <c r="F723" s="9"/>
      <c r="G723" s="223"/>
      <c r="H723" s="224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5"/>
      <c r="B724" s="5"/>
      <c r="C724" s="5"/>
      <c r="D724" s="5"/>
      <c r="E724" s="223"/>
      <c r="F724" s="9"/>
      <c r="G724" s="223"/>
      <c r="H724" s="224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5"/>
      <c r="B725" s="5"/>
      <c r="C725" s="5"/>
      <c r="D725" s="5"/>
      <c r="E725" s="223"/>
      <c r="F725" s="9"/>
      <c r="G725" s="223"/>
      <c r="H725" s="224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5"/>
      <c r="B726" s="5"/>
      <c r="C726" s="5"/>
      <c r="D726" s="5"/>
      <c r="E726" s="223"/>
      <c r="F726" s="9"/>
      <c r="G726" s="223"/>
      <c r="H726" s="224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5"/>
      <c r="B727" s="5"/>
      <c r="C727" s="5"/>
      <c r="D727" s="5"/>
      <c r="E727" s="223"/>
      <c r="F727" s="9"/>
      <c r="G727" s="223"/>
      <c r="H727" s="224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5"/>
      <c r="B728" s="5"/>
      <c r="C728" s="5"/>
      <c r="D728" s="5"/>
      <c r="E728" s="223"/>
      <c r="F728" s="9"/>
      <c r="G728" s="223"/>
      <c r="H728" s="224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5"/>
      <c r="B729" s="5"/>
      <c r="C729" s="5"/>
      <c r="D729" s="5"/>
      <c r="E729" s="223"/>
      <c r="F729" s="9"/>
      <c r="G729" s="223"/>
      <c r="H729" s="224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5"/>
      <c r="B730" s="5"/>
      <c r="C730" s="5"/>
      <c r="D730" s="5"/>
      <c r="E730" s="223"/>
      <c r="F730" s="9"/>
      <c r="G730" s="223"/>
      <c r="H730" s="224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5"/>
      <c r="B731" s="5"/>
      <c r="C731" s="5"/>
      <c r="D731" s="5"/>
      <c r="E731" s="223"/>
      <c r="F731" s="9"/>
      <c r="G731" s="223"/>
      <c r="H731" s="224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5"/>
      <c r="B732" s="5"/>
      <c r="C732" s="5"/>
      <c r="D732" s="5"/>
      <c r="E732" s="223"/>
      <c r="F732" s="9"/>
      <c r="G732" s="223"/>
      <c r="H732" s="224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5"/>
      <c r="B733" s="5"/>
      <c r="C733" s="5"/>
      <c r="D733" s="5"/>
      <c r="E733" s="223"/>
      <c r="F733" s="9"/>
      <c r="G733" s="223"/>
      <c r="H733" s="224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5"/>
      <c r="B734" s="5"/>
      <c r="C734" s="5"/>
      <c r="D734" s="5"/>
      <c r="E734" s="223"/>
      <c r="F734" s="9"/>
      <c r="G734" s="223"/>
      <c r="H734" s="224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5"/>
      <c r="B735" s="5"/>
      <c r="C735" s="5"/>
      <c r="D735" s="5"/>
      <c r="E735" s="223"/>
      <c r="F735" s="9"/>
      <c r="G735" s="223"/>
      <c r="H735" s="224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5"/>
      <c r="B736" s="5"/>
      <c r="C736" s="5"/>
      <c r="D736" s="5"/>
      <c r="E736" s="223"/>
      <c r="F736" s="9"/>
      <c r="G736" s="223"/>
      <c r="H736" s="224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5"/>
      <c r="B737" s="5"/>
      <c r="C737" s="5"/>
      <c r="D737" s="5"/>
      <c r="E737" s="223"/>
      <c r="F737" s="9"/>
      <c r="G737" s="223"/>
      <c r="H737" s="224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5"/>
      <c r="B738" s="5"/>
      <c r="C738" s="5"/>
      <c r="D738" s="5"/>
      <c r="E738" s="223"/>
      <c r="F738" s="9"/>
      <c r="G738" s="223"/>
      <c r="H738" s="224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5"/>
      <c r="B739" s="5"/>
      <c r="C739" s="5"/>
      <c r="D739" s="5"/>
      <c r="E739" s="223"/>
      <c r="F739" s="9"/>
      <c r="G739" s="223"/>
      <c r="H739" s="224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5"/>
      <c r="B740" s="5"/>
      <c r="C740" s="5"/>
      <c r="D740" s="5"/>
      <c r="E740" s="223"/>
      <c r="F740" s="9"/>
      <c r="G740" s="223"/>
      <c r="H740" s="224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5"/>
      <c r="B741" s="5"/>
      <c r="C741" s="5"/>
      <c r="D741" s="5"/>
      <c r="E741" s="223"/>
      <c r="F741" s="9"/>
      <c r="G741" s="223"/>
      <c r="H741" s="224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5"/>
      <c r="B742" s="5"/>
      <c r="C742" s="5"/>
      <c r="D742" s="5"/>
      <c r="E742" s="223"/>
      <c r="F742" s="9"/>
      <c r="G742" s="223"/>
      <c r="H742" s="224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5"/>
      <c r="B743" s="5"/>
      <c r="C743" s="5"/>
      <c r="D743" s="5"/>
      <c r="E743" s="223"/>
      <c r="F743" s="9"/>
      <c r="G743" s="223"/>
      <c r="H743" s="224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5"/>
      <c r="B744" s="5"/>
      <c r="C744" s="5"/>
      <c r="D744" s="5"/>
      <c r="E744" s="223"/>
      <c r="F744" s="9"/>
      <c r="G744" s="223"/>
      <c r="H744" s="224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5"/>
      <c r="B745" s="5"/>
      <c r="C745" s="5"/>
      <c r="D745" s="5"/>
      <c r="E745" s="223"/>
      <c r="F745" s="9"/>
      <c r="G745" s="223"/>
      <c r="H745" s="224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5"/>
      <c r="B746" s="5"/>
      <c r="C746" s="5"/>
      <c r="D746" s="5"/>
      <c r="E746" s="223"/>
      <c r="F746" s="9"/>
      <c r="G746" s="223"/>
      <c r="H746" s="224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5"/>
      <c r="B747" s="5"/>
      <c r="C747" s="5"/>
      <c r="D747" s="5"/>
      <c r="E747" s="223"/>
      <c r="F747" s="9"/>
      <c r="G747" s="223"/>
      <c r="H747" s="224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5"/>
      <c r="B748" s="5"/>
      <c r="C748" s="5"/>
      <c r="D748" s="5"/>
      <c r="E748" s="223"/>
      <c r="F748" s="9"/>
      <c r="G748" s="223"/>
      <c r="H748" s="224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5"/>
      <c r="B749" s="5"/>
      <c r="C749" s="5"/>
      <c r="D749" s="5"/>
      <c r="E749" s="223"/>
      <c r="F749" s="9"/>
      <c r="G749" s="223"/>
      <c r="H749" s="224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5"/>
      <c r="B750" s="5"/>
      <c r="C750" s="5"/>
      <c r="D750" s="5"/>
      <c r="E750" s="223"/>
      <c r="F750" s="9"/>
      <c r="G750" s="223"/>
      <c r="H750" s="224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5"/>
      <c r="B751" s="5"/>
      <c r="C751" s="5"/>
      <c r="D751" s="5"/>
      <c r="E751" s="223"/>
      <c r="F751" s="9"/>
      <c r="G751" s="223"/>
      <c r="H751" s="224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5"/>
      <c r="B752" s="5"/>
      <c r="C752" s="5"/>
      <c r="D752" s="5"/>
      <c r="E752" s="223"/>
      <c r="F752" s="9"/>
      <c r="G752" s="223"/>
      <c r="H752" s="224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5"/>
      <c r="B753" s="5"/>
      <c r="C753" s="5"/>
      <c r="D753" s="5"/>
      <c r="E753" s="223"/>
      <c r="F753" s="9"/>
      <c r="G753" s="223"/>
      <c r="H753" s="224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5"/>
      <c r="B754" s="5"/>
      <c r="C754" s="5"/>
      <c r="D754" s="5"/>
      <c r="E754" s="223"/>
      <c r="F754" s="9"/>
      <c r="G754" s="223"/>
      <c r="H754" s="224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5"/>
      <c r="B755" s="5"/>
      <c r="C755" s="5"/>
      <c r="D755" s="5"/>
      <c r="E755" s="223"/>
      <c r="F755" s="9"/>
      <c r="G755" s="223"/>
      <c r="H755" s="224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5"/>
      <c r="B756" s="5"/>
      <c r="C756" s="5"/>
      <c r="D756" s="5"/>
      <c r="E756" s="223"/>
      <c r="F756" s="9"/>
      <c r="G756" s="223"/>
      <c r="H756" s="224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5"/>
      <c r="B757" s="5"/>
      <c r="C757" s="5"/>
      <c r="D757" s="5"/>
      <c r="E757" s="223"/>
      <c r="F757" s="9"/>
      <c r="G757" s="223"/>
      <c r="H757" s="224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5"/>
      <c r="B758" s="5"/>
      <c r="C758" s="5"/>
      <c r="D758" s="5"/>
      <c r="E758" s="223"/>
      <c r="F758" s="9"/>
      <c r="G758" s="223"/>
      <c r="H758" s="224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5"/>
      <c r="B759" s="5"/>
      <c r="C759" s="5"/>
      <c r="D759" s="5"/>
      <c r="E759" s="223"/>
      <c r="F759" s="9"/>
      <c r="G759" s="223"/>
      <c r="H759" s="224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5"/>
      <c r="B760" s="5"/>
      <c r="C760" s="5"/>
      <c r="D760" s="5"/>
      <c r="E760" s="223"/>
      <c r="F760" s="9"/>
      <c r="G760" s="223"/>
      <c r="H760" s="224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5"/>
      <c r="B761" s="5"/>
      <c r="C761" s="5"/>
      <c r="D761" s="5"/>
      <c r="E761" s="223"/>
      <c r="F761" s="9"/>
      <c r="G761" s="223"/>
      <c r="H761" s="224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5"/>
      <c r="B762" s="5"/>
      <c r="C762" s="5"/>
      <c r="D762" s="5"/>
      <c r="E762" s="223"/>
      <c r="F762" s="9"/>
      <c r="G762" s="223"/>
      <c r="H762" s="224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5"/>
      <c r="B763" s="5"/>
      <c r="C763" s="5"/>
      <c r="D763" s="5"/>
      <c r="E763" s="223"/>
      <c r="F763" s="9"/>
      <c r="G763" s="223"/>
      <c r="H763" s="224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5"/>
      <c r="B764" s="5"/>
      <c r="C764" s="5"/>
      <c r="D764" s="5"/>
      <c r="E764" s="223"/>
      <c r="F764" s="9"/>
      <c r="G764" s="223"/>
      <c r="H764" s="224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5"/>
      <c r="B765" s="5"/>
      <c r="C765" s="5"/>
      <c r="D765" s="5"/>
      <c r="E765" s="223"/>
      <c r="F765" s="9"/>
      <c r="G765" s="223"/>
      <c r="H765" s="224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5"/>
      <c r="B766" s="5"/>
      <c r="C766" s="5"/>
      <c r="D766" s="5"/>
      <c r="E766" s="223"/>
      <c r="F766" s="9"/>
      <c r="G766" s="223"/>
      <c r="H766" s="224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5"/>
      <c r="B767" s="5"/>
      <c r="C767" s="5"/>
      <c r="D767" s="5"/>
      <c r="E767" s="223"/>
      <c r="F767" s="9"/>
      <c r="G767" s="223"/>
      <c r="H767" s="224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5"/>
      <c r="B768" s="5"/>
      <c r="C768" s="5"/>
      <c r="D768" s="5"/>
      <c r="E768" s="223"/>
      <c r="F768" s="9"/>
      <c r="G768" s="223"/>
      <c r="H768" s="224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5"/>
      <c r="B769" s="5"/>
      <c r="C769" s="5"/>
      <c r="D769" s="5"/>
      <c r="E769" s="223"/>
      <c r="F769" s="9"/>
      <c r="G769" s="223"/>
      <c r="H769" s="224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5"/>
      <c r="B770" s="5"/>
      <c r="C770" s="5"/>
      <c r="D770" s="5"/>
      <c r="E770" s="223"/>
      <c r="F770" s="9"/>
      <c r="G770" s="223"/>
      <c r="H770" s="224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5"/>
      <c r="B771" s="5"/>
      <c r="C771" s="5"/>
      <c r="D771" s="5"/>
      <c r="E771" s="223"/>
      <c r="F771" s="9"/>
      <c r="G771" s="223"/>
      <c r="H771" s="224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5"/>
      <c r="B772" s="5"/>
      <c r="C772" s="5"/>
      <c r="D772" s="5"/>
      <c r="E772" s="223"/>
      <c r="F772" s="9"/>
      <c r="G772" s="223"/>
      <c r="H772" s="224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5"/>
      <c r="B773" s="5"/>
      <c r="C773" s="5"/>
      <c r="D773" s="5"/>
      <c r="E773" s="223"/>
      <c r="F773" s="9"/>
      <c r="G773" s="223"/>
      <c r="H773" s="224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5"/>
      <c r="B774" s="5"/>
      <c r="C774" s="5"/>
      <c r="D774" s="5"/>
      <c r="E774" s="223"/>
      <c r="F774" s="9"/>
      <c r="G774" s="223"/>
      <c r="H774" s="224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5"/>
      <c r="B775" s="5"/>
      <c r="C775" s="5"/>
      <c r="D775" s="5"/>
      <c r="E775" s="223"/>
      <c r="F775" s="9"/>
      <c r="G775" s="223"/>
      <c r="H775" s="224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5"/>
      <c r="B776" s="5"/>
      <c r="C776" s="5"/>
      <c r="D776" s="5"/>
      <c r="E776" s="223"/>
      <c r="F776" s="9"/>
      <c r="G776" s="223"/>
      <c r="H776" s="224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5"/>
      <c r="B777" s="5"/>
      <c r="C777" s="5"/>
      <c r="D777" s="5"/>
      <c r="E777" s="223"/>
      <c r="F777" s="9"/>
      <c r="G777" s="223"/>
      <c r="H777" s="224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5"/>
      <c r="B778" s="5"/>
      <c r="C778" s="5"/>
      <c r="D778" s="5"/>
      <c r="E778" s="223"/>
      <c r="F778" s="9"/>
      <c r="G778" s="223"/>
      <c r="H778" s="224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5"/>
      <c r="B779" s="5"/>
      <c r="C779" s="5"/>
      <c r="D779" s="5"/>
      <c r="E779" s="223"/>
      <c r="F779" s="9"/>
      <c r="G779" s="223"/>
      <c r="H779" s="224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5"/>
      <c r="B780" s="5"/>
      <c r="C780" s="5"/>
      <c r="D780" s="5"/>
      <c r="E780" s="223"/>
      <c r="F780" s="9"/>
      <c r="G780" s="223"/>
      <c r="H780" s="224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5"/>
      <c r="B781" s="5"/>
      <c r="C781" s="5"/>
      <c r="D781" s="5"/>
      <c r="E781" s="223"/>
      <c r="F781" s="9"/>
      <c r="G781" s="223"/>
      <c r="H781" s="224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5"/>
      <c r="B782" s="5"/>
      <c r="C782" s="5"/>
      <c r="D782" s="5"/>
      <c r="E782" s="223"/>
      <c r="F782" s="9"/>
      <c r="G782" s="223"/>
      <c r="H782" s="224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5"/>
      <c r="B783" s="5"/>
      <c r="C783" s="5"/>
      <c r="D783" s="5"/>
      <c r="E783" s="223"/>
      <c r="F783" s="9"/>
      <c r="G783" s="223"/>
      <c r="H783" s="224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5"/>
      <c r="B784" s="5"/>
      <c r="C784" s="5"/>
      <c r="D784" s="5"/>
      <c r="E784" s="223"/>
      <c r="F784" s="9"/>
      <c r="G784" s="223"/>
      <c r="H784" s="224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5"/>
      <c r="B785" s="5"/>
      <c r="C785" s="5"/>
      <c r="D785" s="5"/>
      <c r="E785" s="223"/>
      <c r="F785" s="9"/>
      <c r="G785" s="223"/>
      <c r="H785" s="224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5"/>
      <c r="B786" s="5"/>
      <c r="C786" s="5"/>
      <c r="D786" s="5"/>
      <c r="E786" s="223"/>
      <c r="F786" s="9"/>
      <c r="G786" s="223"/>
      <c r="H786" s="224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5"/>
      <c r="B787" s="5"/>
      <c r="C787" s="5"/>
      <c r="D787" s="5"/>
      <c r="E787" s="223"/>
      <c r="F787" s="9"/>
      <c r="G787" s="223"/>
      <c r="H787" s="224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5"/>
      <c r="B788" s="5"/>
      <c r="C788" s="5"/>
      <c r="D788" s="5"/>
      <c r="E788" s="223"/>
      <c r="F788" s="9"/>
      <c r="G788" s="223"/>
      <c r="H788" s="224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5"/>
      <c r="B789" s="5"/>
      <c r="C789" s="5"/>
      <c r="D789" s="5"/>
      <c r="E789" s="223"/>
      <c r="F789" s="9"/>
      <c r="G789" s="223"/>
      <c r="H789" s="224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5"/>
      <c r="B790" s="5"/>
      <c r="C790" s="5"/>
      <c r="D790" s="5"/>
      <c r="E790" s="223"/>
      <c r="F790" s="9"/>
      <c r="G790" s="223"/>
      <c r="H790" s="224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5"/>
      <c r="B791" s="5"/>
      <c r="C791" s="5"/>
      <c r="D791" s="5"/>
      <c r="E791" s="223"/>
      <c r="F791" s="9"/>
      <c r="G791" s="223"/>
      <c r="H791" s="224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5"/>
      <c r="B792" s="5"/>
      <c r="C792" s="5"/>
      <c r="D792" s="5"/>
      <c r="E792" s="223"/>
      <c r="F792" s="9"/>
      <c r="G792" s="223"/>
      <c r="H792" s="224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5"/>
      <c r="B793" s="5"/>
      <c r="C793" s="5"/>
      <c r="D793" s="5"/>
      <c r="E793" s="223"/>
      <c r="F793" s="9"/>
      <c r="G793" s="223"/>
      <c r="H793" s="224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5"/>
      <c r="B794" s="5"/>
      <c r="C794" s="5"/>
      <c r="D794" s="5"/>
      <c r="E794" s="223"/>
      <c r="F794" s="9"/>
      <c r="G794" s="223"/>
      <c r="H794" s="224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5"/>
      <c r="B795" s="5"/>
      <c r="C795" s="5"/>
      <c r="D795" s="5"/>
      <c r="E795" s="223"/>
      <c r="F795" s="9"/>
      <c r="G795" s="223"/>
      <c r="H795" s="224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5"/>
      <c r="B796" s="5"/>
      <c r="C796" s="5"/>
      <c r="D796" s="5"/>
      <c r="E796" s="223"/>
      <c r="F796" s="9"/>
      <c r="G796" s="223"/>
      <c r="H796" s="224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5"/>
      <c r="B797" s="5"/>
      <c r="C797" s="5"/>
      <c r="D797" s="5"/>
      <c r="E797" s="223"/>
      <c r="F797" s="9"/>
      <c r="G797" s="223"/>
      <c r="H797" s="224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5"/>
      <c r="B798" s="5"/>
      <c r="C798" s="5"/>
      <c r="D798" s="5"/>
      <c r="E798" s="223"/>
      <c r="F798" s="9"/>
      <c r="G798" s="223"/>
      <c r="H798" s="224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5"/>
      <c r="B799" s="5"/>
      <c r="C799" s="5"/>
      <c r="D799" s="5"/>
      <c r="E799" s="223"/>
      <c r="F799" s="9"/>
      <c r="G799" s="223"/>
      <c r="H799" s="224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5"/>
      <c r="B800" s="5"/>
      <c r="C800" s="5"/>
      <c r="D800" s="5"/>
      <c r="E800" s="223"/>
      <c r="F800" s="9"/>
      <c r="G800" s="223"/>
      <c r="H800" s="224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5"/>
      <c r="B801" s="5"/>
      <c r="C801" s="5"/>
      <c r="D801" s="5"/>
      <c r="E801" s="223"/>
      <c r="F801" s="9"/>
      <c r="G801" s="223"/>
      <c r="H801" s="224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5"/>
      <c r="B802" s="5"/>
      <c r="C802" s="5"/>
      <c r="D802" s="5"/>
      <c r="E802" s="223"/>
      <c r="F802" s="9"/>
      <c r="G802" s="223"/>
      <c r="H802" s="224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5"/>
      <c r="B803" s="5"/>
      <c r="C803" s="5"/>
      <c r="D803" s="5"/>
      <c r="E803" s="223"/>
      <c r="F803" s="9"/>
      <c r="G803" s="223"/>
      <c r="H803" s="224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5"/>
      <c r="B804" s="5"/>
      <c r="C804" s="5"/>
      <c r="D804" s="5"/>
      <c r="E804" s="223"/>
      <c r="F804" s="9"/>
      <c r="G804" s="223"/>
      <c r="H804" s="224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5"/>
      <c r="B805" s="5"/>
      <c r="C805" s="5"/>
      <c r="D805" s="5"/>
      <c r="E805" s="223"/>
      <c r="F805" s="9"/>
      <c r="G805" s="223"/>
      <c r="H805" s="224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5"/>
      <c r="B806" s="5"/>
      <c r="C806" s="5"/>
      <c r="D806" s="5"/>
      <c r="E806" s="223"/>
      <c r="F806" s="9"/>
      <c r="G806" s="223"/>
      <c r="H806" s="224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5"/>
      <c r="B807" s="5"/>
      <c r="C807" s="5"/>
      <c r="D807" s="5"/>
      <c r="E807" s="223"/>
      <c r="F807" s="9"/>
      <c r="G807" s="223"/>
      <c r="H807" s="224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5"/>
      <c r="B808" s="5"/>
      <c r="C808" s="5"/>
      <c r="D808" s="5"/>
      <c r="E808" s="223"/>
      <c r="F808" s="9"/>
      <c r="G808" s="223"/>
      <c r="H808" s="224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5"/>
      <c r="B809" s="5"/>
      <c r="C809" s="5"/>
      <c r="D809" s="5"/>
      <c r="E809" s="223"/>
      <c r="F809" s="9"/>
      <c r="G809" s="223"/>
      <c r="H809" s="224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5"/>
      <c r="B810" s="5"/>
      <c r="C810" s="5"/>
      <c r="D810" s="5"/>
      <c r="E810" s="223"/>
      <c r="F810" s="9"/>
      <c r="G810" s="223"/>
      <c r="H810" s="224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5"/>
      <c r="B811" s="5"/>
      <c r="C811" s="5"/>
      <c r="D811" s="5"/>
      <c r="E811" s="223"/>
      <c r="F811" s="9"/>
      <c r="G811" s="223"/>
      <c r="H811" s="224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5"/>
      <c r="B812" s="5"/>
      <c r="C812" s="5"/>
      <c r="D812" s="5"/>
      <c r="E812" s="223"/>
      <c r="F812" s="9"/>
      <c r="G812" s="223"/>
      <c r="H812" s="224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5"/>
      <c r="B813" s="5"/>
      <c r="C813" s="5"/>
      <c r="D813" s="5"/>
      <c r="E813" s="223"/>
      <c r="F813" s="9"/>
      <c r="G813" s="223"/>
      <c r="H813" s="224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5"/>
      <c r="B814" s="5"/>
      <c r="C814" s="5"/>
      <c r="D814" s="5"/>
      <c r="E814" s="223"/>
      <c r="F814" s="9"/>
      <c r="G814" s="223"/>
      <c r="H814" s="224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5"/>
      <c r="B815" s="5"/>
      <c r="C815" s="5"/>
      <c r="D815" s="5"/>
      <c r="E815" s="223"/>
      <c r="F815" s="9"/>
      <c r="G815" s="223"/>
      <c r="H815" s="224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5"/>
      <c r="B816" s="5"/>
      <c r="C816" s="5"/>
      <c r="D816" s="5"/>
      <c r="E816" s="223"/>
      <c r="F816" s="9"/>
      <c r="G816" s="223"/>
      <c r="H816" s="224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5"/>
      <c r="B817" s="5"/>
      <c r="C817" s="5"/>
      <c r="D817" s="5"/>
      <c r="E817" s="223"/>
      <c r="F817" s="9"/>
      <c r="G817" s="223"/>
      <c r="H817" s="224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5"/>
      <c r="B818" s="5"/>
      <c r="C818" s="5"/>
      <c r="D818" s="5"/>
      <c r="E818" s="223"/>
      <c r="F818" s="9"/>
      <c r="G818" s="223"/>
      <c r="H818" s="224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5"/>
      <c r="B819" s="5"/>
      <c r="C819" s="5"/>
      <c r="D819" s="5"/>
      <c r="E819" s="223"/>
      <c r="F819" s="9"/>
      <c r="G819" s="223"/>
      <c r="H819" s="224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5"/>
      <c r="B820" s="5"/>
      <c r="C820" s="5"/>
      <c r="D820" s="5"/>
      <c r="E820" s="223"/>
      <c r="F820" s="9"/>
      <c r="G820" s="223"/>
      <c r="H820" s="224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5"/>
      <c r="B821" s="5"/>
      <c r="C821" s="5"/>
      <c r="D821" s="5"/>
      <c r="E821" s="223"/>
      <c r="F821" s="9"/>
      <c r="G821" s="223"/>
      <c r="H821" s="224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5"/>
      <c r="B822" s="5"/>
      <c r="C822" s="5"/>
      <c r="D822" s="5"/>
      <c r="E822" s="223"/>
      <c r="F822" s="9"/>
      <c r="G822" s="223"/>
      <c r="H822" s="224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5"/>
      <c r="B823" s="5"/>
      <c r="C823" s="5"/>
      <c r="D823" s="5"/>
      <c r="E823" s="223"/>
      <c r="F823" s="9"/>
      <c r="G823" s="223"/>
      <c r="H823" s="224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5"/>
      <c r="B824" s="5"/>
      <c r="C824" s="5"/>
      <c r="D824" s="5"/>
      <c r="E824" s="223"/>
      <c r="F824" s="9"/>
      <c r="G824" s="223"/>
      <c r="H824" s="224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5"/>
      <c r="B825" s="5"/>
      <c r="C825" s="5"/>
      <c r="D825" s="5"/>
      <c r="E825" s="223"/>
      <c r="F825" s="9"/>
      <c r="G825" s="223"/>
      <c r="H825" s="224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5"/>
      <c r="B826" s="5"/>
      <c r="C826" s="5"/>
      <c r="D826" s="5"/>
      <c r="E826" s="223"/>
      <c r="F826" s="9"/>
      <c r="G826" s="223"/>
      <c r="H826" s="224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5"/>
      <c r="B827" s="5"/>
      <c r="C827" s="5"/>
      <c r="D827" s="5"/>
      <c r="E827" s="223"/>
      <c r="F827" s="9"/>
      <c r="G827" s="223"/>
      <c r="H827" s="224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5"/>
      <c r="B828" s="5"/>
      <c r="C828" s="5"/>
      <c r="D828" s="5"/>
      <c r="E828" s="223"/>
      <c r="F828" s="9"/>
      <c r="G828" s="223"/>
      <c r="H828" s="224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5"/>
      <c r="B829" s="5"/>
      <c r="C829" s="5"/>
      <c r="D829" s="5"/>
      <c r="E829" s="223"/>
      <c r="F829" s="9"/>
      <c r="G829" s="223"/>
      <c r="H829" s="224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5"/>
      <c r="B830" s="5"/>
      <c r="C830" s="5"/>
      <c r="D830" s="5"/>
      <c r="E830" s="223"/>
      <c r="F830" s="9"/>
      <c r="G830" s="223"/>
      <c r="H830" s="224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5"/>
      <c r="B831" s="5"/>
      <c r="C831" s="5"/>
      <c r="D831" s="5"/>
      <c r="E831" s="223"/>
      <c r="F831" s="9"/>
      <c r="G831" s="223"/>
      <c r="H831" s="224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5"/>
      <c r="B832" s="5"/>
      <c r="C832" s="5"/>
      <c r="D832" s="5"/>
      <c r="E832" s="223"/>
      <c r="F832" s="9"/>
      <c r="G832" s="223"/>
      <c r="H832" s="224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5"/>
      <c r="B833" s="5"/>
      <c r="C833" s="5"/>
      <c r="D833" s="5"/>
      <c r="E833" s="223"/>
      <c r="F833" s="9"/>
      <c r="G833" s="223"/>
      <c r="H833" s="224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5"/>
      <c r="B834" s="5"/>
      <c r="C834" s="5"/>
      <c r="D834" s="5"/>
      <c r="E834" s="223"/>
      <c r="F834" s="9"/>
      <c r="G834" s="223"/>
      <c r="H834" s="224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5"/>
      <c r="B835" s="5"/>
      <c r="C835" s="5"/>
      <c r="D835" s="5"/>
      <c r="E835" s="223"/>
      <c r="F835" s="9"/>
      <c r="G835" s="223"/>
      <c r="H835" s="224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5"/>
      <c r="B836" s="5"/>
      <c r="C836" s="5"/>
      <c r="D836" s="5"/>
      <c r="E836" s="223"/>
      <c r="F836" s="9"/>
      <c r="G836" s="223"/>
      <c r="H836" s="224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5"/>
      <c r="B837" s="5"/>
      <c r="C837" s="5"/>
      <c r="D837" s="5"/>
      <c r="E837" s="223"/>
      <c r="F837" s="9"/>
      <c r="G837" s="223"/>
      <c r="H837" s="224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5"/>
      <c r="B838" s="5"/>
      <c r="C838" s="5"/>
      <c r="D838" s="5"/>
      <c r="E838" s="223"/>
      <c r="F838" s="9"/>
      <c r="G838" s="223"/>
      <c r="H838" s="224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5"/>
      <c r="B839" s="5"/>
      <c r="C839" s="5"/>
      <c r="D839" s="5"/>
      <c r="E839" s="223"/>
      <c r="F839" s="9"/>
      <c r="G839" s="223"/>
      <c r="H839" s="224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5"/>
      <c r="B840" s="5"/>
      <c r="C840" s="5"/>
      <c r="D840" s="5"/>
      <c r="E840" s="223"/>
      <c r="F840" s="9"/>
      <c r="G840" s="223"/>
      <c r="H840" s="224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5"/>
      <c r="B841" s="5"/>
      <c r="C841" s="5"/>
      <c r="D841" s="5"/>
      <c r="E841" s="223"/>
      <c r="F841" s="9"/>
      <c r="G841" s="223"/>
      <c r="H841" s="224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5"/>
      <c r="B842" s="5"/>
      <c r="C842" s="5"/>
      <c r="D842" s="5"/>
      <c r="E842" s="223"/>
      <c r="F842" s="9"/>
      <c r="G842" s="223"/>
      <c r="H842" s="224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5"/>
      <c r="B843" s="5"/>
      <c r="C843" s="5"/>
      <c r="D843" s="5"/>
      <c r="E843" s="223"/>
      <c r="F843" s="9"/>
      <c r="G843" s="223"/>
      <c r="H843" s="224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5"/>
      <c r="B844" s="5"/>
      <c r="C844" s="5"/>
      <c r="D844" s="5"/>
      <c r="E844" s="223"/>
      <c r="F844" s="9"/>
      <c r="G844" s="223"/>
      <c r="H844" s="224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5"/>
      <c r="B845" s="5"/>
      <c r="C845" s="5"/>
      <c r="D845" s="5"/>
      <c r="E845" s="223"/>
      <c r="F845" s="9"/>
      <c r="G845" s="223"/>
      <c r="H845" s="224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5"/>
      <c r="B846" s="5"/>
      <c r="C846" s="5"/>
      <c r="D846" s="5"/>
      <c r="E846" s="223"/>
      <c r="F846" s="9"/>
      <c r="G846" s="223"/>
      <c r="H846" s="224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5"/>
      <c r="B847" s="5"/>
      <c r="C847" s="5"/>
      <c r="D847" s="5"/>
      <c r="E847" s="223"/>
      <c r="F847" s="9"/>
      <c r="G847" s="223"/>
      <c r="H847" s="224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5"/>
      <c r="B848" s="5"/>
      <c r="C848" s="5"/>
      <c r="D848" s="5"/>
      <c r="E848" s="223"/>
      <c r="F848" s="9"/>
      <c r="G848" s="223"/>
      <c r="H848" s="224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5"/>
      <c r="B849" s="5"/>
      <c r="C849" s="5"/>
      <c r="D849" s="5"/>
      <c r="E849" s="223"/>
      <c r="F849" s="9"/>
      <c r="G849" s="223"/>
      <c r="H849" s="224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5"/>
      <c r="B850" s="5"/>
      <c r="C850" s="5"/>
      <c r="D850" s="5"/>
      <c r="E850" s="223"/>
      <c r="F850" s="9"/>
      <c r="G850" s="223"/>
      <c r="H850" s="224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5"/>
      <c r="B851" s="5"/>
      <c r="C851" s="5"/>
      <c r="D851" s="5"/>
      <c r="E851" s="223"/>
      <c r="F851" s="9"/>
      <c r="G851" s="223"/>
      <c r="H851" s="224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5"/>
      <c r="B852" s="5"/>
      <c r="C852" s="5"/>
      <c r="D852" s="5"/>
      <c r="E852" s="223"/>
      <c r="F852" s="9"/>
      <c r="G852" s="223"/>
      <c r="H852" s="224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5"/>
      <c r="B853" s="5"/>
      <c r="C853" s="5"/>
      <c r="D853" s="5"/>
      <c r="E853" s="223"/>
      <c r="F853" s="9"/>
      <c r="G853" s="223"/>
      <c r="H853" s="224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5"/>
      <c r="B854" s="5"/>
      <c r="C854" s="5"/>
      <c r="D854" s="5"/>
      <c r="E854" s="223"/>
      <c r="F854" s="9"/>
      <c r="G854" s="223"/>
      <c r="H854" s="224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5"/>
      <c r="B855" s="5"/>
      <c r="C855" s="5"/>
      <c r="D855" s="5"/>
      <c r="E855" s="223"/>
      <c r="F855" s="9"/>
      <c r="G855" s="223"/>
      <c r="H855" s="224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5"/>
      <c r="B856" s="5"/>
      <c r="C856" s="5"/>
      <c r="D856" s="5"/>
      <c r="E856" s="223"/>
      <c r="F856" s="9"/>
      <c r="G856" s="223"/>
      <c r="H856" s="224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5"/>
      <c r="B857" s="5"/>
      <c r="C857" s="5"/>
      <c r="D857" s="5"/>
      <c r="E857" s="223"/>
      <c r="F857" s="9"/>
      <c r="G857" s="223"/>
      <c r="H857" s="224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5"/>
      <c r="B858" s="5"/>
      <c r="C858" s="5"/>
      <c r="D858" s="5"/>
      <c r="E858" s="223"/>
      <c r="F858" s="9"/>
      <c r="G858" s="223"/>
      <c r="H858" s="224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5"/>
      <c r="B859" s="5"/>
      <c r="C859" s="5"/>
      <c r="D859" s="5"/>
      <c r="E859" s="223"/>
      <c r="F859" s="9"/>
      <c r="G859" s="223"/>
      <c r="H859" s="224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5"/>
      <c r="B860" s="5"/>
      <c r="C860" s="5"/>
      <c r="D860" s="5"/>
      <c r="E860" s="223"/>
      <c r="F860" s="9"/>
      <c r="G860" s="223"/>
      <c r="H860" s="224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5"/>
      <c r="B861" s="5"/>
      <c r="C861" s="5"/>
      <c r="D861" s="5"/>
      <c r="E861" s="223"/>
      <c r="F861" s="9"/>
      <c r="G861" s="223"/>
      <c r="H861" s="224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5"/>
      <c r="B862" s="5"/>
      <c r="C862" s="5"/>
      <c r="D862" s="5"/>
      <c r="E862" s="223"/>
      <c r="F862" s="9"/>
      <c r="G862" s="223"/>
      <c r="H862" s="224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5"/>
      <c r="B863" s="5"/>
      <c r="C863" s="5"/>
      <c r="D863" s="5"/>
      <c r="E863" s="223"/>
      <c r="F863" s="9"/>
      <c r="G863" s="223"/>
      <c r="H863" s="224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5"/>
      <c r="B864" s="5"/>
      <c r="C864" s="5"/>
      <c r="D864" s="5"/>
      <c r="E864" s="223"/>
      <c r="F864" s="9"/>
      <c r="G864" s="223"/>
      <c r="H864" s="224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5"/>
      <c r="B865" s="5"/>
      <c r="C865" s="5"/>
      <c r="D865" s="5"/>
      <c r="E865" s="223"/>
      <c r="F865" s="9"/>
      <c r="G865" s="223"/>
      <c r="H865" s="224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5"/>
      <c r="B866" s="5"/>
      <c r="C866" s="5"/>
      <c r="D866" s="5"/>
      <c r="E866" s="223"/>
      <c r="F866" s="9"/>
      <c r="G866" s="223"/>
      <c r="H866" s="224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5"/>
      <c r="B867" s="5"/>
      <c r="C867" s="5"/>
      <c r="D867" s="5"/>
      <c r="E867" s="223"/>
      <c r="F867" s="9"/>
      <c r="G867" s="223"/>
      <c r="H867" s="224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5"/>
      <c r="B868" s="5"/>
      <c r="C868" s="5"/>
      <c r="D868" s="5"/>
      <c r="E868" s="223"/>
      <c r="F868" s="9"/>
      <c r="G868" s="223"/>
      <c r="H868" s="224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5"/>
      <c r="B869" s="5"/>
      <c r="C869" s="5"/>
      <c r="D869" s="5"/>
      <c r="E869" s="223"/>
      <c r="F869" s="9"/>
      <c r="G869" s="223"/>
      <c r="H869" s="224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5"/>
      <c r="B870" s="5"/>
      <c r="C870" s="5"/>
      <c r="D870" s="5"/>
      <c r="E870" s="223"/>
      <c r="F870" s="9"/>
      <c r="G870" s="223"/>
      <c r="H870" s="224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5"/>
      <c r="B871" s="5"/>
      <c r="C871" s="5"/>
      <c r="D871" s="5"/>
      <c r="E871" s="223"/>
      <c r="F871" s="9"/>
      <c r="G871" s="223"/>
      <c r="H871" s="224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5"/>
      <c r="B872" s="5"/>
      <c r="C872" s="5"/>
      <c r="D872" s="5"/>
      <c r="E872" s="223"/>
      <c r="F872" s="9"/>
      <c r="G872" s="223"/>
      <c r="H872" s="224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5"/>
      <c r="B873" s="5"/>
      <c r="C873" s="5"/>
      <c r="D873" s="5"/>
      <c r="E873" s="223"/>
      <c r="F873" s="9"/>
      <c r="G873" s="223"/>
      <c r="H873" s="224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5"/>
      <c r="B874" s="5"/>
      <c r="C874" s="5"/>
      <c r="D874" s="5"/>
      <c r="E874" s="223"/>
      <c r="F874" s="9"/>
      <c r="G874" s="223"/>
      <c r="H874" s="224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5"/>
      <c r="B875" s="5"/>
      <c r="C875" s="5"/>
      <c r="D875" s="5"/>
      <c r="E875" s="223"/>
      <c r="F875" s="9"/>
      <c r="G875" s="223"/>
      <c r="H875" s="224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5"/>
      <c r="B876" s="5"/>
      <c r="C876" s="5"/>
      <c r="D876" s="5"/>
      <c r="E876" s="223"/>
      <c r="F876" s="9"/>
      <c r="G876" s="223"/>
      <c r="H876" s="224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5"/>
      <c r="B877" s="5"/>
      <c r="C877" s="5"/>
      <c r="D877" s="5"/>
      <c r="E877" s="223"/>
      <c r="F877" s="9"/>
      <c r="G877" s="223"/>
      <c r="H877" s="224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5"/>
      <c r="B878" s="5"/>
      <c r="C878" s="5"/>
      <c r="D878" s="5"/>
      <c r="E878" s="223"/>
      <c r="F878" s="9"/>
      <c r="G878" s="223"/>
      <c r="H878" s="224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5"/>
      <c r="B879" s="5"/>
      <c r="C879" s="5"/>
      <c r="D879" s="5"/>
      <c r="E879" s="223"/>
      <c r="F879" s="9"/>
      <c r="G879" s="223"/>
      <c r="H879" s="224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5"/>
      <c r="B880" s="5"/>
      <c r="C880" s="5"/>
      <c r="D880" s="5"/>
      <c r="E880" s="223"/>
      <c r="F880" s="9"/>
      <c r="G880" s="223"/>
      <c r="H880" s="224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5"/>
      <c r="B881" s="5"/>
      <c r="C881" s="5"/>
      <c r="D881" s="5"/>
      <c r="E881" s="223"/>
      <c r="F881" s="9"/>
      <c r="G881" s="223"/>
      <c r="H881" s="224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5"/>
      <c r="B882" s="5"/>
      <c r="C882" s="5"/>
      <c r="D882" s="5"/>
      <c r="E882" s="223"/>
      <c r="F882" s="9"/>
      <c r="G882" s="223"/>
      <c r="H882" s="224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5"/>
      <c r="B883" s="5"/>
      <c r="C883" s="5"/>
      <c r="D883" s="5"/>
      <c r="E883" s="223"/>
      <c r="F883" s="9"/>
      <c r="G883" s="223"/>
      <c r="H883" s="224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5"/>
      <c r="B884" s="5"/>
      <c r="C884" s="5"/>
      <c r="D884" s="5"/>
      <c r="E884" s="223"/>
      <c r="F884" s="9"/>
      <c r="G884" s="223"/>
      <c r="H884" s="224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5"/>
      <c r="B885" s="5"/>
      <c r="C885" s="5"/>
      <c r="D885" s="5"/>
      <c r="E885" s="223"/>
      <c r="F885" s="9"/>
      <c r="G885" s="223"/>
      <c r="H885" s="224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5"/>
      <c r="B886" s="5"/>
      <c r="C886" s="5"/>
      <c r="D886" s="5"/>
      <c r="E886" s="223"/>
      <c r="F886" s="9"/>
      <c r="G886" s="223"/>
      <c r="H886" s="224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5"/>
      <c r="B887" s="5"/>
      <c r="C887" s="5"/>
      <c r="D887" s="5"/>
      <c r="E887" s="223"/>
      <c r="F887" s="9"/>
      <c r="G887" s="223"/>
      <c r="H887" s="224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5"/>
      <c r="B888" s="5"/>
      <c r="C888" s="5"/>
      <c r="D888" s="5"/>
      <c r="E888" s="223"/>
      <c r="F888" s="9"/>
      <c r="G888" s="223"/>
      <c r="H888" s="224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5"/>
      <c r="B889" s="5"/>
      <c r="C889" s="5"/>
      <c r="D889" s="5"/>
      <c r="E889" s="223"/>
      <c r="F889" s="9"/>
      <c r="G889" s="223"/>
      <c r="H889" s="224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5"/>
      <c r="B890" s="5"/>
      <c r="C890" s="5"/>
      <c r="D890" s="5"/>
      <c r="E890" s="223"/>
      <c r="F890" s="9"/>
      <c r="G890" s="223"/>
      <c r="H890" s="224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5"/>
      <c r="B891" s="5"/>
      <c r="C891" s="5"/>
      <c r="D891" s="5"/>
      <c r="E891" s="223"/>
      <c r="F891" s="9"/>
      <c r="G891" s="223"/>
      <c r="H891" s="224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5"/>
      <c r="B892" s="5"/>
      <c r="C892" s="5"/>
      <c r="D892" s="5"/>
      <c r="E892" s="223"/>
      <c r="F892" s="9"/>
      <c r="G892" s="223"/>
      <c r="H892" s="224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5"/>
      <c r="B893" s="5"/>
      <c r="C893" s="5"/>
      <c r="D893" s="5"/>
      <c r="E893" s="223"/>
      <c r="F893" s="9"/>
      <c r="G893" s="223"/>
      <c r="H893" s="224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5"/>
      <c r="B894" s="5"/>
      <c r="C894" s="5"/>
      <c r="D894" s="5"/>
      <c r="E894" s="223"/>
      <c r="F894" s="9"/>
      <c r="G894" s="223"/>
      <c r="H894" s="224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5"/>
      <c r="B895" s="5"/>
      <c r="C895" s="5"/>
      <c r="D895" s="5"/>
      <c r="E895" s="223"/>
      <c r="F895" s="9"/>
      <c r="G895" s="223"/>
      <c r="H895" s="224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5"/>
      <c r="B896" s="5"/>
      <c r="C896" s="5"/>
      <c r="D896" s="5"/>
      <c r="E896" s="223"/>
      <c r="F896" s="9"/>
      <c r="G896" s="223"/>
      <c r="H896" s="224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5"/>
      <c r="B897" s="5"/>
      <c r="C897" s="5"/>
      <c r="D897" s="5"/>
      <c r="E897" s="223"/>
      <c r="F897" s="9"/>
      <c r="G897" s="223"/>
      <c r="H897" s="224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5"/>
      <c r="B898" s="5"/>
      <c r="C898" s="5"/>
      <c r="D898" s="5"/>
      <c r="E898" s="223"/>
      <c r="F898" s="9"/>
      <c r="G898" s="223"/>
      <c r="H898" s="224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5"/>
      <c r="B899" s="5"/>
      <c r="C899" s="5"/>
      <c r="D899" s="5"/>
      <c r="E899" s="223"/>
      <c r="F899" s="9"/>
      <c r="G899" s="223"/>
      <c r="H899" s="224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5"/>
      <c r="B900" s="5"/>
      <c r="C900" s="5"/>
      <c r="D900" s="5"/>
      <c r="E900" s="223"/>
      <c r="F900" s="9"/>
      <c r="G900" s="223"/>
      <c r="H900" s="224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5"/>
      <c r="B901" s="5"/>
      <c r="C901" s="5"/>
      <c r="D901" s="5"/>
      <c r="E901" s="223"/>
      <c r="F901" s="9"/>
      <c r="G901" s="223"/>
      <c r="H901" s="224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5"/>
      <c r="B902" s="5"/>
      <c r="C902" s="5"/>
      <c r="D902" s="5"/>
      <c r="E902" s="223"/>
      <c r="F902" s="9"/>
      <c r="G902" s="223"/>
      <c r="H902" s="224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5"/>
      <c r="B903" s="5"/>
      <c r="C903" s="5"/>
      <c r="D903" s="5"/>
      <c r="E903" s="223"/>
      <c r="F903" s="9"/>
      <c r="G903" s="223"/>
      <c r="H903" s="224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5"/>
      <c r="B904" s="5"/>
      <c r="C904" s="5"/>
      <c r="D904" s="5"/>
      <c r="E904" s="223"/>
      <c r="F904" s="9"/>
      <c r="G904" s="223"/>
      <c r="H904" s="224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5"/>
      <c r="B905" s="5"/>
      <c r="C905" s="5"/>
      <c r="D905" s="5"/>
      <c r="E905" s="223"/>
      <c r="F905" s="9"/>
      <c r="G905" s="223"/>
      <c r="H905" s="224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5"/>
      <c r="B906" s="5"/>
      <c r="C906" s="5"/>
      <c r="D906" s="5"/>
      <c r="E906" s="223"/>
      <c r="F906" s="9"/>
      <c r="G906" s="223"/>
      <c r="H906" s="224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5"/>
      <c r="B907" s="5"/>
      <c r="C907" s="5"/>
      <c r="D907" s="5"/>
      <c r="E907" s="223"/>
      <c r="F907" s="9"/>
      <c r="G907" s="223"/>
      <c r="H907" s="224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5"/>
      <c r="B908" s="5"/>
      <c r="C908" s="5"/>
      <c r="D908" s="5"/>
      <c r="E908" s="223"/>
      <c r="F908" s="9"/>
      <c r="G908" s="223"/>
      <c r="H908" s="224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5"/>
      <c r="B909" s="5"/>
      <c r="C909" s="5"/>
      <c r="D909" s="5"/>
      <c r="E909" s="223"/>
      <c r="F909" s="9"/>
      <c r="G909" s="223"/>
      <c r="H909" s="224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5"/>
      <c r="B910" s="5"/>
      <c r="C910" s="5"/>
      <c r="D910" s="5"/>
      <c r="E910" s="223"/>
      <c r="F910" s="9"/>
      <c r="G910" s="223"/>
      <c r="H910" s="224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5"/>
      <c r="B911" s="5"/>
      <c r="C911" s="5"/>
      <c r="D911" s="5"/>
      <c r="E911" s="223"/>
      <c r="F911" s="9"/>
      <c r="G911" s="223"/>
      <c r="H911" s="224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5"/>
      <c r="B912" s="5"/>
      <c r="C912" s="5"/>
      <c r="D912" s="5"/>
      <c r="E912" s="223"/>
      <c r="F912" s="9"/>
      <c r="G912" s="223"/>
      <c r="H912" s="224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5"/>
      <c r="B913" s="5"/>
      <c r="C913" s="5"/>
      <c r="D913" s="5"/>
      <c r="E913" s="223"/>
      <c r="F913" s="9"/>
      <c r="G913" s="223"/>
      <c r="H913" s="224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5"/>
      <c r="B914" s="5"/>
      <c r="C914" s="5"/>
      <c r="D914" s="5"/>
      <c r="E914" s="223"/>
      <c r="F914" s="9"/>
      <c r="G914" s="223"/>
      <c r="H914" s="224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5"/>
      <c r="B915" s="5"/>
      <c r="C915" s="5"/>
      <c r="D915" s="5"/>
      <c r="E915" s="223"/>
      <c r="F915" s="9"/>
      <c r="G915" s="223"/>
      <c r="H915" s="224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5"/>
      <c r="B916" s="5"/>
      <c r="C916" s="5"/>
      <c r="D916" s="5"/>
      <c r="E916" s="223"/>
      <c r="F916" s="9"/>
      <c r="G916" s="223"/>
      <c r="H916" s="224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5"/>
      <c r="B917" s="5"/>
      <c r="C917" s="5"/>
      <c r="D917" s="5"/>
      <c r="E917" s="223"/>
      <c r="F917" s="9"/>
      <c r="G917" s="223"/>
      <c r="H917" s="224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5"/>
      <c r="B918" s="5"/>
      <c r="C918" s="5"/>
      <c r="D918" s="5"/>
      <c r="E918" s="223"/>
      <c r="F918" s="9"/>
      <c r="G918" s="223"/>
      <c r="H918" s="224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5"/>
      <c r="B919" s="5"/>
      <c r="C919" s="5"/>
      <c r="D919" s="5"/>
      <c r="E919" s="223"/>
      <c r="F919" s="9"/>
      <c r="G919" s="223"/>
      <c r="H919" s="224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5"/>
      <c r="B920" s="5"/>
      <c r="C920" s="5"/>
      <c r="D920" s="5"/>
      <c r="E920" s="223"/>
      <c r="F920" s="9"/>
      <c r="G920" s="223"/>
      <c r="H920" s="224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5"/>
      <c r="B921" s="5"/>
      <c r="C921" s="5"/>
      <c r="D921" s="5"/>
      <c r="E921" s="223"/>
      <c r="F921" s="9"/>
      <c r="G921" s="223"/>
      <c r="H921" s="224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5"/>
      <c r="B922" s="5"/>
      <c r="C922" s="5"/>
      <c r="D922" s="5"/>
      <c r="E922" s="223"/>
      <c r="F922" s="9"/>
      <c r="G922" s="223"/>
      <c r="H922" s="224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5"/>
      <c r="B923" s="5"/>
      <c r="C923" s="5"/>
      <c r="D923" s="5"/>
      <c r="E923" s="223"/>
      <c r="F923" s="9"/>
      <c r="G923" s="223"/>
      <c r="H923" s="224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5"/>
      <c r="B924" s="5"/>
      <c r="C924" s="5"/>
      <c r="D924" s="5"/>
      <c r="E924" s="223"/>
      <c r="F924" s="9"/>
      <c r="G924" s="223"/>
      <c r="H924" s="224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5"/>
      <c r="B925" s="5"/>
      <c r="C925" s="5"/>
      <c r="D925" s="5"/>
      <c r="E925" s="223"/>
      <c r="F925" s="9"/>
      <c r="G925" s="223"/>
      <c r="H925" s="224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5"/>
      <c r="B926" s="5"/>
      <c r="C926" s="5"/>
      <c r="D926" s="5"/>
      <c r="E926" s="223"/>
      <c r="F926" s="9"/>
      <c r="G926" s="223"/>
      <c r="H926" s="224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5"/>
      <c r="B927" s="5"/>
      <c r="C927" s="5"/>
      <c r="D927" s="5"/>
      <c r="E927" s="223"/>
      <c r="F927" s="9"/>
      <c r="G927" s="223"/>
      <c r="H927" s="224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5"/>
      <c r="B928" s="5"/>
      <c r="C928" s="5"/>
      <c r="D928" s="5"/>
      <c r="E928" s="223"/>
      <c r="F928" s="9"/>
      <c r="G928" s="223"/>
      <c r="H928" s="224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5"/>
      <c r="B929" s="5"/>
      <c r="C929" s="5"/>
      <c r="D929" s="5"/>
      <c r="E929" s="223"/>
      <c r="F929" s="9"/>
      <c r="G929" s="223"/>
      <c r="H929" s="224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5"/>
      <c r="B930" s="5"/>
      <c r="C930" s="5"/>
      <c r="D930" s="5"/>
      <c r="E930" s="223"/>
      <c r="F930" s="9"/>
      <c r="G930" s="223"/>
      <c r="H930" s="224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5"/>
      <c r="B931" s="5"/>
      <c r="C931" s="5"/>
      <c r="D931" s="5"/>
      <c r="E931" s="223"/>
      <c r="F931" s="9"/>
      <c r="G931" s="223"/>
      <c r="H931" s="224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5"/>
      <c r="B932" s="5"/>
      <c r="C932" s="5"/>
      <c r="D932" s="5"/>
      <c r="E932" s="223"/>
      <c r="F932" s="9"/>
      <c r="G932" s="223"/>
      <c r="H932" s="224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5"/>
      <c r="B933" s="5"/>
      <c r="C933" s="5"/>
      <c r="D933" s="5"/>
      <c r="E933" s="223"/>
      <c r="F933" s="9"/>
      <c r="G933" s="223"/>
      <c r="H933" s="224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5"/>
      <c r="B934" s="5"/>
      <c r="C934" s="5"/>
      <c r="D934" s="5"/>
      <c r="E934" s="223"/>
      <c r="F934" s="9"/>
      <c r="G934" s="223"/>
      <c r="H934" s="224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5"/>
      <c r="B935" s="5"/>
      <c r="C935" s="5"/>
      <c r="D935" s="5"/>
      <c r="E935" s="223"/>
      <c r="F935" s="9"/>
      <c r="G935" s="223"/>
      <c r="H935" s="224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5"/>
      <c r="B936" s="5"/>
      <c r="C936" s="5"/>
      <c r="D936" s="5"/>
      <c r="E936" s="223"/>
      <c r="F936" s="9"/>
      <c r="G936" s="223"/>
      <c r="H936" s="224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5"/>
      <c r="B937" s="5"/>
      <c r="C937" s="5"/>
      <c r="D937" s="5"/>
      <c r="E937" s="223"/>
      <c r="F937" s="9"/>
      <c r="G937" s="223"/>
      <c r="H937" s="224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5"/>
      <c r="B938" s="5"/>
      <c r="C938" s="5"/>
      <c r="D938" s="5"/>
      <c r="E938" s="223"/>
      <c r="F938" s="9"/>
      <c r="G938" s="223"/>
      <c r="H938" s="224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5"/>
      <c r="B939" s="5"/>
      <c r="C939" s="5"/>
      <c r="D939" s="5"/>
      <c r="E939" s="223"/>
      <c r="F939" s="9"/>
      <c r="G939" s="223"/>
      <c r="H939" s="224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5"/>
      <c r="B940" s="5"/>
      <c r="C940" s="5"/>
      <c r="D940" s="5"/>
      <c r="E940" s="223"/>
      <c r="F940" s="9"/>
      <c r="G940" s="223"/>
      <c r="H940" s="224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5"/>
      <c r="B941" s="5"/>
      <c r="C941" s="5"/>
      <c r="D941" s="5"/>
      <c r="E941" s="223"/>
      <c r="F941" s="9"/>
      <c r="G941" s="223"/>
      <c r="H941" s="224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5"/>
      <c r="B942" s="5"/>
      <c r="C942" s="5"/>
      <c r="D942" s="5"/>
      <c r="E942" s="223"/>
      <c r="F942" s="9"/>
      <c r="G942" s="223"/>
      <c r="H942" s="224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5"/>
      <c r="B943" s="5"/>
      <c r="C943" s="5"/>
      <c r="D943" s="5"/>
      <c r="E943" s="223"/>
      <c r="F943" s="9"/>
      <c r="G943" s="223"/>
      <c r="H943" s="224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5"/>
      <c r="B944" s="5"/>
      <c r="C944" s="5"/>
      <c r="D944" s="5"/>
      <c r="E944" s="223"/>
      <c r="F944" s="9"/>
      <c r="G944" s="223"/>
      <c r="H944" s="224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5"/>
      <c r="B945" s="5"/>
      <c r="C945" s="5"/>
      <c r="D945" s="5"/>
      <c r="E945" s="223"/>
      <c r="F945" s="9"/>
      <c r="G945" s="223"/>
      <c r="H945" s="224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5"/>
      <c r="B946" s="5"/>
      <c r="C946" s="5"/>
      <c r="D946" s="5"/>
      <c r="E946" s="223"/>
      <c r="F946" s="9"/>
      <c r="G946" s="223"/>
      <c r="H946" s="224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5"/>
      <c r="B947" s="5"/>
      <c r="C947" s="5"/>
      <c r="D947" s="5"/>
      <c r="E947" s="223"/>
      <c r="F947" s="9"/>
      <c r="G947" s="223"/>
      <c r="H947" s="224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5"/>
      <c r="B948" s="5"/>
      <c r="C948" s="5"/>
      <c r="D948" s="5"/>
      <c r="E948" s="223"/>
      <c r="F948" s="9"/>
      <c r="G948" s="223"/>
      <c r="H948" s="224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5"/>
      <c r="B949" s="5"/>
      <c r="C949" s="5"/>
      <c r="D949" s="5"/>
      <c r="E949" s="223"/>
      <c r="F949" s="9"/>
      <c r="G949" s="223"/>
      <c r="H949" s="224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5"/>
      <c r="B950" s="5"/>
      <c r="C950" s="5"/>
      <c r="D950" s="5"/>
      <c r="E950" s="223"/>
      <c r="F950" s="9"/>
      <c r="G950" s="223"/>
      <c r="H950" s="224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5"/>
      <c r="B951" s="5"/>
      <c r="C951" s="5"/>
      <c r="D951" s="5"/>
      <c r="E951" s="223"/>
      <c r="F951" s="9"/>
      <c r="G951" s="223"/>
      <c r="H951" s="224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5"/>
      <c r="B952" s="5"/>
      <c r="C952" s="5"/>
      <c r="D952" s="5"/>
      <c r="E952" s="223"/>
      <c r="F952" s="9"/>
      <c r="G952" s="223"/>
      <c r="H952" s="224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5"/>
      <c r="B953" s="5"/>
      <c r="C953" s="5"/>
      <c r="D953" s="5"/>
      <c r="E953" s="223"/>
      <c r="F953" s="9"/>
      <c r="G953" s="223"/>
      <c r="H953" s="224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5"/>
      <c r="B954" s="5"/>
      <c r="C954" s="5"/>
      <c r="D954" s="5"/>
      <c r="E954" s="223"/>
      <c r="F954" s="9"/>
      <c r="G954" s="223"/>
      <c r="H954" s="224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5"/>
      <c r="B955" s="5"/>
      <c r="C955" s="5"/>
      <c r="D955" s="5"/>
      <c r="E955" s="223"/>
      <c r="F955" s="9"/>
      <c r="G955" s="223"/>
      <c r="H955" s="224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5"/>
      <c r="B956" s="5"/>
      <c r="C956" s="5"/>
      <c r="D956" s="5"/>
      <c r="E956" s="223"/>
      <c r="F956" s="9"/>
      <c r="G956" s="223"/>
      <c r="H956" s="224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5"/>
      <c r="B957" s="5"/>
      <c r="C957" s="5"/>
      <c r="D957" s="5"/>
      <c r="E957" s="223"/>
      <c r="F957" s="9"/>
      <c r="G957" s="223"/>
      <c r="H957" s="224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5"/>
      <c r="B958" s="5"/>
      <c r="C958" s="5"/>
      <c r="D958" s="5"/>
      <c r="E958" s="223"/>
      <c r="F958" s="9"/>
      <c r="G958" s="223"/>
      <c r="H958" s="224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5"/>
      <c r="B959" s="5"/>
      <c r="C959" s="5"/>
      <c r="D959" s="5"/>
      <c r="E959" s="223"/>
      <c r="F959" s="9"/>
      <c r="G959" s="223"/>
      <c r="H959" s="224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5"/>
      <c r="B960" s="5"/>
      <c r="C960" s="5"/>
      <c r="D960" s="5"/>
      <c r="E960" s="223"/>
      <c r="F960" s="9"/>
      <c r="G960" s="223"/>
      <c r="H960" s="224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5"/>
      <c r="B961" s="5"/>
      <c r="C961" s="5"/>
      <c r="D961" s="5"/>
      <c r="E961" s="223"/>
      <c r="F961" s="9"/>
      <c r="G961" s="223"/>
      <c r="H961" s="224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5"/>
      <c r="B962" s="5"/>
      <c r="C962" s="5"/>
      <c r="D962" s="5"/>
      <c r="E962" s="223"/>
      <c r="F962" s="9"/>
      <c r="G962" s="223"/>
      <c r="H962" s="224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5"/>
      <c r="B963" s="5"/>
      <c r="C963" s="5"/>
      <c r="D963" s="5"/>
      <c r="E963" s="223"/>
      <c r="F963" s="9"/>
      <c r="G963" s="223"/>
      <c r="H963" s="224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5"/>
      <c r="B964" s="5"/>
      <c r="C964" s="5"/>
      <c r="D964" s="5"/>
      <c r="E964" s="223"/>
      <c r="F964" s="9"/>
      <c r="G964" s="223"/>
      <c r="H964" s="224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5"/>
      <c r="B965" s="5"/>
      <c r="C965" s="5"/>
      <c r="D965" s="5"/>
      <c r="E965" s="223"/>
      <c r="F965" s="9"/>
      <c r="G965" s="223"/>
      <c r="H965" s="224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5"/>
      <c r="B966" s="5"/>
      <c r="C966" s="5"/>
      <c r="D966" s="5"/>
      <c r="E966" s="223"/>
      <c r="F966" s="9"/>
      <c r="G966" s="223"/>
      <c r="H966" s="224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5"/>
      <c r="B967" s="5"/>
      <c r="C967" s="5"/>
      <c r="D967" s="5"/>
      <c r="E967" s="223"/>
      <c r="F967" s="9"/>
      <c r="G967" s="223"/>
      <c r="H967" s="224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5"/>
      <c r="B968" s="5"/>
      <c r="C968" s="5"/>
      <c r="D968" s="5"/>
      <c r="E968" s="223"/>
      <c r="F968" s="9"/>
      <c r="G968" s="223"/>
      <c r="H968" s="224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5"/>
      <c r="B969" s="5"/>
      <c r="C969" s="5"/>
      <c r="D969" s="5"/>
      <c r="E969" s="223"/>
      <c r="F969" s="9"/>
      <c r="G969" s="223"/>
      <c r="H969" s="224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5"/>
      <c r="B970" s="5"/>
      <c r="C970" s="5"/>
      <c r="D970" s="5"/>
      <c r="E970" s="223"/>
      <c r="F970" s="9"/>
      <c r="G970" s="223"/>
      <c r="H970" s="224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5"/>
      <c r="B971" s="5"/>
      <c r="C971" s="5"/>
      <c r="D971" s="5"/>
      <c r="E971" s="223"/>
      <c r="F971" s="9"/>
      <c r="G971" s="223"/>
      <c r="H971" s="224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5"/>
      <c r="B972" s="5"/>
      <c r="C972" s="5"/>
      <c r="D972" s="5"/>
      <c r="E972" s="223"/>
      <c r="F972" s="9"/>
      <c r="G972" s="223"/>
      <c r="H972" s="224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5"/>
      <c r="B973" s="5"/>
      <c r="C973" s="5"/>
      <c r="D973" s="5"/>
      <c r="E973" s="223"/>
      <c r="F973" s="9"/>
      <c r="G973" s="223"/>
      <c r="H973" s="224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5"/>
      <c r="B974" s="5"/>
      <c r="C974" s="5"/>
      <c r="D974" s="5"/>
      <c r="E974" s="223"/>
      <c r="F974" s="9"/>
      <c r="G974" s="223"/>
      <c r="H974" s="224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5"/>
      <c r="B975" s="5"/>
      <c r="C975" s="5"/>
      <c r="D975" s="5"/>
      <c r="E975" s="223"/>
      <c r="F975" s="9"/>
      <c r="G975" s="223"/>
      <c r="H975" s="224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5"/>
      <c r="B976" s="5"/>
      <c r="C976" s="5"/>
      <c r="D976" s="5"/>
      <c r="E976" s="223"/>
      <c r="F976" s="9"/>
      <c r="G976" s="223"/>
      <c r="H976" s="224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5"/>
      <c r="B977" s="5"/>
      <c r="C977" s="5"/>
      <c r="D977" s="5"/>
      <c r="E977" s="223"/>
      <c r="F977" s="9"/>
      <c r="G977" s="223"/>
      <c r="H977" s="224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5"/>
      <c r="B978" s="5"/>
      <c r="C978" s="5"/>
      <c r="D978" s="5"/>
      <c r="E978" s="223"/>
      <c r="F978" s="9"/>
      <c r="G978" s="223"/>
      <c r="H978" s="224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5"/>
      <c r="B979" s="5"/>
      <c r="C979" s="5"/>
      <c r="D979" s="5"/>
      <c r="E979" s="223"/>
      <c r="F979" s="9"/>
      <c r="G979" s="223"/>
      <c r="H979" s="224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5"/>
      <c r="B980" s="5"/>
      <c r="C980" s="5"/>
      <c r="D980" s="5"/>
      <c r="E980" s="223"/>
      <c r="F980" s="9"/>
      <c r="G980" s="223"/>
      <c r="H980" s="224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5"/>
      <c r="B981" s="5"/>
      <c r="C981" s="5"/>
      <c r="D981" s="5"/>
      <c r="E981" s="223"/>
      <c r="F981" s="9"/>
      <c r="G981" s="223"/>
      <c r="H981" s="224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5"/>
      <c r="B982" s="5"/>
      <c r="C982" s="5"/>
      <c r="D982" s="5"/>
      <c r="E982" s="223"/>
      <c r="F982" s="9"/>
      <c r="G982" s="223"/>
      <c r="H982" s="224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5"/>
      <c r="B983" s="5"/>
      <c r="C983" s="5"/>
      <c r="D983" s="5"/>
      <c r="E983" s="223"/>
      <c r="F983" s="9"/>
      <c r="G983" s="223"/>
      <c r="H983" s="224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5"/>
      <c r="B984" s="5"/>
      <c r="C984" s="5"/>
      <c r="D984" s="5"/>
      <c r="E984" s="223"/>
      <c r="F984" s="9"/>
      <c r="G984" s="223"/>
      <c r="H984" s="224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5"/>
      <c r="B985" s="5"/>
      <c r="C985" s="5"/>
      <c r="D985" s="5"/>
      <c r="E985" s="223"/>
      <c r="F985" s="9"/>
      <c r="G985" s="223"/>
      <c r="H985" s="224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5"/>
      <c r="B986" s="5"/>
      <c r="C986" s="5"/>
      <c r="D986" s="5"/>
      <c r="E986" s="223"/>
      <c r="F986" s="9"/>
      <c r="G986" s="223"/>
      <c r="H986" s="224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5"/>
      <c r="B987" s="5"/>
      <c r="C987" s="5"/>
      <c r="D987" s="5"/>
      <c r="E987" s="223"/>
      <c r="F987" s="9"/>
      <c r="G987" s="223"/>
      <c r="H987" s="224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5"/>
      <c r="B988" s="5"/>
      <c r="C988" s="5"/>
      <c r="D988" s="5"/>
      <c r="E988" s="223"/>
      <c r="F988" s="9"/>
      <c r="G988" s="223"/>
      <c r="H988" s="224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5"/>
      <c r="B989" s="5"/>
      <c r="C989" s="5"/>
      <c r="D989" s="5"/>
      <c r="E989" s="223"/>
      <c r="F989" s="9"/>
      <c r="G989" s="223"/>
      <c r="H989" s="224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5"/>
      <c r="B990" s="5"/>
      <c r="C990" s="5"/>
      <c r="D990" s="5"/>
      <c r="E990" s="223"/>
      <c r="F990" s="9"/>
      <c r="G990" s="223"/>
      <c r="H990" s="224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5"/>
      <c r="B991" s="5"/>
      <c r="C991" s="5"/>
      <c r="D991" s="5"/>
      <c r="E991" s="223"/>
      <c r="F991" s="9"/>
      <c r="G991" s="223"/>
      <c r="H991" s="224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5"/>
      <c r="B992" s="5"/>
      <c r="C992" s="5"/>
      <c r="D992" s="5"/>
      <c r="E992" s="223"/>
      <c r="F992" s="9"/>
      <c r="G992" s="223"/>
      <c r="H992" s="224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5"/>
      <c r="B993" s="5"/>
      <c r="C993" s="5"/>
      <c r="D993" s="5"/>
      <c r="E993" s="223"/>
      <c r="F993" s="9"/>
      <c r="G993" s="223"/>
      <c r="H993" s="224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5"/>
      <c r="B994" s="5"/>
      <c r="C994" s="5"/>
      <c r="D994" s="5"/>
      <c r="E994" s="223"/>
      <c r="F994" s="9"/>
      <c r="G994" s="223"/>
      <c r="H994" s="224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5"/>
      <c r="B995" s="5"/>
      <c r="C995" s="5"/>
      <c r="D995" s="5"/>
      <c r="E995" s="223"/>
      <c r="F995" s="9"/>
      <c r="G995" s="223"/>
      <c r="H995" s="224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5"/>
      <c r="B996" s="5"/>
      <c r="C996" s="5"/>
      <c r="D996" s="5"/>
      <c r="E996" s="223"/>
      <c r="F996" s="9"/>
      <c r="G996" s="223"/>
      <c r="H996" s="224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5"/>
      <c r="B997" s="5"/>
      <c r="C997" s="5"/>
      <c r="D997" s="5"/>
      <c r="E997" s="223"/>
      <c r="F997" s="9"/>
      <c r="G997" s="223"/>
      <c r="H997" s="224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5"/>
      <c r="B998" s="5"/>
      <c r="C998" s="5"/>
      <c r="D998" s="5"/>
      <c r="E998" s="223"/>
      <c r="F998" s="9"/>
      <c r="G998" s="223"/>
      <c r="H998" s="224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5"/>
      <c r="B999" s="5"/>
      <c r="C999" s="5"/>
      <c r="D999" s="5"/>
      <c r="E999" s="223"/>
      <c r="F999" s="9"/>
      <c r="G999" s="223"/>
      <c r="H999" s="224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5"/>
      <c r="B1000" s="5"/>
      <c r="C1000" s="5"/>
      <c r="D1000" s="5"/>
      <c r="E1000" s="223"/>
      <c r="F1000" s="9"/>
      <c r="G1000" s="223"/>
      <c r="H1000" s="224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3">
    <mergeCell ref="A1:H1"/>
    <mergeCell ref="A2:H2"/>
    <mergeCell ref="A43:D43"/>
  </mergeCells>
  <printOptions/>
  <pageMargins bottom="0.75" footer="0.0" header="0.0" left="0.7" right="0.2" top="0.75"/>
  <pageSetup paperSize="9" orientation="portrait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71"/>
    <col customWidth="1" min="2" max="2" width="24.14"/>
    <col customWidth="1" min="3" max="3" width="12.43"/>
    <col customWidth="1" min="4" max="4" width="4.71"/>
    <col customWidth="1" min="5" max="5" width="11.29"/>
    <col customWidth="1" min="6" max="6" width="11.0"/>
    <col customWidth="1" min="7" max="7" width="10.43"/>
    <col customWidth="1" min="8" max="8" width="15.0"/>
    <col customWidth="1" min="9" max="11" width="9.14"/>
    <col customWidth="1" min="12" max="26" width="8.71"/>
  </cols>
  <sheetData>
    <row r="1" ht="6.75" customHeight="1">
      <c r="A1" s="7"/>
      <c r="B1" s="7"/>
      <c r="C1" s="5"/>
      <c r="D1" s="5"/>
      <c r="E1" s="9"/>
      <c r="F1" s="9"/>
      <c r="G1" s="10"/>
      <c r="H1" s="11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.5" hidden="1" customHeight="1">
      <c r="A2" s="7"/>
      <c r="B2" s="7"/>
      <c r="C2" s="5"/>
      <c r="D2" s="5"/>
      <c r="E2" s="9"/>
      <c r="F2" s="9"/>
      <c r="G2" s="10"/>
      <c r="H2" s="11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2" t="s">
        <v>0</v>
      </c>
      <c r="B3" s="3"/>
      <c r="C3" s="3"/>
      <c r="D3" s="3"/>
      <c r="E3" s="3"/>
      <c r="F3" s="3"/>
      <c r="G3" s="3"/>
      <c r="H3" s="4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6" t="s">
        <v>2</v>
      </c>
      <c r="B4" s="3"/>
      <c r="C4" s="3"/>
      <c r="D4" s="3"/>
      <c r="E4" s="3"/>
      <c r="F4" s="3"/>
      <c r="G4" s="3"/>
      <c r="H4" s="4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6.5" customHeight="1">
      <c r="A5" s="7"/>
      <c r="B5" s="7"/>
      <c r="C5" s="5"/>
      <c r="D5" s="5"/>
      <c r="E5" s="9"/>
      <c r="F5" s="9"/>
      <c r="G5" s="10"/>
      <c r="H5" s="11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7"/>
      <c r="B6" s="7"/>
      <c r="C6" s="5"/>
      <c r="D6" s="5"/>
      <c r="E6" s="9"/>
      <c r="F6" s="9"/>
      <c r="G6" s="10"/>
      <c r="H6" s="11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6.5" customHeight="1">
      <c r="A7" s="143" t="s">
        <v>3</v>
      </c>
      <c r="B7" s="143" t="s">
        <v>4</v>
      </c>
      <c r="C7" s="144" t="s">
        <v>5</v>
      </c>
      <c r="D7" s="146" t="s">
        <v>115</v>
      </c>
      <c r="E7" s="147" t="s">
        <v>116</v>
      </c>
      <c r="F7" s="147" t="s">
        <v>198</v>
      </c>
      <c r="G7" s="147" t="s">
        <v>118</v>
      </c>
      <c r="H7" s="143" t="s">
        <v>119</v>
      </c>
      <c r="I7" s="19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4.75" customHeight="1">
      <c r="A8" s="148" t="s">
        <v>14</v>
      </c>
      <c r="B8" s="242" t="s">
        <v>144</v>
      </c>
      <c r="C8" s="232" t="s">
        <v>199</v>
      </c>
      <c r="D8" s="151">
        <v>31.0</v>
      </c>
      <c r="E8" s="152">
        <v>145000.0</v>
      </c>
      <c r="F8" s="152">
        <f>D8*4677.41-1300</f>
        <v>143699.71</v>
      </c>
      <c r="G8" s="213">
        <f>SUM(143700-11000-10000-30000-40000-22700-30000)</f>
        <v>0</v>
      </c>
      <c r="H8" s="154" t="s">
        <v>74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4.75" customHeight="1">
      <c r="A9" s="148" t="s">
        <v>18</v>
      </c>
      <c r="B9" s="242" t="s">
        <v>168</v>
      </c>
      <c r="C9" s="243" t="s">
        <v>200</v>
      </c>
      <c r="D9" s="151">
        <v>31.0</v>
      </c>
      <c r="E9" s="152">
        <v>130000.0</v>
      </c>
      <c r="F9" s="226">
        <f>D9*4193.5483-1300</f>
        <v>128699.9973</v>
      </c>
      <c r="G9" s="213">
        <f>SUM(128700-10000-10000-15000-30000-13700-50000)</f>
        <v>0</v>
      </c>
      <c r="H9" s="156" t="s">
        <v>84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4.75" customHeight="1">
      <c r="A10" s="148" t="s">
        <v>22</v>
      </c>
      <c r="B10" s="242" t="s">
        <v>169</v>
      </c>
      <c r="C10" s="232" t="s">
        <v>201</v>
      </c>
      <c r="D10" s="151">
        <v>29.0</v>
      </c>
      <c r="E10" s="152">
        <v>85000.0</v>
      </c>
      <c r="F10" s="212">
        <f>D10*2741.93-1250</f>
        <v>78265.97</v>
      </c>
      <c r="G10" s="213">
        <f>SUM(78266-10000-15000-20000-13266)</f>
        <v>20000</v>
      </c>
      <c r="H10" s="154" t="s">
        <v>21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4.75" customHeight="1">
      <c r="A11" s="148" t="s">
        <v>25</v>
      </c>
      <c r="B11" s="149" t="s">
        <v>28</v>
      </c>
      <c r="C11" s="232" t="s">
        <v>201</v>
      </c>
      <c r="D11" s="151">
        <v>31.0</v>
      </c>
      <c r="E11" s="152">
        <v>50000.0</v>
      </c>
      <c r="F11" s="152">
        <f>D11*1612.9-1300</f>
        <v>48699.9</v>
      </c>
      <c r="G11" s="213">
        <f>SUM(48700-48700)</f>
        <v>0</v>
      </c>
      <c r="H11" s="154" t="s">
        <v>32</v>
      </c>
      <c r="I11" s="5"/>
      <c r="J11" s="5"/>
      <c r="K11" s="51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4.75" customHeight="1">
      <c r="A12" s="148" t="s">
        <v>27</v>
      </c>
      <c r="B12" s="222" t="s">
        <v>120</v>
      </c>
      <c r="C12" s="243" t="s">
        <v>202</v>
      </c>
      <c r="D12" s="151">
        <v>31.0</v>
      </c>
      <c r="E12" s="152">
        <v>50000.0</v>
      </c>
      <c r="F12" s="152">
        <f>D12*1612.903-1150</f>
        <v>48849.993</v>
      </c>
      <c r="G12" s="213">
        <f>SUM(47237-47237)</f>
        <v>0</v>
      </c>
      <c r="H12" s="154" t="s">
        <v>40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4.75" customHeight="1">
      <c r="A13" s="148" t="s">
        <v>30</v>
      </c>
      <c r="B13" s="211" t="s">
        <v>81</v>
      </c>
      <c r="C13" s="232">
        <v>45813.0</v>
      </c>
      <c r="D13" s="151">
        <v>31.0</v>
      </c>
      <c r="E13" s="152">
        <v>40000.0</v>
      </c>
      <c r="F13" s="152">
        <f>D13*1290.322-1300</f>
        <v>38699.982</v>
      </c>
      <c r="G13" s="213">
        <f>SUM(38700-20000-8700-10000)</f>
        <v>0</v>
      </c>
      <c r="H13" s="154" t="s">
        <v>40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4.75" customHeight="1">
      <c r="A14" s="148" t="s">
        <v>34</v>
      </c>
      <c r="B14" s="244" t="s">
        <v>38</v>
      </c>
      <c r="C14" s="232">
        <v>45935.0</v>
      </c>
      <c r="D14" s="151">
        <v>28.0</v>
      </c>
      <c r="E14" s="152">
        <v>20000.0</v>
      </c>
      <c r="F14" s="152">
        <f>D14*645.161-1150</f>
        <v>16914.508</v>
      </c>
      <c r="G14" s="213">
        <f>SUM(16915-5000-1000-10915)</f>
        <v>0</v>
      </c>
      <c r="H14" s="154" t="s">
        <v>43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4.75" customHeight="1">
      <c r="A15" s="148" t="s">
        <v>37</v>
      </c>
      <c r="B15" s="159" t="s">
        <v>42</v>
      </c>
      <c r="C15" s="245" t="s">
        <v>203</v>
      </c>
      <c r="D15" s="151">
        <v>30.0</v>
      </c>
      <c r="E15" s="152">
        <v>20000.0</v>
      </c>
      <c r="F15" s="152">
        <f t="shared" ref="F15:F16" si="1">D15*645.161-1300</f>
        <v>18054.83</v>
      </c>
      <c r="G15" s="213">
        <f>SUM(18055-3000-15055)</f>
        <v>0</v>
      </c>
      <c r="H15" s="154" t="s">
        <v>43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4.75" customHeight="1">
      <c r="A16" s="148" t="s">
        <v>41</v>
      </c>
      <c r="B16" s="242" t="s">
        <v>185</v>
      </c>
      <c r="C16" s="245" t="s">
        <v>204</v>
      </c>
      <c r="D16" s="151">
        <v>31.0</v>
      </c>
      <c r="E16" s="152">
        <v>20000.0</v>
      </c>
      <c r="F16" s="152">
        <f t="shared" si="1"/>
        <v>18699.991</v>
      </c>
      <c r="G16" s="166">
        <f>SUM(18700-5500-500)</f>
        <v>12700</v>
      </c>
      <c r="H16" s="154" t="s">
        <v>43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4.75" customHeight="1">
      <c r="A17" s="148" t="s">
        <v>44</v>
      </c>
      <c r="B17" s="242" t="s">
        <v>187</v>
      </c>
      <c r="C17" s="245" t="s">
        <v>204</v>
      </c>
      <c r="D17" s="151">
        <v>30.0</v>
      </c>
      <c r="E17" s="152">
        <v>20000.0</v>
      </c>
      <c r="F17" s="152">
        <f>D17*645.161-1200</f>
        <v>18154.83</v>
      </c>
      <c r="G17" s="166">
        <f>SUM(18155-0)</f>
        <v>18155</v>
      </c>
      <c r="H17" s="154" t="s">
        <v>43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4.75" customHeight="1">
      <c r="A18" s="148" t="s">
        <v>47</v>
      </c>
      <c r="B18" s="149" t="s">
        <v>123</v>
      </c>
      <c r="C18" s="245" t="s">
        <v>205</v>
      </c>
      <c r="D18" s="151">
        <v>31.0</v>
      </c>
      <c r="E18" s="152">
        <v>22000.0</v>
      </c>
      <c r="F18" s="152">
        <f>D18*709.67-1300</f>
        <v>20699.77</v>
      </c>
      <c r="G18" s="213">
        <f>SUM(20700-5000-15700)</f>
        <v>0</v>
      </c>
      <c r="H18" s="154" t="s">
        <v>43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4.75" customHeight="1">
      <c r="A19" s="148" t="s">
        <v>49</v>
      </c>
      <c r="B19" s="242" t="s">
        <v>188</v>
      </c>
      <c r="C19" s="245" t="s">
        <v>205</v>
      </c>
      <c r="D19" s="151">
        <v>30.0</v>
      </c>
      <c r="E19" s="152">
        <v>30000.0</v>
      </c>
      <c r="F19" s="152">
        <f>D19*967.74-1250</f>
        <v>27782.2</v>
      </c>
      <c r="G19" s="213">
        <f>SUM(27782-5000-5000)</f>
        <v>17782</v>
      </c>
      <c r="H19" s="154" t="s">
        <v>40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4.75" customHeight="1">
      <c r="A20" s="148" t="s">
        <v>51</v>
      </c>
      <c r="B20" s="161" t="s">
        <v>189</v>
      </c>
      <c r="C20" s="245" t="s">
        <v>206</v>
      </c>
      <c r="D20" s="151">
        <v>29.0</v>
      </c>
      <c r="E20" s="152">
        <v>25000.0</v>
      </c>
      <c r="F20" s="152">
        <f>D20*806.45-1000</f>
        <v>22387.05</v>
      </c>
      <c r="G20" s="213">
        <f>SUM(22387-22387)</f>
        <v>0</v>
      </c>
      <c r="H20" s="164" t="s">
        <v>36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4.75" customHeight="1">
      <c r="A21" s="148" t="s">
        <v>53</v>
      </c>
      <c r="B21" s="161" t="s">
        <v>207</v>
      </c>
      <c r="C21" s="245" t="s">
        <v>208</v>
      </c>
      <c r="D21" s="151">
        <v>28.0</v>
      </c>
      <c r="E21" s="152">
        <v>20000.0</v>
      </c>
      <c r="F21" s="152">
        <f>D21*645.161-900</f>
        <v>17164.508</v>
      </c>
      <c r="G21" s="166">
        <f>SUM(17165-5000)</f>
        <v>12165</v>
      </c>
      <c r="H21" s="154" t="s">
        <v>43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4.75" customHeight="1">
      <c r="A22" s="148" t="s">
        <v>55</v>
      </c>
      <c r="B22" s="161" t="s">
        <v>122</v>
      </c>
      <c r="C22" s="245" t="s">
        <v>209</v>
      </c>
      <c r="D22" s="151">
        <v>31.0</v>
      </c>
      <c r="E22" s="152">
        <v>25000.0</v>
      </c>
      <c r="F22" s="152">
        <f>D22*806.45-1300</f>
        <v>23699.95</v>
      </c>
      <c r="G22" s="213">
        <f>SUM(23700-10000-13700)</f>
        <v>0</v>
      </c>
      <c r="H22" s="154" t="s">
        <v>43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4.75" customHeight="1">
      <c r="A23" s="148" t="s">
        <v>60</v>
      </c>
      <c r="B23" s="161" t="s">
        <v>172</v>
      </c>
      <c r="C23" s="245" t="s">
        <v>209</v>
      </c>
      <c r="D23" s="151">
        <v>30.0</v>
      </c>
      <c r="E23" s="152">
        <v>18000.0</v>
      </c>
      <c r="F23" s="152">
        <f>D23*580.64-950</f>
        <v>16469.2</v>
      </c>
      <c r="G23" s="213">
        <f>SUM(16469-16469)</f>
        <v>0</v>
      </c>
      <c r="H23" s="154" t="s">
        <v>43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4.75" customHeight="1">
      <c r="A24" s="148" t="s">
        <v>65</v>
      </c>
      <c r="B24" s="161" t="s">
        <v>210</v>
      </c>
      <c r="C24" s="245" t="s">
        <v>211</v>
      </c>
      <c r="D24" s="151">
        <v>22.0</v>
      </c>
      <c r="E24" s="152">
        <v>25000.0</v>
      </c>
      <c r="F24" s="235" t="s">
        <v>186</v>
      </c>
      <c r="G24" s="246" t="s">
        <v>186</v>
      </c>
      <c r="H24" s="164" t="s">
        <v>36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4.75" customHeight="1">
      <c r="A25" s="148" t="s">
        <v>68</v>
      </c>
      <c r="B25" s="161" t="s">
        <v>33</v>
      </c>
      <c r="C25" s="247" t="s">
        <v>212</v>
      </c>
      <c r="D25" s="187">
        <v>30.0</v>
      </c>
      <c r="E25" s="162">
        <v>50000.0</v>
      </c>
      <c r="F25" s="162">
        <f>D25*1612.9-1200</f>
        <v>47187</v>
      </c>
      <c r="G25" s="213">
        <f>SUM(47187-45000-2187)</f>
        <v>0</v>
      </c>
      <c r="H25" s="154" t="s">
        <v>32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4.75" customHeight="1">
      <c r="A26" s="148" t="s">
        <v>57</v>
      </c>
      <c r="B26" s="161" t="s">
        <v>31</v>
      </c>
      <c r="C26" s="247" t="s">
        <v>212</v>
      </c>
      <c r="D26" s="187">
        <v>30.0</v>
      </c>
      <c r="E26" s="162">
        <v>30000.0</v>
      </c>
      <c r="F26" s="162">
        <f>D26*967.74-1250</f>
        <v>27782.2</v>
      </c>
      <c r="G26" s="213">
        <f>SUM(27782-27782)</f>
        <v>0</v>
      </c>
      <c r="H26" s="164" t="s">
        <v>36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4.75" customHeight="1">
      <c r="A27" s="148" t="s">
        <v>62</v>
      </c>
      <c r="B27" s="161" t="s">
        <v>170</v>
      </c>
      <c r="C27" s="247" t="s">
        <v>212</v>
      </c>
      <c r="D27" s="187">
        <v>29.0</v>
      </c>
      <c r="E27" s="162">
        <v>20000.0</v>
      </c>
      <c r="F27" s="162">
        <f>D27*645.161-1202</f>
        <v>17507.669</v>
      </c>
      <c r="G27" s="213">
        <f>SUM(17508-17508)</f>
        <v>0</v>
      </c>
      <c r="H27" s="164" t="s">
        <v>36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4.75" customHeight="1">
      <c r="A28" s="148" t="s">
        <v>64</v>
      </c>
      <c r="B28" s="161" t="s">
        <v>190</v>
      </c>
      <c r="C28" s="247" t="s">
        <v>212</v>
      </c>
      <c r="D28" s="187">
        <v>29.0</v>
      </c>
      <c r="E28" s="162">
        <v>20000.0</v>
      </c>
      <c r="F28" s="162">
        <f>D28*645.161-1152</f>
        <v>17557.669</v>
      </c>
      <c r="G28" s="213">
        <f>SUM(17558-17558)</f>
        <v>0</v>
      </c>
      <c r="H28" s="154" t="s">
        <v>43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4.75" customHeight="1">
      <c r="A29" s="148" t="s">
        <v>70</v>
      </c>
      <c r="B29" s="161" t="s">
        <v>191</v>
      </c>
      <c r="C29" s="247" t="s">
        <v>212</v>
      </c>
      <c r="D29" s="187">
        <v>27.0</v>
      </c>
      <c r="E29" s="162">
        <v>20000.0</v>
      </c>
      <c r="F29" s="162">
        <f>D29*645.161-1051</f>
        <v>16368.347</v>
      </c>
      <c r="G29" s="213">
        <f>SUM(16368-16368)</f>
        <v>0</v>
      </c>
      <c r="H29" s="154" t="s">
        <v>43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4.75" customHeight="1">
      <c r="A30" s="148" t="s">
        <v>72</v>
      </c>
      <c r="B30" s="161" t="s">
        <v>213</v>
      </c>
      <c r="C30" s="247" t="s">
        <v>212</v>
      </c>
      <c r="D30" s="187">
        <v>28.0</v>
      </c>
      <c r="E30" s="162">
        <v>20000.0</v>
      </c>
      <c r="F30" s="248" t="s">
        <v>186</v>
      </c>
      <c r="G30" s="246" t="s">
        <v>186</v>
      </c>
      <c r="H30" s="154" t="s">
        <v>43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4.75" customHeight="1">
      <c r="A31" s="148" t="s">
        <v>75</v>
      </c>
      <c r="B31" s="161" t="s">
        <v>192</v>
      </c>
      <c r="C31" s="247" t="s">
        <v>214</v>
      </c>
      <c r="D31" s="187">
        <v>27.0</v>
      </c>
      <c r="E31" s="162">
        <v>25000.0</v>
      </c>
      <c r="F31" s="162">
        <f>D31*806.45-900</f>
        <v>20874.15</v>
      </c>
      <c r="G31" s="213">
        <f>SUM(20874-8000-12874)</f>
        <v>0</v>
      </c>
      <c r="H31" s="154" t="s">
        <v>43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24.75" customHeight="1">
      <c r="A32" s="148" t="s">
        <v>89</v>
      </c>
      <c r="B32" s="149" t="s">
        <v>124</v>
      </c>
      <c r="C32" s="247" t="s">
        <v>215</v>
      </c>
      <c r="D32" s="187">
        <v>22.0</v>
      </c>
      <c r="E32" s="162">
        <v>20000.0</v>
      </c>
      <c r="F32" s="162">
        <f>D32*645.161-952</f>
        <v>13241.542</v>
      </c>
      <c r="G32" s="213">
        <f>SUM(13242-12600-642)</f>
        <v>0</v>
      </c>
      <c r="H32" s="154" t="s">
        <v>43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24.75" customHeight="1">
      <c r="A33" s="148" t="s">
        <v>91</v>
      </c>
      <c r="B33" s="161" t="s">
        <v>163</v>
      </c>
      <c r="C33" s="247" t="s">
        <v>215</v>
      </c>
      <c r="D33" s="187">
        <v>22.0</v>
      </c>
      <c r="E33" s="162">
        <v>25000.0</v>
      </c>
      <c r="F33" s="162">
        <f>D33*806.45-902</f>
        <v>16839.9</v>
      </c>
      <c r="G33" s="213">
        <f>SUM(16840-16840)</f>
        <v>0</v>
      </c>
      <c r="H33" s="164" t="s">
        <v>36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24.75" customHeight="1">
      <c r="A34" s="148" t="s">
        <v>93</v>
      </c>
      <c r="B34" s="161" t="s">
        <v>35</v>
      </c>
      <c r="C34" s="247" t="s">
        <v>216</v>
      </c>
      <c r="D34" s="187">
        <v>14.0</v>
      </c>
      <c r="E34" s="162">
        <v>25000.0</v>
      </c>
      <c r="F34" s="162">
        <f>D34*806.45-250</f>
        <v>11040.3</v>
      </c>
      <c r="G34" s="213">
        <f>SUM(11040-11040)</f>
        <v>0</v>
      </c>
      <c r="H34" s="164" t="s">
        <v>36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24.75" customHeight="1">
      <c r="A35" s="148" t="s">
        <v>97</v>
      </c>
      <c r="B35" s="161" t="s">
        <v>193</v>
      </c>
      <c r="C35" s="247" t="s">
        <v>217</v>
      </c>
      <c r="D35" s="187">
        <v>7.0</v>
      </c>
      <c r="E35" s="162">
        <v>25000.0</v>
      </c>
      <c r="F35" s="248" t="s">
        <v>218</v>
      </c>
      <c r="G35" s="213"/>
      <c r="H35" s="164" t="s">
        <v>36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24.75" customHeight="1">
      <c r="A36" s="148" t="s">
        <v>99</v>
      </c>
      <c r="B36" s="161" t="s">
        <v>179</v>
      </c>
      <c r="C36" s="247" t="s">
        <v>217</v>
      </c>
      <c r="D36" s="187">
        <v>12.0</v>
      </c>
      <c r="E36" s="162">
        <v>25000.0</v>
      </c>
      <c r="F36" s="162">
        <f>D36*806.45-451</f>
        <v>9226.4</v>
      </c>
      <c r="G36" s="213">
        <f>SUM(9226-9226)</f>
        <v>0</v>
      </c>
      <c r="H36" s="164" t="s">
        <v>36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4.75" customHeight="1">
      <c r="A37" s="148" t="s">
        <v>100</v>
      </c>
      <c r="B37" s="161" t="s">
        <v>194</v>
      </c>
      <c r="C37" s="247" t="s">
        <v>217</v>
      </c>
      <c r="D37" s="187">
        <v>12.0</v>
      </c>
      <c r="E37" s="162">
        <v>18000.0</v>
      </c>
      <c r="F37" s="162">
        <f>D37*580.64-353</f>
        <v>6614.68</v>
      </c>
      <c r="G37" s="213">
        <f>SUM(6615-6615)</f>
        <v>0</v>
      </c>
      <c r="H37" s="164" t="s">
        <v>43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24.75" customHeight="1">
      <c r="A38" s="148" t="s">
        <v>101</v>
      </c>
      <c r="B38" s="161" t="s">
        <v>121</v>
      </c>
      <c r="C38" s="247" t="s">
        <v>219</v>
      </c>
      <c r="D38" s="187">
        <v>9.0</v>
      </c>
      <c r="E38" s="162">
        <v>30000.0</v>
      </c>
      <c r="F38" s="162">
        <f>D38*967.74-300</f>
        <v>8409.66</v>
      </c>
      <c r="G38" s="213">
        <f>SUM(8410-3000-5410)</f>
        <v>0</v>
      </c>
      <c r="H38" s="164" t="s">
        <v>36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4.75" customHeight="1">
      <c r="A39" s="154"/>
      <c r="B39" s="149"/>
      <c r="C39" s="232"/>
      <c r="D39" s="187"/>
      <c r="E39" s="162"/>
      <c r="F39" s="152"/>
      <c r="G39" s="213"/>
      <c r="H39" s="164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4.75" customHeight="1">
      <c r="A40" s="211"/>
      <c r="B40" s="161" t="s">
        <v>166</v>
      </c>
      <c r="C40" s="232"/>
      <c r="D40" s="151"/>
      <c r="E40" s="212">
        <v>44000.0</v>
      </c>
      <c r="F40" s="152"/>
      <c r="G40" s="213"/>
      <c r="H40" s="154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24.75" customHeight="1">
      <c r="A41" s="189" t="s">
        <v>78</v>
      </c>
      <c r="B41" s="190"/>
      <c r="C41" s="191"/>
      <c r="D41" s="191"/>
      <c r="E41" s="152">
        <f t="shared" ref="E41:F41" si="2">SUM(E9:E40)</f>
        <v>997000</v>
      </c>
      <c r="F41" s="152">
        <f t="shared" si="2"/>
        <v>755892.1963</v>
      </c>
      <c r="G41" s="152">
        <f>SUM(G8:G40)</f>
        <v>80802</v>
      </c>
      <c r="H41" s="154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120"/>
      <c r="B42" s="120"/>
      <c r="C42" s="121"/>
      <c r="D42" s="121"/>
      <c r="E42" s="122"/>
      <c r="F42" s="122"/>
      <c r="G42" s="123"/>
      <c r="H42" s="11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120"/>
      <c r="B43" s="120"/>
      <c r="C43" s="121"/>
      <c r="D43" s="121"/>
      <c r="E43" s="122"/>
      <c r="F43" s="122"/>
      <c r="G43" s="123"/>
      <c r="H43" s="11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120"/>
      <c r="B44" s="120"/>
      <c r="C44" s="121"/>
      <c r="D44" s="121"/>
      <c r="E44" s="122"/>
      <c r="F44" s="122"/>
      <c r="G44" s="123"/>
      <c r="H44" s="11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120"/>
      <c r="B45" s="120"/>
      <c r="C45" s="121"/>
      <c r="D45" s="121"/>
      <c r="E45" s="122"/>
      <c r="F45" s="122"/>
      <c r="G45" s="123"/>
      <c r="H45" s="11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120"/>
      <c r="B46" s="120"/>
      <c r="C46" s="121"/>
      <c r="D46" s="121"/>
      <c r="E46" s="122"/>
      <c r="F46" s="122"/>
      <c r="G46" s="123"/>
      <c r="H46" s="11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120"/>
      <c r="B47" s="120"/>
      <c r="C47" s="121"/>
      <c r="D47" s="121"/>
      <c r="E47" s="122"/>
      <c r="F47" s="122"/>
      <c r="G47" s="123"/>
      <c r="H47" s="11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120"/>
      <c r="B48" s="120"/>
      <c r="C48" s="121"/>
      <c r="D48" s="121"/>
      <c r="E48" s="122"/>
      <c r="F48" s="122"/>
      <c r="G48" s="123"/>
      <c r="H48" s="11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120"/>
      <c r="B49" s="120"/>
      <c r="C49" s="121"/>
      <c r="D49" s="121"/>
      <c r="E49" s="122"/>
      <c r="F49" s="122"/>
      <c r="G49" s="123"/>
      <c r="H49" s="11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120"/>
      <c r="B50" s="120"/>
      <c r="C50" s="121"/>
      <c r="D50" s="121"/>
      <c r="E50" s="122"/>
      <c r="F50" s="122"/>
      <c r="G50" s="123"/>
      <c r="H50" s="11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120"/>
      <c r="B51" s="120"/>
      <c r="C51" s="121"/>
      <c r="D51" s="121"/>
      <c r="E51" s="122"/>
      <c r="F51" s="122"/>
      <c r="G51" s="123"/>
      <c r="H51" s="11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7"/>
      <c r="B52" s="7"/>
      <c r="C52" s="5"/>
      <c r="D52" s="5"/>
      <c r="E52" s="9"/>
      <c r="F52" s="9"/>
      <c r="G52" s="10"/>
      <c r="H52" s="11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7"/>
      <c r="B53" s="7"/>
      <c r="C53" s="5"/>
      <c r="D53" s="5"/>
      <c r="E53" s="9"/>
      <c r="F53" s="9"/>
      <c r="G53" s="10"/>
      <c r="H53" s="11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7"/>
      <c r="B54" s="7"/>
      <c r="C54" s="5"/>
      <c r="D54" s="5"/>
      <c r="E54" s="9"/>
      <c r="F54" s="9"/>
      <c r="G54" s="10"/>
      <c r="H54" s="11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7"/>
      <c r="B55" s="7"/>
      <c r="C55" s="5"/>
      <c r="D55" s="5"/>
      <c r="E55" s="9"/>
      <c r="F55" s="9"/>
      <c r="G55" s="10"/>
      <c r="H55" s="11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6.5" customHeight="1">
      <c r="A56" s="7"/>
      <c r="B56" s="7"/>
      <c r="C56" s="5"/>
      <c r="D56" s="5"/>
      <c r="E56" s="9"/>
      <c r="F56" s="9"/>
      <c r="G56" s="10"/>
      <c r="H56" s="11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6.5" customHeight="1">
      <c r="A57" s="7"/>
      <c r="B57" s="7"/>
      <c r="C57" s="5"/>
      <c r="D57" s="5"/>
      <c r="E57" s="9"/>
      <c r="F57" s="9"/>
      <c r="G57" s="10"/>
      <c r="H57" s="11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7"/>
      <c r="B58" s="7"/>
      <c r="C58" s="5"/>
      <c r="D58" s="5"/>
      <c r="E58" s="9"/>
      <c r="F58" s="9"/>
      <c r="G58" s="10"/>
      <c r="H58" s="11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7"/>
      <c r="B59" s="7"/>
      <c r="C59" s="5"/>
      <c r="D59" s="5"/>
      <c r="E59" s="9"/>
      <c r="F59" s="9"/>
      <c r="G59" s="10"/>
      <c r="H59" s="11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7"/>
      <c r="B60" s="7"/>
      <c r="C60" s="5"/>
      <c r="D60" s="5"/>
      <c r="E60" s="9"/>
      <c r="F60" s="9"/>
      <c r="G60" s="10"/>
      <c r="H60" s="11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7"/>
      <c r="B61" s="7"/>
      <c r="C61" s="5"/>
      <c r="D61" s="5"/>
      <c r="E61" s="9"/>
      <c r="F61" s="9"/>
      <c r="G61" s="10"/>
      <c r="H61" s="11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7"/>
      <c r="B62" s="7"/>
      <c r="C62" s="5"/>
      <c r="D62" s="5"/>
      <c r="E62" s="9"/>
      <c r="F62" s="9"/>
      <c r="G62" s="10"/>
      <c r="H62" s="11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7"/>
      <c r="B63" s="7"/>
      <c r="C63" s="5"/>
      <c r="D63" s="5"/>
      <c r="E63" s="9"/>
      <c r="F63" s="9"/>
      <c r="G63" s="10"/>
      <c r="H63" s="11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7"/>
      <c r="B64" s="7"/>
      <c r="C64" s="5"/>
      <c r="D64" s="5"/>
      <c r="E64" s="9"/>
      <c r="F64" s="9"/>
      <c r="G64" s="10"/>
      <c r="H64" s="11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7"/>
      <c r="B65" s="7"/>
      <c r="C65" s="5"/>
      <c r="D65" s="5"/>
      <c r="E65" s="9"/>
      <c r="F65" s="9"/>
      <c r="G65" s="10"/>
      <c r="H65" s="11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7"/>
      <c r="B66" s="7"/>
      <c r="C66" s="5"/>
      <c r="D66" s="5"/>
      <c r="E66" s="9"/>
      <c r="F66" s="9"/>
      <c r="G66" s="10"/>
      <c r="H66" s="11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7"/>
      <c r="B67" s="7"/>
      <c r="C67" s="5"/>
      <c r="D67" s="5"/>
      <c r="E67" s="9"/>
      <c r="F67" s="9"/>
      <c r="G67" s="10"/>
      <c r="H67" s="11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7"/>
      <c r="B68" s="7"/>
      <c r="C68" s="5"/>
      <c r="D68" s="5"/>
      <c r="E68" s="9"/>
      <c r="F68" s="9"/>
      <c r="G68" s="10"/>
      <c r="H68" s="11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7"/>
      <c r="B69" s="7"/>
      <c r="C69" s="5"/>
      <c r="D69" s="5"/>
      <c r="E69" s="9"/>
      <c r="F69" s="9"/>
      <c r="G69" s="10"/>
      <c r="H69" s="11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7"/>
      <c r="B70" s="7"/>
      <c r="C70" s="5"/>
      <c r="D70" s="5"/>
      <c r="E70" s="9"/>
      <c r="F70" s="9"/>
      <c r="G70" s="10"/>
      <c r="H70" s="11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7"/>
      <c r="B71" s="7"/>
      <c r="C71" s="5"/>
      <c r="D71" s="5"/>
      <c r="E71" s="9"/>
      <c r="F71" s="9"/>
      <c r="G71" s="10"/>
      <c r="H71" s="11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7"/>
      <c r="B72" s="7"/>
      <c r="C72" s="5"/>
      <c r="D72" s="5"/>
      <c r="E72" s="9"/>
      <c r="F72" s="9"/>
      <c r="G72" s="10"/>
      <c r="H72" s="11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7"/>
      <c r="B73" s="7"/>
      <c r="C73" s="5"/>
      <c r="D73" s="5"/>
      <c r="E73" s="9"/>
      <c r="F73" s="9"/>
      <c r="G73" s="10"/>
      <c r="H73" s="11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7"/>
      <c r="B74" s="7"/>
      <c r="C74" s="5"/>
      <c r="D74" s="5"/>
      <c r="E74" s="9"/>
      <c r="F74" s="9"/>
      <c r="G74" s="10"/>
      <c r="H74" s="11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7"/>
      <c r="B75" s="7"/>
      <c r="C75" s="5"/>
      <c r="D75" s="5"/>
      <c r="E75" s="9"/>
      <c r="F75" s="9"/>
      <c r="G75" s="10"/>
      <c r="H75" s="11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7"/>
      <c r="B76" s="7"/>
      <c r="C76" s="5"/>
      <c r="D76" s="5"/>
      <c r="E76" s="9"/>
      <c r="F76" s="9"/>
      <c r="G76" s="10"/>
      <c r="H76" s="11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7"/>
      <c r="B77" s="7"/>
      <c r="C77" s="5"/>
      <c r="D77" s="5"/>
      <c r="E77" s="9"/>
      <c r="F77" s="9"/>
      <c r="G77" s="10"/>
      <c r="H77" s="11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7"/>
      <c r="B78" s="7"/>
      <c r="C78" s="5"/>
      <c r="D78" s="5"/>
      <c r="E78" s="9"/>
      <c r="F78" s="9"/>
      <c r="G78" s="10"/>
      <c r="H78" s="11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7"/>
      <c r="B79" s="7"/>
      <c r="C79" s="5"/>
      <c r="D79" s="5"/>
      <c r="E79" s="9"/>
      <c r="F79" s="9"/>
      <c r="G79" s="10"/>
      <c r="H79" s="11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7"/>
      <c r="B80" s="7"/>
      <c r="C80" s="5"/>
      <c r="D80" s="5"/>
      <c r="E80" s="9"/>
      <c r="F80" s="9"/>
      <c r="G80" s="10"/>
      <c r="H80" s="11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7"/>
      <c r="B81" s="7"/>
      <c r="C81" s="5"/>
      <c r="D81" s="5"/>
      <c r="E81" s="9"/>
      <c r="F81" s="9"/>
      <c r="G81" s="10"/>
      <c r="H81" s="11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7"/>
      <c r="B82" s="7"/>
      <c r="C82" s="5"/>
      <c r="D82" s="5"/>
      <c r="E82" s="9"/>
      <c r="F82" s="9"/>
      <c r="G82" s="10"/>
      <c r="H82" s="11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7"/>
      <c r="B83" s="7"/>
      <c r="C83" s="5"/>
      <c r="D83" s="5"/>
      <c r="E83" s="9"/>
      <c r="F83" s="9"/>
      <c r="G83" s="10"/>
      <c r="H83" s="11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7"/>
      <c r="B84" s="7"/>
      <c r="C84" s="5"/>
      <c r="D84" s="5"/>
      <c r="E84" s="9"/>
      <c r="F84" s="9"/>
      <c r="G84" s="10"/>
      <c r="H84" s="11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7"/>
      <c r="B85" s="7"/>
      <c r="C85" s="5"/>
      <c r="D85" s="5"/>
      <c r="E85" s="9"/>
      <c r="F85" s="9"/>
      <c r="G85" s="10"/>
      <c r="H85" s="11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7"/>
      <c r="B86" s="7"/>
      <c r="C86" s="5"/>
      <c r="D86" s="5"/>
      <c r="E86" s="9"/>
      <c r="F86" s="9"/>
      <c r="G86" s="10"/>
      <c r="H86" s="11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7"/>
      <c r="B87" s="7"/>
      <c r="C87" s="5"/>
      <c r="D87" s="5"/>
      <c r="E87" s="9"/>
      <c r="F87" s="9"/>
      <c r="G87" s="10"/>
      <c r="H87" s="11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7"/>
      <c r="B88" s="7"/>
      <c r="C88" s="5"/>
      <c r="D88" s="5"/>
      <c r="E88" s="9"/>
      <c r="F88" s="9"/>
      <c r="G88" s="10"/>
      <c r="H88" s="11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7"/>
      <c r="B89" s="7"/>
      <c r="C89" s="5"/>
      <c r="D89" s="5"/>
      <c r="E89" s="9"/>
      <c r="F89" s="9"/>
      <c r="G89" s="10"/>
      <c r="H89" s="11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7"/>
      <c r="B90" s="7"/>
      <c r="C90" s="5"/>
      <c r="D90" s="5"/>
      <c r="E90" s="9"/>
      <c r="F90" s="9"/>
      <c r="G90" s="10"/>
      <c r="H90" s="11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7"/>
      <c r="B91" s="7"/>
      <c r="C91" s="5"/>
      <c r="D91" s="5"/>
      <c r="E91" s="9"/>
      <c r="F91" s="9"/>
      <c r="G91" s="10"/>
      <c r="H91" s="11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7"/>
      <c r="B92" s="7"/>
      <c r="C92" s="5"/>
      <c r="D92" s="5"/>
      <c r="E92" s="9"/>
      <c r="F92" s="9"/>
      <c r="G92" s="10"/>
      <c r="H92" s="11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7"/>
      <c r="B93" s="7"/>
      <c r="C93" s="5"/>
      <c r="D93" s="5"/>
      <c r="E93" s="9"/>
      <c r="F93" s="9"/>
      <c r="G93" s="10"/>
      <c r="H93" s="11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7"/>
      <c r="B94" s="7"/>
      <c r="C94" s="5"/>
      <c r="D94" s="5"/>
      <c r="E94" s="9"/>
      <c r="F94" s="9"/>
      <c r="G94" s="10"/>
      <c r="H94" s="11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7"/>
      <c r="B95" s="7"/>
      <c r="C95" s="5"/>
      <c r="D95" s="5"/>
      <c r="E95" s="9"/>
      <c r="F95" s="9"/>
      <c r="G95" s="10"/>
      <c r="H95" s="11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7"/>
      <c r="B96" s="7"/>
      <c r="C96" s="5"/>
      <c r="D96" s="5"/>
      <c r="E96" s="9"/>
      <c r="F96" s="9"/>
      <c r="G96" s="10"/>
      <c r="H96" s="11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7"/>
      <c r="B97" s="7"/>
      <c r="C97" s="5"/>
      <c r="D97" s="5"/>
      <c r="E97" s="9"/>
      <c r="F97" s="9"/>
      <c r="G97" s="10"/>
      <c r="H97" s="11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7"/>
      <c r="B98" s="7"/>
      <c r="C98" s="5"/>
      <c r="D98" s="5"/>
      <c r="E98" s="9"/>
      <c r="F98" s="9"/>
      <c r="G98" s="10"/>
      <c r="H98" s="11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7"/>
      <c r="B99" s="7"/>
      <c r="C99" s="5"/>
      <c r="D99" s="5"/>
      <c r="E99" s="9"/>
      <c r="F99" s="9"/>
      <c r="G99" s="10"/>
      <c r="H99" s="11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7"/>
      <c r="B100" s="7"/>
      <c r="C100" s="5"/>
      <c r="D100" s="5"/>
      <c r="E100" s="9"/>
      <c r="F100" s="9"/>
      <c r="G100" s="10"/>
      <c r="H100" s="11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7"/>
      <c r="B101" s="7"/>
      <c r="C101" s="5"/>
      <c r="D101" s="5"/>
      <c r="E101" s="9"/>
      <c r="F101" s="9"/>
      <c r="G101" s="10"/>
      <c r="H101" s="11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7"/>
      <c r="B102" s="7"/>
      <c r="C102" s="5"/>
      <c r="D102" s="5"/>
      <c r="E102" s="9"/>
      <c r="F102" s="9"/>
      <c r="G102" s="10"/>
      <c r="H102" s="11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7"/>
      <c r="B103" s="7"/>
      <c r="C103" s="5"/>
      <c r="D103" s="5"/>
      <c r="E103" s="9"/>
      <c r="F103" s="9"/>
      <c r="G103" s="10"/>
      <c r="H103" s="11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7"/>
      <c r="B104" s="7"/>
      <c r="C104" s="5"/>
      <c r="D104" s="5"/>
      <c r="E104" s="9"/>
      <c r="F104" s="9"/>
      <c r="G104" s="10"/>
      <c r="H104" s="11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7"/>
      <c r="B105" s="7"/>
      <c r="C105" s="5"/>
      <c r="D105" s="5"/>
      <c r="E105" s="9"/>
      <c r="F105" s="9"/>
      <c r="G105" s="10"/>
      <c r="H105" s="11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7"/>
      <c r="B106" s="7"/>
      <c r="C106" s="5"/>
      <c r="D106" s="5"/>
      <c r="E106" s="9"/>
      <c r="F106" s="9"/>
      <c r="G106" s="10"/>
      <c r="H106" s="11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7"/>
      <c r="B107" s="7"/>
      <c r="C107" s="5"/>
      <c r="D107" s="5"/>
      <c r="E107" s="9"/>
      <c r="F107" s="9"/>
      <c r="G107" s="10"/>
      <c r="H107" s="11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7"/>
      <c r="B108" s="7"/>
      <c r="C108" s="5"/>
      <c r="D108" s="5"/>
      <c r="E108" s="9"/>
      <c r="F108" s="9"/>
      <c r="G108" s="10"/>
      <c r="H108" s="11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7"/>
      <c r="B109" s="7"/>
      <c r="C109" s="5"/>
      <c r="D109" s="5"/>
      <c r="E109" s="9"/>
      <c r="F109" s="9"/>
      <c r="G109" s="10"/>
      <c r="H109" s="11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7"/>
      <c r="B110" s="7"/>
      <c r="C110" s="5"/>
      <c r="D110" s="5"/>
      <c r="E110" s="9"/>
      <c r="F110" s="9"/>
      <c r="G110" s="10"/>
      <c r="H110" s="11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7"/>
      <c r="B111" s="7"/>
      <c r="C111" s="5"/>
      <c r="D111" s="5"/>
      <c r="E111" s="9"/>
      <c r="F111" s="9"/>
      <c r="G111" s="10"/>
      <c r="H111" s="11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7"/>
      <c r="B112" s="7"/>
      <c r="C112" s="5"/>
      <c r="D112" s="5"/>
      <c r="E112" s="9"/>
      <c r="F112" s="9"/>
      <c r="G112" s="10"/>
      <c r="H112" s="11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7"/>
      <c r="B113" s="7"/>
      <c r="C113" s="5"/>
      <c r="D113" s="5"/>
      <c r="E113" s="9"/>
      <c r="F113" s="9"/>
      <c r="G113" s="10"/>
      <c r="H113" s="11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7"/>
      <c r="B114" s="7"/>
      <c r="C114" s="5"/>
      <c r="D114" s="5"/>
      <c r="E114" s="9"/>
      <c r="F114" s="9"/>
      <c r="G114" s="10"/>
      <c r="H114" s="11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7"/>
      <c r="B115" s="7"/>
      <c r="C115" s="5"/>
      <c r="D115" s="5"/>
      <c r="E115" s="9"/>
      <c r="F115" s="9"/>
      <c r="G115" s="10"/>
      <c r="H115" s="11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7"/>
      <c r="B116" s="7"/>
      <c r="C116" s="5"/>
      <c r="D116" s="5"/>
      <c r="E116" s="9"/>
      <c r="F116" s="9"/>
      <c r="G116" s="10"/>
      <c r="H116" s="11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7"/>
      <c r="B117" s="7"/>
      <c r="C117" s="5"/>
      <c r="D117" s="5"/>
      <c r="E117" s="9"/>
      <c r="F117" s="9"/>
      <c r="G117" s="10"/>
      <c r="H117" s="11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7"/>
      <c r="B118" s="7"/>
      <c r="C118" s="5"/>
      <c r="D118" s="5"/>
      <c r="E118" s="9"/>
      <c r="F118" s="9"/>
      <c r="G118" s="10"/>
      <c r="H118" s="11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7"/>
      <c r="B119" s="7"/>
      <c r="C119" s="5"/>
      <c r="D119" s="5"/>
      <c r="E119" s="9"/>
      <c r="F119" s="9"/>
      <c r="G119" s="10"/>
      <c r="H119" s="11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7"/>
      <c r="B120" s="7"/>
      <c r="C120" s="5"/>
      <c r="D120" s="5"/>
      <c r="E120" s="9"/>
      <c r="F120" s="9"/>
      <c r="G120" s="10"/>
      <c r="H120" s="11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7"/>
      <c r="B121" s="7"/>
      <c r="C121" s="5"/>
      <c r="D121" s="5"/>
      <c r="E121" s="9"/>
      <c r="F121" s="9"/>
      <c r="G121" s="10"/>
      <c r="H121" s="11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7"/>
      <c r="B122" s="7"/>
      <c r="C122" s="5"/>
      <c r="D122" s="5"/>
      <c r="E122" s="9"/>
      <c r="F122" s="9"/>
      <c r="G122" s="10"/>
      <c r="H122" s="11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7"/>
      <c r="B123" s="7"/>
      <c r="C123" s="5"/>
      <c r="D123" s="5"/>
      <c r="E123" s="9"/>
      <c r="F123" s="9"/>
      <c r="G123" s="10"/>
      <c r="H123" s="11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7"/>
      <c r="B124" s="7"/>
      <c r="C124" s="5"/>
      <c r="D124" s="5"/>
      <c r="E124" s="9"/>
      <c r="F124" s="9"/>
      <c r="G124" s="10"/>
      <c r="H124" s="11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7"/>
      <c r="B125" s="7"/>
      <c r="C125" s="5"/>
      <c r="D125" s="5"/>
      <c r="E125" s="9"/>
      <c r="F125" s="9"/>
      <c r="G125" s="10"/>
      <c r="H125" s="11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7"/>
      <c r="B126" s="7"/>
      <c r="C126" s="5"/>
      <c r="D126" s="5"/>
      <c r="E126" s="9"/>
      <c r="F126" s="9"/>
      <c r="G126" s="10"/>
      <c r="H126" s="11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7"/>
      <c r="B127" s="7"/>
      <c r="C127" s="5"/>
      <c r="D127" s="5"/>
      <c r="E127" s="9"/>
      <c r="F127" s="9"/>
      <c r="G127" s="10"/>
      <c r="H127" s="11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7"/>
      <c r="B128" s="7"/>
      <c r="C128" s="5"/>
      <c r="D128" s="5"/>
      <c r="E128" s="9"/>
      <c r="F128" s="9"/>
      <c r="G128" s="10"/>
      <c r="H128" s="11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7"/>
      <c r="B129" s="7"/>
      <c r="C129" s="5"/>
      <c r="D129" s="5"/>
      <c r="E129" s="9"/>
      <c r="F129" s="9"/>
      <c r="G129" s="10"/>
      <c r="H129" s="11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7"/>
      <c r="B130" s="7"/>
      <c r="C130" s="5"/>
      <c r="D130" s="5"/>
      <c r="E130" s="9"/>
      <c r="F130" s="9"/>
      <c r="G130" s="10"/>
      <c r="H130" s="11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7"/>
      <c r="B131" s="7"/>
      <c r="C131" s="5"/>
      <c r="D131" s="5"/>
      <c r="E131" s="9"/>
      <c r="F131" s="9"/>
      <c r="G131" s="10"/>
      <c r="H131" s="11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7"/>
      <c r="B132" s="7"/>
      <c r="C132" s="5"/>
      <c r="D132" s="5"/>
      <c r="E132" s="9"/>
      <c r="F132" s="9"/>
      <c r="G132" s="10"/>
      <c r="H132" s="11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7"/>
      <c r="B133" s="7"/>
      <c r="C133" s="5"/>
      <c r="D133" s="5"/>
      <c r="E133" s="9"/>
      <c r="F133" s="9"/>
      <c r="G133" s="10"/>
      <c r="H133" s="11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7"/>
      <c r="B134" s="7"/>
      <c r="C134" s="5"/>
      <c r="D134" s="5"/>
      <c r="E134" s="9"/>
      <c r="F134" s="9"/>
      <c r="G134" s="10"/>
      <c r="H134" s="11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7"/>
      <c r="B135" s="7"/>
      <c r="C135" s="5"/>
      <c r="D135" s="5"/>
      <c r="E135" s="9"/>
      <c r="F135" s="9"/>
      <c r="G135" s="10"/>
      <c r="H135" s="11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7"/>
      <c r="B136" s="7"/>
      <c r="C136" s="5"/>
      <c r="D136" s="5"/>
      <c r="E136" s="9"/>
      <c r="F136" s="9"/>
      <c r="G136" s="10"/>
      <c r="H136" s="11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7"/>
      <c r="B137" s="7"/>
      <c r="C137" s="5"/>
      <c r="D137" s="5"/>
      <c r="E137" s="9"/>
      <c r="F137" s="9"/>
      <c r="G137" s="10"/>
      <c r="H137" s="11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7"/>
      <c r="B138" s="7"/>
      <c r="C138" s="5"/>
      <c r="D138" s="5"/>
      <c r="E138" s="9"/>
      <c r="F138" s="9"/>
      <c r="G138" s="10"/>
      <c r="H138" s="11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7"/>
      <c r="B139" s="7"/>
      <c r="C139" s="5"/>
      <c r="D139" s="5"/>
      <c r="E139" s="9"/>
      <c r="F139" s="9"/>
      <c r="G139" s="10"/>
      <c r="H139" s="11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7"/>
      <c r="B140" s="7"/>
      <c r="C140" s="5"/>
      <c r="D140" s="5"/>
      <c r="E140" s="9"/>
      <c r="F140" s="9"/>
      <c r="G140" s="10"/>
      <c r="H140" s="11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7"/>
      <c r="B141" s="7"/>
      <c r="C141" s="5"/>
      <c r="D141" s="5"/>
      <c r="E141" s="9"/>
      <c r="F141" s="9"/>
      <c r="G141" s="10"/>
      <c r="H141" s="11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7"/>
      <c r="B142" s="7"/>
      <c r="C142" s="5"/>
      <c r="D142" s="5"/>
      <c r="E142" s="9"/>
      <c r="F142" s="9"/>
      <c r="G142" s="10"/>
      <c r="H142" s="11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7"/>
      <c r="B143" s="7"/>
      <c r="C143" s="5"/>
      <c r="D143" s="5"/>
      <c r="E143" s="9"/>
      <c r="F143" s="9"/>
      <c r="G143" s="10"/>
      <c r="H143" s="11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7"/>
      <c r="B144" s="7"/>
      <c r="C144" s="5"/>
      <c r="D144" s="5"/>
      <c r="E144" s="9"/>
      <c r="F144" s="9"/>
      <c r="G144" s="10"/>
      <c r="H144" s="11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7"/>
      <c r="B145" s="7"/>
      <c r="C145" s="5"/>
      <c r="D145" s="5"/>
      <c r="E145" s="9"/>
      <c r="F145" s="9"/>
      <c r="G145" s="10"/>
      <c r="H145" s="11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7"/>
      <c r="B146" s="7"/>
      <c r="C146" s="5"/>
      <c r="D146" s="5"/>
      <c r="E146" s="9"/>
      <c r="F146" s="9"/>
      <c r="G146" s="10"/>
      <c r="H146" s="11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7"/>
      <c r="B147" s="7"/>
      <c r="C147" s="5"/>
      <c r="D147" s="5"/>
      <c r="E147" s="9"/>
      <c r="F147" s="9"/>
      <c r="G147" s="10"/>
      <c r="H147" s="11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7"/>
      <c r="B148" s="7"/>
      <c r="C148" s="5"/>
      <c r="D148" s="5"/>
      <c r="E148" s="9"/>
      <c r="F148" s="9"/>
      <c r="G148" s="10"/>
      <c r="H148" s="11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7"/>
      <c r="B149" s="7"/>
      <c r="C149" s="5"/>
      <c r="D149" s="5"/>
      <c r="E149" s="9"/>
      <c r="F149" s="9"/>
      <c r="G149" s="10"/>
      <c r="H149" s="11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7"/>
      <c r="B150" s="7"/>
      <c r="C150" s="5"/>
      <c r="D150" s="5"/>
      <c r="E150" s="9"/>
      <c r="F150" s="9"/>
      <c r="G150" s="10"/>
      <c r="H150" s="11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7"/>
      <c r="B151" s="7"/>
      <c r="C151" s="5"/>
      <c r="D151" s="5"/>
      <c r="E151" s="9"/>
      <c r="F151" s="9"/>
      <c r="G151" s="10"/>
      <c r="H151" s="11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7"/>
      <c r="B152" s="7"/>
      <c r="C152" s="5"/>
      <c r="D152" s="5"/>
      <c r="E152" s="9"/>
      <c r="F152" s="9"/>
      <c r="G152" s="10"/>
      <c r="H152" s="11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7"/>
      <c r="B153" s="7"/>
      <c r="C153" s="5"/>
      <c r="D153" s="5"/>
      <c r="E153" s="9"/>
      <c r="F153" s="9"/>
      <c r="G153" s="10"/>
      <c r="H153" s="11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7"/>
      <c r="B154" s="7"/>
      <c r="C154" s="5"/>
      <c r="D154" s="5"/>
      <c r="E154" s="9"/>
      <c r="F154" s="9"/>
      <c r="G154" s="10"/>
      <c r="H154" s="11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7"/>
      <c r="B155" s="7"/>
      <c r="C155" s="5"/>
      <c r="D155" s="5"/>
      <c r="E155" s="9"/>
      <c r="F155" s="9"/>
      <c r="G155" s="10"/>
      <c r="H155" s="11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7"/>
      <c r="B156" s="7"/>
      <c r="C156" s="5"/>
      <c r="D156" s="5"/>
      <c r="E156" s="9"/>
      <c r="F156" s="9"/>
      <c r="G156" s="10"/>
      <c r="H156" s="11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7"/>
      <c r="B157" s="7"/>
      <c r="C157" s="5"/>
      <c r="D157" s="5"/>
      <c r="E157" s="9"/>
      <c r="F157" s="9"/>
      <c r="G157" s="10"/>
      <c r="H157" s="11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7"/>
      <c r="B158" s="7"/>
      <c r="C158" s="5"/>
      <c r="D158" s="5"/>
      <c r="E158" s="9"/>
      <c r="F158" s="9"/>
      <c r="G158" s="10"/>
      <c r="H158" s="11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7"/>
      <c r="B159" s="7"/>
      <c r="C159" s="5"/>
      <c r="D159" s="5"/>
      <c r="E159" s="9"/>
      <c r="F159" s="9"/>
      <c r="G159" s="10"/>
      <c r="H159" s="11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7"/>
      <c r="B160" s="7"/>
      <c r="C160" s="5"/>
      <c r="D160" s="5"/>
      <c r="E160" s="9"/>
      <c r="F160" s="9"/>
      <c r="G160" s="10"/>
      <c r="H160" s="11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7"/>
      <c r="B161" s="7"/>
      <c r="C161" s="5"/>
      <c r="D161" s="5"/>
      <c r="E161" s="9"/>
      <c r="F161" s="9"/>
      <c r="G161" s="10"/>
      <c r="H161" s="11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7"/>
      <c r="B162" s="7"/>
      <c r="C162" s="5"/>
      <c r="D162" s="5"/>
      <c r="E162" s="9"/>
      <c r="F162" s="9"/>
      <c r="G162" s="10"/>
      <c r="H162" s="11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7"/>
      <c r="B163" s="7"/>
      <c r="C163" s="5"/>
      <c r="D163" s="5"/>
      <c r="E163" s="9"/>
      <c r="F163" s="9"/>
      <c r="G163" s="10"/>
      <c r="H163" s="11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7"/>
      <c r="B164" s="7"/>
      <c r="C164" s="5"/>
      <c r="D164" s="5"/>
      <c r="E164" s="9"/>
      <c r="F164" s="9"/>
      <c r="G164" s="10"/>
      <c r="H164" s="11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7"/>
      <c r="B165" s="7"/>
      <c r="C165" s="5"/>
      <c r="D165" s="5"/>
      <c r="E165" s="9"/>
      <c r="F165" s="9"/>
      <c r="G165" s="10"/>
      <c r="H165" s="11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7"/>
      <c r="B166" s="7"/>
      <c r="C166" s="5"/>
      <c r="D166" s="5"/>
      <c r="E166" s="9"/>
      <c r="F166" s="9"/>
      <c r="G166" s="10"/>
      <c r="H166" s="11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7"/>
      <c r="B167" s="7"/>
      <c r="C167" s="5"/>
      <c r="D167" s="5"/>
      <c r="E167" s="9"/>
      <c r="F167" s="9"/>
      <c r="G167" s="10"/>
      <c r="H167" s="11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7"/>
      <c r="B168" s="7"/>
      <c r="C168" s="5"/>
      <c r="D168" s="5"/>
      <c r="E168" s="9"/>
      <c r="F168" s="9"/>
      <c r="G168" s="10"/>
      <c r="H168" s="11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7"/>
      <c r="B169" s="7"/>
      <c r="C169" s="5"/>
      <c r="D169" s="5"/>
      <c r="E169" s="9"/>
      <c r="F169" s="9"/>
      <c r="G169" s="10"/>
      <c r="H169" s="11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7"/>
      <c r="B170" s="7"/>
      <c r="C170" s="5"/>
      <c r="D170" s="5"/>
      <c r="E170" s="9"/>
      <c r="F170" s="9"/>
      <c r="G170" s="10"/>
      <c r="H170" s="11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7"/>
      <c r="B171" s="7"/>
      <c r="C171" s="5"/>
      <c r="D171" s="5"/>
      <c r="E171" s="9"/>
      <c r="F171" s="9"/>
      <c r="G171" s="10"/>
      <c r="H171" s="11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7"/>
      <c r="B172" s="7"/>
      <c r="C172" s="5"/>
      <c r="D172" s="5"/>
      <c r="E172" s="9"/>
      <c r="F172" s="9"/>
      <c r="G172" s="10"/>
      <c r="H172" s="11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7"/>
      <c r="B173" s="7"/>
      <c r="C173" s="5"/>
      <c r="D173" s="5"/>
      <c r="E173" s="9"/>
      <c r="F173" s="9"/>
      <c r="G173" s="10"/>
      <c r="H173" s="11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7"/>
      <c r="B174" s="7"/>
      <c r="C174" s="5"/>
      <c r="D174" s="5"/>
      <c r="E174" s="9"/>
      <c r="F174" s="9"/>
      <c r="G174" s="10"/>
      <c r="H174" s="11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7"/>
      <c r="B175" s="7"/>
      <c r="C175" s="5"/>
      <c r="D175" s="5"/>
      <c r="E175" s="9"/>
      <c r="F175" s="9"/>
      <c r="G175" s="10"/>
      <c r="H175" s="11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7"/>
      <c r="B176" s="7"/>
      <c r="C176" s="5"/>
      <c r="D176" s="5"/>
      <c r="E176" s="9"/>
      <c r="F176" s="9"/>
      <c r="G176" s="10"/>
      <c r="H176" s="11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7"/>
      <c r="B177" s="7"/>
      <c r="C177" s="5"/>
      <c r="D177" s="5"/>
      <c r="E177" s="9"/>
      <c r="F177" s="9"/>
      <c r="G177" s="10"/>
      <c r="H177" s="11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7"/>
      <c r="B178" s="7"/>
      <c r="C178" s="5"/>
      <c r="D178" s="5"/>
      <c r="E178" s="9"/>
      <c r="F178" s="9"/>
      <c r="G178" s="10"/>
      <c r="H178" s="11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7"/>
      <c r="B179" s="7"/>
      <c r="C179" s="5"/>
      <c r="D179" s="5"/>
      <c r="E179" s="9"/>
      <c r="F179" s="9"/>
      <c r="G179" s="10"/>
      <c r="H179" s="11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7"/>
      <c r="B180" s="7"/>
      <c r="C180" s="5"/>
      <c r="D180" s="5"/>
      <c r="E180" s="9"/>
      <c r="F180" s="9"/>
      <c r="G180" s="10"/>
      <c r="H180" s="11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7"/>
      <c r="B181" s="7"/>
      <c r="C181" s="5"/>
      <c r="D181" s="5"/>
      <c r="E181" s="9"/>
      <c r="F181" s="9"/>
      <c r="G181" s="10"/>
      <c r="H181" s="11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7"/>
      <c r="B182" s="7"/>
      <c r="C182" s="5"/>
      <c r="D182" s="5"/>
      <c r="E182" s="9"/>
      <c r="F182" s="9"/>
      <c r="G182" s="10"/>
      <c r="H182" s="11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7"/>
      <c r="B183" s="7"/>
      <c r="C183" s="5"/>
      <c r="D183" s="5"/>
      <c r="E183" s="9"/>
      <c r="F183" s="9"/>
      <c r="G183" s="10"/>
      <c r="H183" s="11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7"/>
      <c r="B184" s="7"/>
      <c r="C184" s="5"/>
      <c r="D184" s="5"/>
      <c r="E184" s="9"/>
      <c r="F184" s="9"/>
      <c r="G184" s="10"/>
      <c r="H184" s="11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7"/>
      <c r="B185" s="7"/>
      <c r="C185" s="5"/>
      <c r="D185" s="5"/>
      <c r="E185" s="9"/>
      <c r="F185" s="9"/>
      <c r="G185" s="10"/>
      <c r="H185" s="11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7"/>
      <c r="B186" s="7"/>
      <c r="C186" s="5"/>
      <c r="D186" s="5"/>
      <c r="E186" s="9"/>
      <c r="F186" s="9"/>
      <c r="G186" s="10"/>
      <c r="H186" s="11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7"/>
      <c r="B187" s="7"/>
      <c r="C187" s="5"/>
      <c r="D187" s="5"/>
      <c r="E187" s="9"/>
      <c r="F187" s="9"/>
      <c r="G187" s="10"/>
      <c r="H187" s="11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7"/>
      <c r="B188" s="7"/>
      <c r="C188" s="5"/>
      <c r="D188" s="5"/>
      <c r="E188" s="9"/>
      <c r="F188" s="9"/>
      <c r="G188" s="10"/>
      <c r="H188" s="11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7"/>
      <c r="B189" s="7"/>
      <c r="C189" s="5"/>
      <c r="D189" s="5"/>
      <c r="E189" s="9"/>
      <c r="F189" s="9"/>
      <c r="G189" s="10"/>
      <c r="H189" s="11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7"/>
      <c r="B190" s="7"/>
      <c r="C190" s="5"/>
      <c r="D190" s="5"/>
      <c r="E190" s="9"/>
      <c r="F190" s="9"/>
      <c r="G190" s="10"/>
      <c r="H190" s="11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7"/>
      <c r="B191" s="7"/>
      <c r="C191" s="5"/>
      <c r="D191" s="5"/>
      <c r="E191" s="9"/>
      <c r="F191" s="9"/>
      <c r="G191" s="10"/>
      <c r="H191" s="11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7"/>
      <c r="B192" s="7"/>
      <c r="C192" s="5"/>
      <c r="D192" s="5"/>
      <c r="E192" s="9"/>
      <c r="F192" s="9"/>
      <c r="G192" s="10"/>
      <c r="H192" s="11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7"/>
      <c r="B193" s="7"/>
      <c r="C193" s="5"/>
      <c r="D193" s="5"/>
      <c r="E193" s="9"/>
      <c r="F193" s="9"/>
      <c r="G193" s="10"/>
      <c r="H193" s="11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7"/>
      <c r="B194" s="7"/>
      <c r="C194" s="5"/>
      <c r="D194" s="5"/>
      <c r="E194" s="9"/>
      <c r="F194" s="9"/>
      <c r="G194" s="10"/>
      <c r="H194" s="11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7"/>
      <c r="B195" s="7"/>
      <c r="C195" s="5"/>
      <c r="D195" s="5"/>
      <c r="E195" s="9"/>
      <c r="F195" s="9"/>
      <c r="G195" s="10"/>
      <c r="H195" s="11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7"/>
      <c r="B196" s="7"/>
      <c r="C196" s="5"/>
      <c r="D196" s="5"/>
      <c r="E196" s="9"/>
      <c r="F196" s="9"/>
      <c r="G196" s="10"/>
      <c r="H196" s="11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7"/>
      <c r="B197" s="7"/>
      <c r="C197" s="5"/>
      <c r="D197" s="5"/>
      <c r="E197" s="9"/>
      <c r="F197" s="9"/>
      <c r="G197" s="10"/>
      <c r="H197" s="11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7"/>
      <c r="B198" s="7"/>
      <c r="C198" s="5"/>
      <c r="D198" s="5"/>
      <c r="E198" s="9"/>
      <c r="F198" s="9"/>
      <c r="G198" s="10"/>
      <c r="H198" s="11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7"/>
      <c r="B199" s="7"/>
      <c r="C199" s="5"/>
      <c r="D199" s="5"/>
      <c r="E199" s="9"/>
      <c r="F199" s="9"/>
      <c r="G199" s="10"/>
      <c r="H199" s="11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7"/>
      <c r="B200" s="7"/>
      <c r="C200" s="5"/>
      <c r="D200" s="5"/>
      <c r="E200" s="9"/>
      <c r="F200" s="9"/>
      <c r="G200" s="10"/>
      <c r="H200" s="11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7"/>
      <c r="B201" s="7"/>
      <c r="C201" s="5"/>
      <c r="D201" s="5"/>
      <c r="E201" s="9"/>
      <c r="F201" s="9"/>
      <c r="G201" s="10"/>
      <c r="H201" s="11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7"/>
      <c r="B202" s="7"/>
      <c r="C202" s="5"/>
      <c r="D202" s="5"/>
      <c r="E202" s="9"/>
      <c r="F202" s="9"/>
      <c r="G202" s="10"/>
      <c r="H202" s="11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7"/>
      <c r="B203" s="7"/>
      <c r="C203" s="5"/>
      <c r="D203" s="5"/>
      <c r="E203" s="9"/>
      <c r="F203" s="9"/>
      <c r="G203" s="10"/>
      <c r="H203" s="11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7"/>
      <c r="B204" s="7"/>
      <c r="C204" s="5"/>
      <c r="D204" s="5"/>
      <c r="E204" s="9"/>
      <c r="F204" s="9"/>
      <c r="G204" s="10"/>
      <c r="H204" s="11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7"/>
      <c r="B205" s="7"/>
      <c r="C205" s="5"/>
      <c r="D205" s="5"/>
      <c r="E205" s="9"/>
      <c r="F205" s="9"/>
      <c r="G205" s="10"/>
      <c r="H205" s="11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7"/>
      <c r="B206" s="7"/>
      <c r="C206" s="5"/>
      <c r="D206" s="5"/>
      <c r="E206" s="9"/>
      <c r="F206" s="9"/>
      <c r="G206" s="10"/>
      <c r="H206" s="11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7"/>
      <c r="B207" s="7"/>
      <c r="C207" s="5"/>
      <c r="D207" s="5"/>
      <c r="E207" s="9"/>
      <c r="F207" s="9"/>
      <c r="G207" s="10"/>
      <c r="H207" s="11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7"/>
      <c r="B208" s="7"/>
      <c r="C208" s="5"/>
      <c r="D208" s="5"/>
      <c r="E208" s="9"/>
      <c r="F208" s="9"/>
      <c r="G208" s="10"/>
      <c r="H208" s="11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7"/>
      <c r="B209" s="7"/>
      <c r="C209" s="5"/>
      <c r="D209" s="5"/>
      <c r="E209" s="9"/>
      <c r="F209" s="9"/>
      <c r="G209" s="10"/>
      <c r="H209" s="11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7"/>
      <c r="B210" s="7"/>
      <c r="C210" s="5"/>
      <c r="D210" s="5"/>
      <c r="E210" s="9"/>
      <c r="F210" s="9"/>
      <c r="G210" s="10"/>
      <c r="H210" s="11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7"/>
      <c r="B211" s="7"/>
      <c r="C211" s="5"/>
      <c r="D211" s="5"/>
      <c r="E211" s="9"/>
      <c r="F211" s="9"/>
      <c r="G211" s="10"/>
      <c r="H211" s="11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7"/>
      <c r="B212" s="7"/>
      <c r="C212" s="5"/>
      <c r="D212" s="5"/>
      <c r="E212" s="9"/>
      <c r="F212" s="9"/>
      <c r="G212" s="10"/>
      <c r="H212" s="11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7"/>
      <c r="B213" s="7"/>
      <c r="C213" s="5"/>
      <c r="D213" s="5"/>
      <c r="E213" s="9"/>
      <c r="F213" s="9"/>
      <c r="G213" s="10"/>
      <c r="H213" s="11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7"/>
      <c r="B214" s="7"/>
      <c r="C214" s="5"/>
      <c r="D214" s="5"/>
      <c r="E214" s="9"/>
      <c r="F214" s="9"/>
      <c r="G214" s="10"/>
      <c r="H214" s="11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7"/>
      <c r="B215" s="7"/>
      <c r="C215" s="5"/>
      <c r="D215" s="5"/>
      <c r="E215" s="9"/>
      <c r="F215" s="9"/>
      <c r="G215" s="10"/>
      <c r="H215" s="11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7"/>
      <c r="B216" s="7"/>
      <c r="C216" s="5"/>
      <c r="D216" s="5"/>
      <c r="E216" s="9"/>
      <c r="F216" s="9"/>
      <c r="G216" s="10"/>
      <c r="H216" s="11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7"/>
      <c r="B217" s="7"/>
      <c r="C217" s="5"/>
      <c r="D217" s="5"/>
      <c r="E217" s="9"/>
      <c r="F217" s="9"/>
      <c r="G217" s="10"/>
      <c r="H217" s="11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7"/>
      <c r="B218" s="7"/>
      <c r="C218" s="5"/>
      <c r="D218" s="5"/>
      <c r="E218" s="9"/>
      <c r="F218" s="9"/>
      <c r="G218" s="10"/>
      <c r="H218" s="11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7"/>
      <c r="B219" s="7"/>
      <c r="C219" s="5"/>
      <c r="D219" s="5"/>
      <c r="E219" s="9"/>
      <c r="F219" s="9"/>
      <c r="G219" s="10"/>
      <c r="H219" s="11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7"/>
      <c r="B220" s="7"/>
      <c r="C220" s="5"/>
      <c r="D220" s="5"/>
      <c r="E220" s="9"/>
      <c r="F220" s="9"/>
      <c r="G220" s="10"/>
      <c r="H220" s="11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7"/>
      <c r="B221" s="7"/>
      <c r="C221" s="5"/>
      <c r="D221" s="5"/>
      <c r="E221" s="9"/>
      <c r="F221" s="9"/>
      <c r="G221" s="10"/>
      <c r="H221" s="11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7"/>
      <c r="B222" s="7"/>
      <c r="C222" s="5"/>
      <c r="D222" s="5"/>
      <c r="E222" s="9"/>
      <c r="F222" s="9"/>
      <c r="G222" s="10"/>
      <c r="H222" s="11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7"/>
      <c r="B223" s="7"/>
      <c r="C223" s="5"/>
      <c r="D223" s="5"/>
      <c r="E223" s="9"/>
      <c r="F223" s="9"/>
      <c r="G223" s="10"/>
      <c r="H223" s="11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7"/>
      <c r="B224" s="7"/>
      <c r="C224" s="5"/>
      <c r="D224" s="5"/>
      <c r="E224" s="9"/>
      <c r="F224" s="9"/>
      <c r="G224" s="10"/>
      <c r="H224" s="11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7"/>
      <c r="B225" s="7"/>
      <c r="C225" s="5"/>
      <c r="D225" s="5"/>
      <c r="E225" s="9"/>
      <c r="F225" s="9"/>
      <c r="G225" s="10"/>
      <c r="H225" s="11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7"/>
      <c r="B226" s="7"/>
      <c r="C226" s="5"/>
      <c r="D226" s="5"/>
      <c r="E226" s="9"/>
      <c r="F226" s="9"/>
      <c r="G226" s="10"/>
      <c r="H226" s="11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7"/>
      <c r="B227" s="7"/>
      <c r="C227" s="5"/>
      <c r="D227" s="5"/>
      <c r="E227" s="9"/>
      <c r="F227" s="9"/>
      <c r="G227" s="10"/>
      <c r="H227" s="11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7"/>
      <c r="B228" s="7"/>
      <c r="C228" s="5"/>
      <c r="D228" s="5"/>
      <c r="E228" s="9"/>
      <c r="F228" s="9"/>
      <c r="G228" s="10"/>
      <c r="H228" s="11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7"/>
      <c r="B229" s="7"/>
      <c r="C229" s="5"/>
      <c r="D229" s="5"/>
      <c r="E229" s="9"/>
      <c r="F229" s="9"/>
      <c r="G229" s="10"/>
      <c r="H229" s="11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7"/>
      <c r="B230" s="7"/>
      <c r="C230" s="5"/>
      <c r="D230" s="5"/>
      <c r="E230" s="9"/>
      <c r="F230" s="9"/>
      <c r="G230" s="10"/>
      <c r="H230" s="11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7"/>
      <c r="B231" s="7"/>
      <c r="C231" s="5"/>
      <c r="D231" s="5"/>
      <c r="E231" s="9"/>
      <c r="F231" s="9"/>
      <c r="G231" s="10"/>
      <c r="H231" s="11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7"/>
      <c r="B232" s="7"/>
      <c r="C232" s="5"/>
      <c r="D232" s="5"/>
      <c r="E232" s="9"/>
      <c r="F232" s="9"/>
      <c r="G232" s="10"/>
      <c r="H232" s="11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7"/>
      <c r="B233" s="7"/>
      <c r="C233" s="5"/>
      <c r="D233" s="5"/>
      <c r="E233" s="9"/>
      <c r="F233" s="9"/>
      <c r="G233" s="10"/>
      <c r="H233" s="11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7"/>
      <c r="B234" s="7"/>
      <c r="C234" s="5"/>
      <c r="D234" s="5"/>
      <c r="E234" s="9"/>
      <c r="F234" s="9"/>
      <c r="G234" s="10"/>
      <c r="H234" s="11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7"/>
      <c r="B235" s="7"/>
      <c r="C235" s="5"/>
      <c r="D235" s="5"/>
      <c r="E235" s="9"/>
      <c r="F235" s="9"/>
      <c r="G235" s="10"/>
      <c r="H235" s="11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7"/>
      <c r="B236" s="7"/>
      <c r="C236" s="5"/>
      <c r="D236" s="5"/>
      <c r="E236" s="9"/>
      <c r="F236" s="9"/>
      <c r="G236" s="10"/>
      <c r="H236" s="11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7"/>
      <c r="B237" s="7"/>
      <c r="C237" s="5"/>
      <c r="D237" s="5"/>
      <c r="E237" s="9"/>
      <c r="F237" s="9"/>
      <c r="G237" s="10"/>
      <c r="H237" s="11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7"/>
      <c r="B238" s="7"/>
      <c r="C238" s="5"/>
      <c r="D238" s="5"/>
      <c r="E238" s="9"/>
      <c r="F238" s="9"/>
      <c r="G238" s="10"/>
      <c r="H238" s="11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7"/>
      <c r="B239" s="7"/>
      <c r="C239" s="5"/>
      <c r="D239" s="5"/>
      <c r="E239" s="9"/>
      <c r="F239" s="9"/>
      <c r="G239" s="10"/>
      <c r="H239" s="11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7"/>
      <c r="B240" s="7"/>
      <c r="C240" s="5"/>
      <c r="D240" s="5"/>
      <c r="E240" s="9"/>
      <c r="F240" s="9"/>
      <c r="G240" s="10"/>
      <c r="H240" s="11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7"/>
      <c r="B241" s="7"/>
      <c r="C241" s="5"/>
      <c r="D241" s="5"/>
      <c r="E241" s="9"/>
      <c r="F241" s="9"/>
      <c r="G241" s="10"/>
      <c r="H241" s="11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7"/>
      <c r="B242" s="7"/>
      <c r="C242" s="5"/>
      <c r="D242" s="5"/>
      <c r="E242" s="9"/>
      <c r="F242" s="9"/>
      <c r="G242" s="10"/>
      <c r="H242" s="11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7"/>
      <c r="B243" s="7"/>
      <c r="C243" s="5"/>
      <c r="D243" s="5"/>
      <c r="E243" s="9"/>
      <c r="F243" s="9"/>
      <c r="G243" s="10"/>
      <c r="H243" s="11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7"/>
      <c r="B244" s="7"/>
      <c r="C244" s="5"/>
      <c r="D244" s="5"/>
      <c r="E244" s="9"/>
      <c r="F244" s="9"/>
      <c r="G244" s="10"/>
      <c r="H244" s="11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7"/>
      <c r="B245" s="7"/>
      <c r="C245" s="5"/>
      <c r="D245" s="5"/>
      <c r="E245" s="9"/>
      <c r="F245" s="9"/>
      <c r="G245" s="10"/>
      <c r="H245" s="11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7"/>
      <c r="B246" s="7"/>
      <c r="C246" s="5"/>
      <c r="D246" s="5"/>
      <c r="E246" s="9"/>
      <c r="F246" s="9"/>
      <c r="G246" s="10"/>
      <c r="H246" s="11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7"/>
      <c r="B247" s="7"/>
      <c r="C247" s="5"/>
      <c r="D247" s="5"/>
      <c r="E247" s="9"/>
      <c r="F247" s="9"/>
      <c r="G247" s="10"/>
      <c r="H247" s="11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7"/>
      <c r="B248" s="7"/>
      <c r="C248" s="5"/>
      <c r="D248" s="5"/>
      <c r="E248" s="9"/>
      <c r="F248" s="9"/>
      <c r="G248" s="10"/>
      <c r="H248" s="11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7"/>
      <c r="B249" s="7"/>
      <c r="C249" s="5"/>
      <c r="D249" s="5"/>
      <c r="E249" s="9"/>
      <c r="F249" s="9"/>
      <c r="G249" s="10"/>
      <c r="H249" s="11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7"/>
      <c r="B250" s="7"/>
      <c r="C250" s="5"/>
      <c r="D250" s="5"/>
      <c r="E250" s="9"/>
      <c r="F250" s="9"/>
      <c r="G250" s="10"/>
      <c r="H250" s="11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7"/>
      <c r="B251" s="7"/>
      <c r="C251" s="5"/>
      <c r="D251" s="5"/>
      <c r="E251" s="9"/>
      <c r="F251" s="9"/>
      <c r="G251" s="10"/>
      <c r="H251" s="11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7"/>
      <c r="B252" s="7"/>
      <c r="C252" s="5"/>
      <c r="D252" s="5"/>
      <c r="E252" s="9"/>
      <c r="F252" s="9"/>
      <c r="G252" s="10"/>
      <c r="H252" s="11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7"/>
      <c r="B253" s="7"/>
      <c r="C253" s="5"/>
      <c r="D253" s="5"/>
      <c r="E253" s="9"/>
      <c r="F253" s="9"/>
      <c r="G253" s="10"/>
      <c r="H253" s="11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7"/>
      <c r="B254" s="7"/>
      <c r="C254" s="5"/>
      <c r="D254" s="5"/>
      <c r="E254" s="9"/>
      <c r="F254" s="9"/>
      <c r="G254" s="10"/>
      <c r="H254" s="11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7"/>
      <c r="B255" s="7"/>
      <c r="C255" s="5"/>
      <c r="D255" s="5"/>
      <c r="E255" s="9"/>
      <c r="F255" s="9"/>
      <c r="G255" s="10"/>
      <c r="H255" s="11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7"/>
      <c r="B256" s="7"/>
      <c r="C256" s="5"/>
      <c r="D256" s="5"/>
      <c r="E256" s="9"/>
      <c r="F256" s="9"/>
      <c r="G256" s="10"/>
      <c r="H256" s="11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7"/>
      <c r="B257" s="7"/>
      <c r="C257" s="5"/>
      <c r="D257" s="5"/>
      <c r="E257" s="9"/>
      <c r="F257" s="9"/>
      <c r="G257" s="10"/>
      <c r="H257" s="11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7"/>
      <c r="B258" s="7"/>
      <c r="C258" s="5"/>
      <c r="D258" s="5"/>
      <c r="E258" s="9"/>
      <c r="F258" s="9"/>
      <c r="G258" s="10"/>
      <c r="H258" s="11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7"/>
      <c r="B259" s="7"/>
      <c r="C259" s="5"/>
      <c r="D259" s="5"/>
      <c r="E259" s="9"/>
      <c r="F259" s="9"/>
      <c r="G259" s="10"/>
      <c r="H259" s="11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7"/>
      <c r="B260" s="7"/>
      <c r="C260" s="5"/>
      <c r="D260" s="5"/>
      <c r="E260" s="9"/>
      <c r="F260" s="9"/>
      <c r="G260" s="10"/>
      <c r="H260" s="11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7"/>
      <c r="B261" s="7"/>
      <c r="C261" s="5"/>
      <c r="D261" s="5"/>
      <c r="E261" s="9"/>
      <c r="F261" s="9"/>
      <c r="G261" s="10"/>
      <c r="H261" s="11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7"/>
      <c r="B262" s="7"/>
      <c r="C262" s="5"/>
      <c r="D262" s="5"/>
      <c r="E262" s="9"/>
      <c r="F262" s="9"/>
      <c r="G262" s="10"/>
      <c r="H262" s="11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7"/>
      <c r="B263" s="7"/>
      <c r="C263" s="5"/>
      <c r="D263" s="5"/>
      <c r="E263" s="9"/>
      <c r="F263" s="9"/>
      <c r="G263" s="10"/>
      <c r="H263" s="11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7"/>
      <c r="B264" s="7"/>
      <c r="C264" s="5"/>
      <c r="D264" s="5"/>
      <c r="E264" s="9"/>
      <c r="F264" s="9"/>
      <c r="G264" s="10"/>
      <c r="H264" s="11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7"/>
      <c r="B265" s="7"/>
      <c r="C265" s="5"/>
      <c r="D265" s="5"/>
      <c r="E265" s="9"/>
      <c r="F265" s="9"/>
      <c r="G265" s="10"/>
      <c r="H265" s="11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7"/>
      <c r="B266" s="7"/>
      <c r="C266" s="5"/>
      <c r="D266" s="5"/>
      <c r="E266" s="9"/>
      <c r="F266" s="9"/>
      <c r="G266" s="10"/>
      <c r="H266" s="11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7"/>
      <c r="B267" s="7"/>
      <c r="C267" s="5"/>
      <c r="D267" s="5"/>
      <c r="E267" s="9"/>
      <c r="F267" s="9"/>
      <c r="G267" s="10"/>
      <c r="H267" s="11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7"/>
      <c r="B268" s="7"/>
      <c r="C268" s="5"/>
      <c r="D268" s="5"/>
      <c r="E268" s="9"/>
      <c r="F268" s="9"/>
      <c r="G268" s="10"/>
      <c r="H268" s="11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7"/>
      <c r="B269" s="7"/>
      <c r="C269" s="5"/>
      <c r="D269" s="5"/>
      <c r="E269" s="9"/>
      <c r="F269" s="9"/>
      <c r="G269" s="10"/>
      <c r="H269" s="11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7"/>
      <c r="B270" s="7"/>
      <c r="C270" s="5"/>
      <c r="D270" s="5"/>
      <c r="E270" s="9"/>
      <c r="F270" s="9"/>
      <c r="G270" s="10"/>
      <c r="H270" s="11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7"/>
      <c r="B271" s="7"/>
      <c r="C271" s="5"/>
      <c r="D271" s="5"/>
      <c r="E271" s="9"/>
      <c r="F271" s="9"/>
      <c r="G271" s="10"/>
      <c r="H271" s="11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7"/>
      <c r="B272" s="7"/>
      <c r="C272" s="5"/>
      <c r="D272" s="5"/>
      <c r="E272" s="9"/>
      <c r="F272" s="9"/>
      <c r="G272" s="10"/>
      <c r="H272" s="11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7"/>
      <c r="B273" s="7"/>
      <c r="C273" s="5"/>
      <c r="D273" s="5"/>
      <c r="E273" s="9"/>
      <c r="F273" s="9"/>
      <c r="G273" s="10"/>
      <c r="H273" s="11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7"/>
      <c r="B274" s="7"/>
      <c r="C274" s="5"/>
      <c r="D274" s="5"/>
      <c r="E274" s="9"/>
      <c r="F274" s="9"/>
      <c r="G274" s="10"/>
      <c r="H274" s="11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7"/>
      <c r="B275" s="7"/>
      <c r="C275" s="5"/>
      <c r="D275" s="5"/>
      <c r="E275" s="9"/>
      <c r="F275" s="9"/>
      <c r="G275" s="10"/>
      <c r="H275" s="11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7"/>
      <c r="B276" s="7"/>
      <c r="C276" s="5"/>
      <c r="D276" s="5"/>
      <c r="E276" s="9"/>
      <c r="F276" s="9"/>
      <c r="G276" s="10"/>
      <c r="H276" s="11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7"/>
      <c r="B277" s="7"/>
      <c r="C277" s="5"/>
      <c r="D277" s="5"/>
      <c r="E277" s="9"/>
      <c r="F277" s="9"/>
      <c r="G277" s="10"/>
      <c r="H277" s="11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7"/>
      <c r="B278" s="7"/>
      <c r="C278" s="5"/>
      <c r="D278" s="5"/>
      <c r="E278" s="9"/>
      <c r="F278" s="9"/>
      <c r="G278" s="10"/>
      <c r="H278" s="11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7"/>
      <c r="B279" s="7"/>
      <c r="C279" s="5"/>
      <c r="D279" s="5"/>
      <c r="E279" s="9"/>
      <c r="F279" s="9"/>
      <c r="G279" s="10"/>
      <c r="H279" s="11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7"/>
      <c r="B280" s="7"/>
      <c r="C280" s="5"/>
      <c r="D280" s="5"/>
      <c r="E280" s="9"/>
      <c r="F280" s="9"/>
      <c r="G280" s="10"/>
      <c r="H280" s="11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7"/>
      <c r="B281" s="7"/>
      <c r="C281" s="5"/>
      <c r="D281" s="5"/>
      <c r="E281" s="9"/>
      <c r="F281" s="9"/>
      <c r="G281" s="10"/>
      <c r="H281" s="11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7"/>
      <c r="B282" s="7"/>
      <c r="C282" s="5"/>
      <c r="D282" s="5"/>
      <c r="E282" s="9"/>
      <c r="F282" s="9"/>
      <c r="G282" s="10"/>
      <c r="H282" s="11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7"/>
      <c r="B283" s="7"/>
      <c r="C283" s="5"/>
      <c r="D283" s="5"/>
      <c r="E283" s="9"/>
      <c r="F283" s="9"/>
      <c r="G283" s="10"/>
      <c r="H283" s="11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7"/>
      <c r="B284" s="7"/>
      <c r="C284" s="5"/>
      <c r="D284" s="5"/>
      <c r="E284" s="9"/>
      <c r="F284" s="9"/>
      <c r="G284" s="10"/>
      <c r="H284" s="11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7"/>
      <c r="B285" s="7"/>
      <c r="C285" s="5"/>
      <c r="D285" s="5"/>
      <c r="E285" s="9"/>
      <c r="F285" s="9"/>
      <c r="G285" s="10"/>
      <c r="H285" s="11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7"/>
      <c r="B286" s="7"/>
      <c r="C286" s="5"/>
      <c r="D286" s="5"/>
      <c r="E286" s="9"/>
      <c r="F286" s="9"/>
      <c r="G286" s="10"/>
      <c r="H286" s="11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7"/>
      <c r="B287" s="7"/>
      <c r="C287" s="5"/>
      <c r="D287" s="5"/>
      <c r="E287" s="9"/>
      <c r="F287" s="9"/>
      <c r="G287" s="10"/>
      <c r="H287" s="11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7"/>
      <c r="B288" s="7"/>
      <c r="C288" s="5"/>
      <c r="D288" s="5"/>
      <c r="E288" s="9"/>
      <c r="F288" s="9"/>
      <c r="G288" s="10"/>
      <c r="H288" s="11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7"/>
      <c r="B289" s="7"/>
      <c r="C289" s="5"/>
      <c r="D289" s="5"/>
      <c r="E289" s="9"/>
      <c r="F289" s="9"/>
      <c r="G289" s="10"/>
      <c r="H289" s="11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7"/>
      <c r="B290" s="7"/>
      <c r="C290" s="5"/>
      <c r="D290" s="5"/>
      <c r="E290" s="9"/>
      <c r="F290" s="9"/>
      <c r="G290" s="10"/>
      <c r="H290" s="11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7"/>
      <c r="B291" s="7"/>
      <c r="C291" s="5"/>
      <c r="D291" s="5"/>
      <c r="E291" s="9"/>
      <c r="F291" s="9"/>
      <c r="G291" s="10"/>
      <c r="H291" s="11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7"/>
      <c r="B292" s="7"/>
      <c r="C292" s="5"/>
      <c r="D292" s="5"/>
      <c r="E292" s="9"/>
      <c r="F292" s="9"/>
      <c r="G292" s="10"/>
      <c r="H292" s="11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7"/>
      <c r="B293" s="7"/>
      <c r="C293" s="5"/>
      <c r="D293" s="5"/>
      <c r="E293" s="9"/>
      <c r="F293" s="9"/>
      <c r="G293" s="10"/>
      <c r="H293" s="11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7"/>
      <c r="B294" s="7"/>
      <c r="C294" s="5"/>
      <c r="D294" s="5"/>
      <c r="E294" s="9"/>
      <c r="F294" s="9"/>
      <c r="G294" s="10"/>
      <c r="H294" s="11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7"/>
      <c r="B295" s="7"/>
      <c r="C295" s="5"/>
      <c r="D295" s="5"/>
      <c r="E295" s="9"/>
      <c r="F295" s="9"/>
      <c r="G295" s="10"/>
      <c r="H295" s="11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7"/>
      <c r="B296" s="7"/>
      <c r="C296" s="5"/>
      <c r="D296" s="5"/>
      <c r="E296" s="9"/>
      <c r="F296" s="9"/>
      <c r="G296" s="10"/>
      <c r="H296" s="11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7"/>
      <c r="B297" s="7"/>
      <c r="C297" s="5"/>
      <c r="D297" s="5"/>
      <c r="E297" s="9"/>
      <c r="F297" s="9"/>
      <c r="G297" s="10"/>
      <c r="H297" s="11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7"/>
      <c r="B298" s="7"/>
      <c r="C298" s="5"/>
      <c r="D298" s="5"/>
      <c r="E298" s="9"/>
      <c r="F298" s="9"/>
      <c r="G298" s="10"/>
      <c r="H298" s="11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7"/>
      <c r="B299" s="7"/>
      <c r="C299" s="5"/>
      <c r="D299" s="5"/>
      <c r="E299" s="9"/>
      <c r="F299" s="9"/>
      <c r="G299" s="10"/>
      <c r="H299" s="11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7"/>
      <c r="B300" s="7"/>
      <c r="C300" s="5"/>
      <c r="D300" s="5"/>
      <c r="E300" s="9"/>
      <c r="F300" s="9"/>
      <c r="G300" s="10"/>
      <c r="H300" s="11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7"/>
      <c r="B301" s="7"/>
      <c r="C301" s="5"/>
      <c r="D301" s="5"/>
      <c r="E301" s="9"/>
      <c r="F301" s="9"/>
      <c r="G301" s="10"/>
      <c r="H301" s="11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7"/>
      <c r="B302" s="7"/>
      <c r="C302" s="5"/>
      <c r="D302" s="5"/>
      <c r="E302" s="9"/>
      <c r="F302" s="9"/>
      <c r="G302" s="10"/>
      <c r="H302" s="11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7"/>
      <c r="B303" s="7"/>
      <c r="C303" s="5"/>
      <c r="D303" s="5"/>
      <c r="E303" s="9"/>
      <c r="F303" s="9"/>
      <c r="G303" s="10"/>
      <c r="H303" s="11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7"/>
      <c r="B304" s="7"/>
      <c r="C304" s="5"/>
      <c r="D304" s="5"/>
      <c r="E304" s="9"/>
      <c r="F304" s="9"/>
      <c r="G304" s="10"/>
      <c r="H304" s="11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7"/>
      <c r="B305" s="7"/>
      <c r="C305" s="5"/>
      <c r="D305" s="5"/>
      <c r="E305" s="9"/>
      <c r="F305" s="9"/>
      <c r="G305" s="10"/>
      <c r="H305" s="11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7"/>
      <c r="B306" s="7"/>
      <c r="C306" s="5"/>
      <c r="D306" s="5"/>
      <c r="E306" s="9"/>
      <c r="F306" s="9"/>
      <c r="G306" s="10"/>
      <c r="H306" s="11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7"/>
      <c r="B307" s="7"/>
      <c r="C307" s="5"/>
      <c r="D307" s="5"/>
      <c r="E307" s="9"/>
      <c r="F307" s="9"/>
      <c r="G307" s="10"/>
      <c r="H307" s="11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7"/>
      <c r="B308" s="7"/>
      <c r="C308" s="5"/>
      <c r="D308" s="5"/>
      <c r="E308" s="9"/>
      <c r="F308" s="9"/>
      <c r="G308" s="10"/>
      <c r="H308" s="11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7"/>
      <c r="B309" s="7"/>
      <c r="C309" s="5"/>
      <c r="D309" s="5"/>
      <c r="E309" s="9"/>
      <c r="F309" s="9"/>
      <c r="G309" s="10"/>
      <c r="H309" s="11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7"/>
      <c r="B310" s="7"/>
      <c r="C310" s="5"/>
      <c r="D310" s="5"/>
      <c r="E310" s="9"/>
      <c r="F310" s="9"/>
      <c r="G310" s="10"/>
      <c r="H310" s="11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7"/>
      <c r="B311" s="7"/>
      <c r="C311" s="5"/>
      <c r="D311" s="5"/>
      <c r="E311" s="9"/>
      <c r="F311" s="9"/>
      <c r="G311" s="10"/>
      <c r="H311" s="11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7"/>
      <c r="B312" s="7"/>
      <c r="C312" s="5"/>
      <c r="D312" s="5"/>
      <c r="E312" s="9"/>
      <c r="F312" s="9"/>
      <c r="G312" s="10"/>
      <c r="H312" s="11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7"/>
      <c r="B313" s="7"/>
      <c r="C313" s="5"/>
      <c r="D313" s="5"/>
      <c r="E313" s="9"/>
      <c r="F313" s="9"/>
      <c r="G313" s="10"/>
      <c r="H313" s="11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7"/>
      <c r="B314" s="7"/>
      <c r="C314" s="5"/>
      <c r="D314" s="5"/>
      <c r="E314" s="9"/>
      <c r="F314" s="9"/>
      <c r="G314" s="10"/>
      <c r="H314" s="11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7"/>
      <c r="B315" s="7"/>
      <c r="C315" s="5"/>
      <c r="D315" s="5"/>
      <c r="E315" s="9"/>
      <c r="F315" s="9"/>
      <c r="G315" s="10"/>
      <c r="H315" s="11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7"/>
      <c r="B316" s="7"/>
      <c r="C316" s="5"/>
      <c r="D316" s="5"/>
      <c r="E316" s="9"/>
      <c r="F316" s="9"/>
      <c r="G316" s="10"/>
      <c r="H316" s="11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7"/>
      <c r="B317" s="7"/>
      <c r="C317" s="5"/>
      <c r="D317" s="5"/>
      <c r="E317" s="9"/>
      <c r="F317" s="9"/>
      <c r="G317" s="10"/>
      <c r="H317" s="11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7"/>
      <c r="B318" s="7"/>
      <c r="C318" s="5"/>
      <c r="D318" s="5"/>
      <c r="E318" s="9"/>
      <c r="F318" s="9"/>
      <c r="G318" s="10"/>
      <c r="H318" s="11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7"/>
      <c r="B319" s="7"/>
      <c r="C319" s="5"/>
      <c r="D319" s="5"/>
      <c r="E319" s="9"/>
      <c r="F319" s="9"/>
      <c r="G319" s="10"/>
      <c r="H319" s="11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7"/>
      <c r="B320" s="7"/>
      <c r="C320" s="5"/>
      <c r="D320" s="5"/>
      <c r="E320" s="9"/>
      <c r="F320" s="9"/>
      <c r="G320" s="10"/>
      <c r="H320" s="11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7"/>
      <c r="B321" s="7"/>
      <c r="C321" s="5"/>
      <c r="D321" s="5"/>
      <c r="E321" s="9"/>
      <c r="F321" s="9"/>
      <c r="G321" s="10"/>
      <c r="H321" s="11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7"/>
      <c r="B322" s="7"/>
      <c r="C322" s="5"/>
      <c r="D322" s="5"/>
      <c r="E322" s="9"/>
      <c r="F322" s="9"/>
      <c r="G322" s="10"/>
      <c r="H322" s="11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7"/>
      <c r="B323" s="7"/>
      <c r="C323" s="5"/>
      <c r="D323" s="5"/>
      <c r="E323" s="9"/>
      <c r="F323" s="9"/>
      <c r="G323" s="10"/>
      <c r="H323" s="11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7"/>
      <c r="B324" s="7"/>
      <c r="C324" s="5"/>
      <c r="D324" s="5"/>
      <c r="E324" s="9"/>
      <c r="F324" s="9"/>
      <c r="G324" s="10"/>
      <c r="H324" s="11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7"/>
      <c r="B325" s="7"/>
      <c r="C325" s="5"/>
      <c r="D325" s="5"/>
      <c r="E325" s="9"/>
      <c r="F325" s="9"/>
      <c r="G325" s="10"/>
      <c r="H325" s="11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7"/>
      <c r="B326" s="7"/>
      <c r="C326" s="5"/>
      <c r="D326" s="5"/>
      <c r="E326" s="9"/>
      <c r="F326" s="9"/>
      <c r="G326" s="10"/>
      <c r="H326" s="11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7"/>
      <c r="B327" s="7"/>
      <c r="C327" s="5"/>
      <c r="D327" s="5"/>
      <c r="E327" s="9"/>
      <c r="F327" s="9"/>
      <c r="G327" s="10"/>
      <c r="H327" s="11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7"/>
      <c r="B328" s="7"/>
      <c r="C328" s="5"/>
      <c r="D328" s="5"/>
      <c r="E328" s="9"/>
      <c r="F328" s="9"/>
      <c r="G328" s="10"/>
      <c r="H328" s="11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7"/>
      <c r="B329" s="7"/>
      <c r="C329" s="5"/>
      <c r="D329" s="5"/>
      <c r="E329" s="9"/>
      <c r="F329" s="9"/>
      <c r="G329" s="10"/>
      <c r="H329" s="11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7"/>
      <c r="B330" s="7"/>
      <c r="C330" s="5"/>
      <c r="D330" s="5"/>
      <c r="E330" s="9"/>
      <c r="F330" s="9"/>
      <c r="G330" s="10"/>
      <c r="H330" s="11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7"/>
      <c r="B331" s="7"/>
      <c r="C331" s="5"/>
      <c r="D331" s="5"/>
      <c r="E331" s="9"/>
      <c r="F331" s="9"/>
      <c r="G331" s="10"/>
      <c r="H331" s="11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7"/>
      <c r="B332" s="7"/>
      <c r="C332" s="5"/>
      <c r="D332" s="5"/>
      <c r="E332" s="9"/>
      <c r="F332" s="9"/>
      <c r="G332" s="10"/>
      <c r="H332" s="11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7"/>
      <c r="B333" s="7"/>
      <c r="C333" s="5"/>
      <c r="D333" s="5"/>
      <c r="E333" s="9"/>
      <c r="F333" s="9"/>
      <c r="G333" s="10"/>
      <c r="H333" s="11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7"/>
      <c r="B334" s="7"/>
      <c r="C334" s="5"/>
      <c r="D334" s="5"/>
      <c r="E334" s="9"/>
      <c r="F334" s="9"/>
      <c r="G334" s="10"/>
      <c r="H334" s="11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7"/>
      <c r="B335" s="7"/>
      <c r="C335" s="5"/>
      <c r="D335" s="5"/>
      <c r="E335" s="9"/>
      <c r="F335" s="9"/>
      <c r="G335" s="10"/>
      <c r="H335" s="11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7"/>
      <c r="B336" s="7"/>
      <c r="C336" s="5"/>
      <c r="D336" s="5"/>
      <c r="E336" s="9"/>
      <c r="F336" s="9"/>
      <c r="G336" s="10"/>
      <c r="H336" s="11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7"/>
      <c r="B337" s="7"/>
      <c r="C337" s="5"/>
      <c r="D337" s="5"/>
      <c r="E337" s="9"/>
      <c r="F337" s="9"/>
      <c r="G337" s="10"/>
      <c r="H337" s="11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7"/>
      <c r="B338" s="7"/>
      <c r="C338" s="5"/>
      <c r="D338" s="5"/>
      <c r="E338" s="9"/>
      <c r="F338" s="9"/>
      <c r="G338" s="10"/>
      <c r="H338" s="11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7"/>
      <c r="B339" s="7"/>
      <c r="C339" s="5"/>
      <c r="D339" s="5"/>
      <c r="E339" s="9"/>
      <c r="F339" s="9"/>
      <c r="G339" s="10"/>
      <c r="H339" s="11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7"/>
      <c r="B340" s="7"/>
      <c r="C340" s="5"/>
      <c r="D340" s="5"/>
      <c r="E340" s="9"/>
      <c r="F340" s="9"/>
      <c r="G340" s="10"/>
      <c r="H340" s="11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7"/>
      <c r="B341" s="7"/>
      <c r="C341" s="5"/>
      <c r="D341" s="5"/>
      <c r="E341" s="9"/>
      <c r="F341" s="9"/>
      <c r="G341" s="10"/>
      <c r="H341" s="11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7"/>
      <c r="B342" s="7"/>
      <c r="C342" s="5"/>
      <c r="D342" s="5"/>
      <c r="E342" s="9"/>
      <c r="F342" s="9"/>
      <c r="G342" s="10"/>
      <c r="H342" s="11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7"/>
      <c r="B343" s="7"/>
      <c r="C343" s="5"/>
      <c r="D343" s="5"/>
      <c r="E343" s="9"/>
      <c r="F343" s="9"/>
      <c r="G343" s="10"/>
      <c r="H343" s="11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7"/>
      <c r="B344" s="7"/>
      <c r="C344" s="5"/>
      <c r="D344" s="5"/>
      <c r="E344" s="9"/>
      <c r="F344" s="9"/>
      <c r="G344" s="10"/>
      <c r="H344" s="11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7"/>
      <c r="B345" s="7"/>
      <c r="C345" s="5"/>
      <c r="D345" s="5"/>
      <c r="E345" s="9"/>
      <c r="F345" s="9"/>
      <c r="G345" s="10"/>
      <c r="H345" s="11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7"/>
      <c r="B346" s="7"/>
      <c r="C346" s="5"/>
      <c r="D346" s="5"/>
      <c r="E346" s="9"/>
      <c r="F346" s="9"/>
      <c r="G346" s="10"/>
      <c r="H346" s="11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7"/>
      <c r="B347" s="7"/>
      <c r="C347" s="5"/>
      <c r="D347" s="5"/>
      <c r="E347" s="9"/>
      <c r="F347" s="9"/>
      <c r="G347" s="10"/>
      <c r="H347" s="11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7"/>
      <c r="B348" s="7"/>
      <c r="C348" s="5"/>
      <c r="D348" s="5"/>
      <c r="E348" s="9"/>
      <c r="F348" s="9"/>
      <c r="G348" s="10"/>
      <c r="H348" s="11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7"/>
      <c r="B349" s="7"/>
      <c r="C349" s="5"/>
      <c r="D349" s="5"/>
      <c r="E349" s="9"/>
      <c r="F349" s="9"/>
      <c r="G349" s="10"/>
      <c r="H349" s="11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7"/>
      <c r="B350" s="7"/>
      <c r="C350" s="5"/>
      <c r="D350" s="5"/>
      <c r="E350" s="9"/>
      <c r="F350" s="9"/>
      <c r="G350" s="10"/>
      <c r="H350" s="11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7"/>
      <c r="B351" s="7"/>
      <c r="C351" s="5"/>
      <c r="D351" s="5"/>
      <c r="E351" s="9"/>
      <c r="F351" s="9"/>
      <c r="G351" s="10"/>
      <c r="H351" s="11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7"/>
      <c r="B352" s="7"/>
      <c r="C352" s="5"/>
      <c r="D352" s="5"/>
      <c r="E352" s="9"/>
      <c r="F352" s="9"/>
      <c r="G352" s="10"/>
      <c r="H352" s="11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7"/>
      <c r="B353" s="7"/>
      <c r="C353" s="5"/>
      <c r="D353" s="5"/>
      <c r="E353" s="9"/>
      <c r="F353" s="9"/>
      <c r="G353" s="10"/>
      <c r="H353" s="11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7"/>
      <c r="B354" s="7"/>
      <c r="C354" s="5"/>
      <c r="D354" s="5"/>
      <c r="E354" s="9"/>
      <c r="F354" s="9"/>
      <c r="G354" s="10"/>
      <c r="H354" s="11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7"/>
      <c r="B355" s="7"/>
      <c r="C355" s="5"/>
      <c r="D355" s="5"/>
      <c r="E355" s="9"/>
      <c r="F355" s="9"/>
      <c r="G355" s="10"/>
      <c r="H355" s="11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7"/>
      <c r="B356" s="7"/>
      <c r="C356" s="5"/>
      <c r="D356" s="5"/>
      <c r="E356" s="9"/>
      <c r="F356" s="9"/>
      <c r="G356" s="10"/>
      <c r="H356" s="11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7"/>
      <c r="B357" s="7"/>
      <c r="C357" s="5"/>
      <c r="D357" s="5"/>
      <c r="E357" s="9"/>
      <c r="F357" s="9"/>
      <c r="G357" s="10"/>
      <c r="H357" s="11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7"/>
      <c r="B358" s="7"/>
      <c r="C358" s="5"/>
      <c r="D358" s="5"/>
      <c r="E358" s="9"/>
      <c r="F358" s="9"/>
      <c r="G358" s="10"/>
      <c r="H358" s="11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7"/>
      <c r="B359" s="7"/>
      <c r="C359" s="5"/>
      <c r="D359" s="5"/>
      <c r="E359" s="9"/>
      <c r="F359" s="9"/>
      <c r="G359" s="10"/>
      <c r="H359" s="11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7"/>
      <c r="B360" s="7"/>
      <c r="C360" s="5"/>
      <c r="D360" s="5"/>
      <c r="E360" s="9"/>
      <c r="F360" s="9"/>
      <c r="G360" s="10"/>
      <c r="H360" s="11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7"/>
      <c r="B361" s="7"/>
      <c r="C361" s="5"/>
      <c r="D361" s="5"/>
      <c r="E361" s="9"/>
      <c r="F361" s="9"/>
      <c r="G361" s="10"/>
      <c r="H361" s="11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7"/>
      <c r="B362" s="7"/>
      <c r="C362" s="5"/>
      <c r="D362" s="5"/>
      <c r="E362" s="9"/>
      <c r="F362" s="9"/>
      <c r="G362" s="10"/>
      <c r="H362" s="11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7"/>
      <c r="B363" s="7"/>
      <c r="C363" s="5"/>
      <c r="D363" s="5"/>
      <c r="E363" s="9"/>
      <c r="F363" s="9"/>
      <c r="G363" s="10"/>
      <c r="H363" s="11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7"/>
      <c r="B364" s="7"/>
      <c r="C364" s="5"/>
      <c r="D364" s="5"/>
      <c r="E364" s="9"/>
      <c r="F364" s="9"/>
      <c r="G364" s="10"/>
      <c r="H364" s="11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7"/>
      <c r="B365" s="7"/>
      <c r="C365" s="5"/>
      <c r="D365" s="5"/>
      <c r="E365" s="9"/>
      <c r="F365" s="9"/>
      <c r="G365" s="10"/>
      <c r="H365" s="11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7"/>
      <c r="B366" s="7"/>
      <c r="C366" s="5"/>
      <c r="D366" s="5"/>
      <c r="E366" s="9"/>
      <c r="F366" s="9"/>
      <c r="G366" s="10"/>
      <c r="H366" s="11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7"/>
      <c r="B367" s="7"/>
      <c r="C367" s="5"/>
      <c r="D367" s="5"/>
      <c r="E367" s="9"/>
      <c r="F367" s="9"/>
      <c r="G367" s="10"/>
      <c r="H367" s="11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7"/>
      <c r="B368" s="7"/>
      <c r="C368" s="5"/>
      <c r="D368" s="5"/>
      <c r="E368" s="9"/>
      <c r="F368" s="9"/>
      <c r="G368" s="10"/>
      <c r="H368" s="11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7"/>
      <c r="B369" s="7"/>
      <c r="C369" s="5"/>
      <c r="D369" s="5"/>
      <c r="E369" s="9"/>
      <c r="F369" s="9"/>
      <c r="G369" s="10"/>
      <c r="H369" s="11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7"/>
      <c r="B370" s="7"/>
      <c r="C370" s="5"/>
      <c r="D370" s="5"/>
      <c r="E370" s="9"/>
      <c r="F370" s="9"/>
      <c r="G370" s="10"/>
      <c r="H370" s="11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7"/>
      <c r="B371" s="7"/>
      <c r="C371" s="5"/>
      <c r="D371" s="5"/>
      <c r="E371" s="9"/>
      <c r="F371" s="9"/>
      <c r="G371" s="10"/>
      <c r="H371" s="11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7"/>
      <c r="B372" s="7"/>
      <c r="C372" s="5"/>
      <c r="D372" s="5"/>
      <c r="E372" s="9"/>
      <c r="F372" s="9"/>
      <c r="G372" s="10"/>
      <c r="H372" s="11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7"/>
      <c r="B373" s="7"/>
      <c r="C373" s="5"/>
      <c r="D373" s="5"/>
      <c r="E373" s="9"/>
      <c r="F373" s="9"/>
      <c r="G373" s="10"/>
      <c r="H373" s="11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7"/>
      <c r="B374" s="7"/>
      <c r="C374" s="5"/>
      <c r="D374" s="5"/>
      <c r="E374" s="9"/>
      <c r="F374" s="9"/>
      <c r="G374" s="10"/>
      <c r="H374" s="11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7"/>
      <c r="B375" s="7"/>
      <c r="C375" s="5"/>
      <c r="D375" s="5"/>
      <c r="E375" s="9"/>
      <c r="F375" s="9"/>
      <c r="G375" s="10"/>
      <c r="H375" s="11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7"/>
      <c r="B376" s="7"/>
      <c r="C376" s="5"/>
      <c r="D376" s="5"/>
      <c r="E376" s="9"/>
      <c r="F376" s="9"/>
      <c r="G376" s="10"/>
      <c r="H376" s="11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7"/>
      <c r="B377" s="7"/>
      <c r="C377" s="5"/>
      <c r="D377" s="5"/>
      <c r="E377" s="9"/>
      <c r="F377" s="9"/>
      <c r="G377" s="10"/>
      <c r="H377" s="11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7"/>
      <c r="B378" s="7"/>
      <c r="C378" s="5"/>
      <c r="D378" s="5"/>
      <c r="E378" s="9"/>
      <c r="F378" s="9"/>
      <c r="G378" s="10"/>
      <c r="H378" s="11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7"/>
      <c r="B379" s="7"/>
      <c r="C379" s="5"/>
      <c r="D379" s="5"/>
      <c r="E379" s="9"/>
      <c r="F379" s="9"/>
      <c r="G379" s="10"/>
      <c r="H379" s="11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7"/>
      <c r="B380" s="7"/>
      <c r="C380" s="5"/>
      <c r="D380" s="5"/>
      <c r="E380" s="9"/>
      <c r="F380" s="9"/>
      <c r="G380" s="10"/>
      <c r="H380" s="11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7"/>
      <c r="B381" s="7"/>
      <c r="C381" s="5"/>
      <c r="D381" s="5"/>
      <c r="E381" s="9"/>
      <c r="F381" s="9"/>
      <c r="G381" s="10"/>
      <c r="H381" s="11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7"/>
      <c r="B382" s="7"/>
      <c r="C382" s="5"/>
      <c r="D382" s="5"/>
      <c r="E382" s="9"/>
      <c r="F382" s="9"/>
      <c r="G382" s="10"/>
      <c r="H382" s="11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7"/>
      <c r="B383" s="7"/>
      <c r="C383" s="5"/>
      <c r="D383" s="5"/>
      <c r="E383" s="9"/>
      <c r="F383" s="9"/>
      <c r="G383" s="10"/>
      <c r="H383" s="11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7"/>
      <c r="B384" s="7"/>
      <c r="C384" s="5"/>
      <c r="D384" s="5"/>
      <c r="E384" s="9"/>
      <c r="F384" s="9"/>
      <c r="G384" s="10"/>
      <c r="H384" s="11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7"/>
      <c r="B385" s="7"/>
      <c r="C385" s="5"/>
      <c r="D385" s="5"/>
      <c r="E385" s="9"/>
      <c r="F385" s="9"/>
      <c r="G385" s="10"/>
      <c r="H385" s="11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7"/>
      <c r="B386" s="7"/>
      <c r="C386" s="5"/>
      <c r="D386" s="5"/>
      <c r="E386" s="9"/>
      <c r="F386" s="9"/>
      <c r="G386" s="10"/>
      <c r="H386" s="11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7"/>
      <c r="B387" s="7"/>
      <c r="C387" s="5"/>
      <c r="D387" s="5"/>
      <c r="E387" s="9"/>
      <c r="F387" s="9"/>
      <c r="G387" s="10"/>
      <c r="H387" s="11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7"/>
      <c r="B388" s="7"/>
      <c r="C388" s="5"/>
      <c r="D388" s="5"/>
      <c r="E388" s="9"/>
      <c r="F388" s="9"/>
      <c r="G388" s="10"/>
      <c r="H388" s="11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7"/>
      <c r="B389" s="7"/>
      <c r="C389" s="5"/>
      <c r="D389" s="5"/>
      <c r="E389" s="9"/>
      <c r="F389" s="9"/>
      <c r="G389" s="10"/>
      <c r="H389" s="11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7"/>
      <c r="B390" s="7"/>
      <c r="C390" s="5"/>
      <c r="D390" s="5"/>
      <c r="E390" s="9"/>
      <c r="F390" s="9"/>
      <c r="G390" s="10"/>
      <c r="H390" s="11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7"/>
      <c r="B391" s="7"/>
      <c r="C391" s="5"/>
      <c r="D391" s="5"/>
      <c r="E391" s="9"/>
      <c r="F391" s="9"/>
      <c r="G391" s="10"/>
      <c r="H391" s="11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7"/>
      <c r="B392" s="7"/>
      <c r="C392" s="5"/>
      <c r="D392" s="5"/>
      <c r="E392" s="9"/>
      <c r="F392" s="9"/>
      <c r="G392" s="10"/>
      <c r="H392" s="11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7"/>
      <c r="B393" s="7"/>
      <c r="C393" s="5"/>
      <c r="D393" s="5"/>
      <c r="E393" s="9"/>
      <c r="F393" s="9"/>
      <c r="G393" s="10"/>
      <c r="H393" s="11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7"/>
      <c r="B394" s="7"/>
      <c r="C394" s="5"/>
      <c r="D394" s="5"/>
      <c r="E394" s="9"/>
      <c r="F394" s="9"/>
      <c r="G394" s="10"/>
      <c r="H394" s="11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7"/>
      <c r="B395" s="7"/>
      <c r="C395" s="5"/>
      <c r="D395" s="5"/>
      <c r="E395" s="9"/>
      <c r="F395" s="9"/>
      <c r="G395" s="10"/>
      <c r="H395" s="11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7"/>
      <c r="B396" s="7"/>
      <c r="C396" s="5"/>
      <c r="D396" s="5"/>
      <c r="E396" s="9"/>
      <c r="F396" s="9"/>
      <c r="G396" s="10"/>
      <c r="H396" s="11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7"/>
      <c r="B397" s="7"/>
      <c r="C397" s="5"/>
      <c r="D397" s="5"/>
      <c r="E397" s="9"/>
      <c r="F397" s="9"/>
      <c r="G397" s="10"/>
      <c r="H397" s="11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7"/>
      <c r="B398" s="7"/>
      <c r="C398" s="5"/>
      <c r="D398" s="5"/>
      <c r="E398" s="9"/>
      <c r="F398" s="9"/>
      <c r="G398" s="10"/>
      <c r="H398" s="11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7"/>
      <c r="B399" s="7"/>
      <c r="C399" s="5"/>
      <c r="D399" s="5"/>
      <c r="E399" s="9"/>
      <c r="F399" s="9"/>
      <c r="G399" s="10"/>
      <c r="H399" s="11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7"/>
      <c r="B400" s="7"/>
      <c r="C400" s="5"/>
      <c r="D400" s="5"/>
      <c r="E400" s="9"/>
      <c r="F400" s="9"/>
      <c r="G400" s="10"/>
      <c r="H400" s="11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7"/>
      <c r="B401" s="7"/>
      <c r="C401" s="5"/>
      <c r="D401" s="5"/>
      <c r="E401" s="9"/>
      <c r="F401" s="9"/>
      <c r="G401" s="10"/>
      <c r="H401" s="11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7"/>
      <c r="B402" s="7"/>
      <c r="C402" s="5"/>
      <c r="D402" s="5"/>
      <c r="E402" s="9"/>
      <c r="F402" s="9"/>
      <c r="G402" s="10"/>
      <c r="H402" s="11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7"/>
      <c r="B403" s="7"/>
      <c r="C403" s="5"/>
      <c r="D403" s="5"/>
      <c r="E403" s="9"/>
      <c r="F403" s="9"/>
      <c r="G403" s="10"/>
      <c r="H403" s="11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7"/>
      <c r="B404" s="7"/>
      <c r="C404" s="5"/>
      <c r="D404" s="5"/>
      <c r="E404" s="9"/>
      <c r="F404" s="9"/>
      <c r="G404" s="10"/>
      <c r="H404" s="11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7"/>
      <c r="B405" s="7"/>
      <c r="C405" s="5"/>
      <c r="D405" s="5"/>
      <c r="E405" s="9"/>
      <c r="F405" s="9"/>
      <c r="G405" s="10"/>
      <c r="H405" s="11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7"/>
      <c r="B406" s="7"/>
      <c r="C406" s="5"/>
      <c r="D406" s="5"/>
      <c r="E406" s="9"/>
      <c r="F406" s="9"/>
      <c r="G406" s="10"/>
      <c r="H406" s="11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7"/>
      <c r="B407" s="7"/>
      <c r="C407" s="5"/>
      <c r="D407" s="5"/>
      <c r="E407" s="9"/>
      <c r="F407" s="9"/>
      <c r="G407" s="10"/>
      <c r="H407" s="11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7"/>
      <c r="B408" s="7"/>
      <c r="C408" s="5"/>
      <c r="D408" s="5"/>
      <c r="E408" s="9"/>
      <c r="F408" s="9"/>
      <c r="G408" s="10"/>
      <c r="H408" s="11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7"/>
      <c r="B409" s="7"/>
      <c r="C409" s="5"/>
      <c r="D409" s="5"/>
      <c r="E409" s="9"/>
      <c r="F409" s="9"/>
      <c r="G409" s="10"/>
      <c r="H409" s="11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7"/>
      <c r="B410" s="7"/>
      <c r="C410" s="5"/>
      <c r="D410" s="5"/>
      <c r="E410" s="9"/>
      <c r="F410" s="9"/>
      <c r="G410" s="10"/>
      <c r="H410" s="11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7"/>
      <c r="B411" s="7"/>
      <c r="C411" s="5"/>
      <c r="D411" s="5"/>
      <c r="E411" s="9"/>
      <c r="F411" s="9"/>
      <c r="G411" s="10"/>
      <c r="H411" s="11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7"/>
      <c r="B412" s="7"/>
      <c r="C412" s="5"/>
      <c r="D412" s="5"/>
      <c r="E412" s="9"/>
      <c r="F412" s="9"/>
      <c r="G412" s="10"/>
      <c r="H412" s="11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7"/>
      <c r="B413" s="7"/>
      <c r="C413" s="5"/>
      <c r="D413" s="5"/>
      <c r="E413" s="9"/>
      <c r="F413" s="9"/>
      <c r="G413" s="10"/>
      <c r="H413" s="11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7"/>
      <c r="B414" s="7"/>
      <c r="C414" s="5"/>
      <c r="D414" s="5"/>
      <c r="E414" s="9"/>
      <c r="F414" s="9"/>
      <c r="G414" s="10"/>
      <c r="H414" s="11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7"/>
      <c r="B415" s="7"/>
      <c r="C415" s="5"/>
      <c r="D415" s="5"/>
      <c r="E415" s="9"/>
      <c r="F415" s="9"/>
      <c r="G415" s="10"/>
      <c r="H415" s="11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7"/>
      <c r="B416" s="7"/>
      <c r="C416" s="5"/>
      <c r="D416" s="5"/>
      <c r="E416" s="9"/>
      <c r="F416" s="9"/>
      <c r="G416" s="10"/>
      <c r="H416" s="11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7"/>
      <c r="B417" s="7"/>
      <c r="C417" s="5"/>
      <c r="D417" s="5"/>
      <c r="E417" s="9"/>
      <c r="F417" s="9"/>
      <c r="G417" s="10"/>
      <c r="H417" s="11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7"/>
      <c r="B418" s="7"/>
      <c r="C418" s="5"/>
      <c r="D418" s="5"/>
      <c r="E418" s="9"/>
      <c r="F418" s="9"/>
      <c r="G418" s="10"/>
      <c r="H418" s="11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7"/>
      <c r="B419" s="7"/>
      <c r="C419" s="5"/>
      <c r="D419" s="5"/>
      <c r="E419" s="9"/>
      <c r="F419" s="9"/>
      <c r="G419" s="10"/>
      <c r="H419" s="11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7"/>
      <c r="B420" s="7"/>
      <c r="C420" s="5"/>
      <c r="D420" s="5"/>
      <c r="E420" s="9"/>
      <c r="F420" s="9"/>
      <c r="G420" s="10"/>
      <c r="H420" s="11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7"/>
      <c r="B421" s="7"/>
      <c r="C421" s="5"/>
      <c r="D421" s="5"/>
      <c r="E421" s="9"/>
      <c r="F421" s="9"/>
      <c r="G421" s="10"/>
      <c r="H421" s="11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7"/>
      <c r="B422" s="7"/>
      <c r="C422" s="5"/>
      <c r="D422" s="5"/>
      <c r="E422" s="9"/>
      <c r="F422" s="9"/>
      <c r="G422" s="10"/>
      <c r="H422" s="11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7"/>
      <c r="B423" s="7"/>
      <c r="C423" s="5"/>
      <c r="D423" s="5"/>
      <c r="E423" s="9"/>
      <c r="F423" s="9"/>
      <c r="G423" s="10"/>
      <c r="H423" s="11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7"/>
      <c r="B424" s="7"/>
      <c r="C424" s="5"/>
      <c r="D424" s="5"/>
      <c r="E424" s="9"/>
      <c r="F424" s="9"/>
      <c r="G424" s="10"/>
      <c r="H424" s="11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7"/>
      <c r="B425" s="7"/>
      <c r="C425" s="5"/>
      <c r="D425" s="5"/>
      <c r="E425" s="9"/>
      <c r="F425" s="9"/>
      <c r="G425" s="10"/>
      <c r="H425" s="11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7"/>
      <c r="B426" s="7"/>
      <c r="C426" s="5"/>
      <c r="D426" s="5"/>
      <c r="E426" s="9"/>
      <c r="F426" s="9"/>
      <c r="G426" s="10"/>
      <c r="H426" s="11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7"/>
      <c r="B427" s="7"/>
      <c r="C427" s="5"/>
      <c r="D427" s="5"/>
      <c r="E427" s="9"/>
      <c r="F427" s="9"/>
      <c r="G427" s="10"/>
      <c r="H427" s="11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7"/>
      <c r="B428" s="7"/>
      <c r="C428" s="5"/>
      <c r="D428" s="5"/>
      <c r="E428" s="9"/>
      <c r="F428" s="9"/>
      <c r="G428" s="10"/>
      <c r="H428" s="11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7"/>
      <c r="B429" s="7"/>
      <c r="C429" s="5"/>
      <c r="D429" s="5"/>
      <c r="E429" s="9"/>
      <c r="F429" s="9"/>
      <c r="G429" s="10"/>
      <c r="H429" s="11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7"/>
      <c r="B430" s="7"/>
      <c r="C430" s="5"/>
      <c r="D430" s="5"/>
      <c r="E430" s="9"/>
      <c r="F430" s="9"/>
      <c r="G430" s="10"/>
      <c r="H430" s="11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7"/>
      <c r="B431" s="7"/>
      <c r="C431" s="5"/>
      <c r="D431" s="5"/>
      <c r="E431" s="9"/>
      <c r="F431" s="9"/>
      <c r="G431" s="10"/>
      <c r="H431" s="11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7"/>
      <c r="B432" s="7"/>
      <c r="C432" s="5"/>
      <c r="D432" s="5"/>
      <c r="E432" s="9"/>
      <c r="F432" s="9"/>
      <c r="G432" s="10"/>
      <c r="H432" s="11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7"/>
      <c r="B433" s="7"/>
      <c r="C433" s="5"/>
      <c r="D433" s="5"/>
      <c r="E433" s="9"/>
      <c r="F433" s="9"/>
      <c r="G433" s="10"/>
      <c r="H433" s="11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7"/>
      <c r="B434" s="7"/>
      <c r="C434" s="5"/>
      <c r="D434" s="5"/>
      <c r="E434" s="9"/>
      <c r="F434" s="9"/>
      <c r="G434" s="10"/>
      <c r="H434" s="11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7"/>
      <c r="B435" s="7"/>
      <c r="C435" s="5"/>
      <c r="D435" s="5"/>
      <c r="E435" s="9"/>
      <c r="F435" s="9"/>
      <c r="G435" s="10"/>
      <c r="H435" s="11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7"/>
      <c r="B436" s="7"/>
      <c r="C436" s="5"/>
      <c r="D436" s="5"/>
      <c r="E436" s="9"/>
      <c r="F436" s="9"/>
      <c r="G436" s="10"/>
      <c r="H436" s="11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7"/>
      <c r="B437" s="7"/>
      <c r="C437" s="5"/>
      <c r="D437" s="5"/>
      <c r="E437" s="9"/>
      <c r="F437" s="9"/>
      <c r="G437" s="10"/>
      <c r="H437" s="11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7"/>
      <c r="B438" s="7"/>
      <c r="C438" s="5"/>
      <c r="D438" s="5"/>
      <c r="E438" s="9"/>
      <c r="F438" s="9"/>
      <c r="G438" s="10"/>
      <c r="H438" s="11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7"/>
      <c r="B439" s="7"/>
      <c r="C439" s="5"/>
      <c r="D439" s="5"/>
      <c r="E439" s="9"/>
      <c r="F439" s="9"/>
      <c r="G439" s="10"/>
      <c r="H439" s="11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7"/>
      <c r="B440" s="7"/>
      <c r="C440" s="5"/>
      <c r="D440" s="5"/>
      <c r="E440" s="9"/>
      <c r="F440" s="9"/>
      <c r="G440" s="10"/>
      <c r="H440" s="11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7"/>
      <c r="B441" s="7"/>
      <c r="C441" s="5"/>
      <c r="D441" s="5"/>
      <c r="E441" s="9"/>
      <c r="F441" s="9"/>
      <c r="G441" s="10"/>
      <c r="H441" s="11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7"/>
      <c r="B442" s="7"/>
      <c r="C442" s="5"/>
      <c r="D442" s="5"/>
      <c r="E442" s="9"/>
      <c r="F442" s="9"/>
      <c r="G442" s="10"/>
      <c r="H442" s="11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7"/>
      <c r="B443" s="7"/>
      <c r="C443" s="5"/>
      <c r="D443" s="5"/>
      <c r="E443" s="9"/>
      <c r="F443" s="9"/>
      <c r="G443" s="10"/>
      <c r="H443" s="11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7"/>
      <c r="B444" s="7"/>
      <c r="C444" s="5"/>
      <c r="D444" s="5"/>
      <c r="E444" s="9"/>
      <c r="F444" s="9"/>
      <c r="G444" s="10"/>
      <c r="H444" s="11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7"/>
      <c r="B445" s="7"/>
      <c r="C445" s="5"/>
      <c r="D445" s="5"/>
      <c r="E445" s="9"/>
      <c r="F445" s="9"/>
      <c r="G445" s="10"/>
      <c r="H445" s="11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7"/>
      <c r="B446" s="7"/>
      <c r="C446" s="5"/>
      <c r="D446" s="5"/>
      <c r="E446" s="9"/>
      <c r="F446" s="9"/>
      <c r="G446" s="10"/>
      <c r="H446" s="11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7"/>
      <c r="B447" s="7"/>
      <c r="C447" s="5"/>
      <c r="D447" s="5"/>
      <c r="E447" s="9"/>
      <c r="F447" s="9"/>
      <c r="G447" s="10"/>
      <c r="H447" s="11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7"/>
      <c r="B448" s="7"/>
      <c r="C448" s="5"/>
      <c r="D448" s="5"/>
      <c r="E448" s="9"/>
      <c r="F448" s="9"/>
      <c r="G448" s="10"/>
      <c r="H448" s="11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7"/>
      <c r="B449" s="7"/>
      <c r="C449" s="5"/>
      <c r="D449" s="5"/>
      <c r="E449" s="9"/>
      <c r="F449" s="9"/>
      <c r="G449" s="10"/>
      <c r="H449" s="11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7"/>
      <c r="B450" s="7"/>
      <c r="C450" s="5"/>
      <c r="D450" s="5"/>
      <c r="E450" s="9"/>
      <c r="F450" s="9"/>
      <c r="G450" s="10"/>
      <c r="H450" s="11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7"/>
      <c r="B451" s="7"/>
      <c r="C451" s="5"/>
      <c r="D451" s="5"/>
      <c r="E451" s="9"/>
      <c r="F451" s="9"/>
      <c r="G451" s="10"/>
      <c r="H451" s="11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7"/>
      <c r="B452" s="7"/>
      <c r="C452" s="5"/>
      <c r="D452" s="5"/>
      <c r="E452" s="9"/>
      <c r="F452" s="9"/>
      <c r="G452" s="10"/>
      <c r="H452" s="11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7"/>
      <c r="B453" s="7"/>
      <c r="C453" s="5"/>
      <c r="D453" s="5"/>
      <c r="E453" s="9"/>
      <c r="F453" s="9"/>
      <c r="G453" s="10"/>
      <c r="H453" s="11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7"/>
      <c r="B454" s="7"/>
      <c r="C454" s="5"/>
      <c r="D454" s="5"/>
      <c r="E454" s="9"/>
      <c r="F454" s="9"/>
      <c r="G454" s="10"/>
      <c r="H454" s="11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7"/>
      <c r="B455" s="7"/>
      <c r="C455" s="5"/>
      <c r="D455" s="5"/>
      <c r="E455" s="9"/>
      <c r="F455" s="9"/>
      <c r="G455" s="10"/>
      <c r="H455" s="11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7"/>
      <c r="B456" s="7"/>
      <c r="C456" s="5"/>
      <c r="D456" s="5"/>
      <c r="E456" s="9"/>
      <c r="F456" s="9"/>
      <c r="G456" s="10"/>
      <c r="H456" s="11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7"/>
      <c r="B457" s="7"/>
      <c r="C457" s="5"/>
      <c r="D457" s="5"/>
      <c r="E457" s="9"/>
      <c r="F457" s="9"/>
      <c r="G457" s="10"/>
      <c r="H457" s="11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7"/>
      <c r="B458" s="7"/>
      <c r="C458" s="5"/>
      <c r="D458" s="5"/>
      <c r="E458" s="9"/>
      <c r="F458" s="9"/>
      <c r="G458" s="10"/>
      <c r="H458" s="11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7"/>
      <c r="B459" s="7"/>
      <c r="C459" s="5"/>
      <c r="D459" s="5"/>
      <c r="E459" s="9"/>
      <c r="F459" s="9"/>
      <c r="G459" s="10"/>
      <c r="H459" s="11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7"/>
      <c r="B460" s="7"/>
      <c r="C460" s="5"/>
      <c r="D460" s="5"/>
      <c r="E460" s="9"/>
      <c r="F460" s="9"/>
      <c r="G460" s="10"/>
      <c r="H460" s="11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7"/>
      <c r="B461" s="7"/>
      <c r="C461" s="5"/>
      <c r="D461" s="5"/>
      <c r="E461" s="9"/>
      <c r="F461" s="9"/>
      <c r="G461" s="10"/>
      <c r="H461" s="11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7"/>
      <c r="B462" s="7"/>
      <c r="C462" s="5"/>
      <c r="D462" s="5"/>
      <c r="E462" s="9"/>
      <c r="F462" s="9"/>
      <c r="G462" s="10"/>
      <c r="H462" s="11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7"/>
      <c r="B463" s="7"/>
      <c r="C463" s="5"/>
      <c r="D463" s="5"/>
      <c r="E463" s="9"/>
      <c r="F463" s="9"/>
      <c r="G463" s="10"/>
      <c r="H463" s="11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7"/>
      <c r="B464" s="7"/>
      <c r="C464" s="5"/>
      <c r="D464" s="5"/>
      <c r="E464" s="9"/>
      <c r="F464" s="9"/>
      <c r="G464" s="10"/>
      <c r="H464" s="11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7"/>
      <c r="B465" s="7"/>
      <c r="C465" s="5"/>
      <c r="D465" s="5"/>
      <c r="E465" s="9"/>
      <c r="F465" s="9"/>
      <c r="G465" s="10"/>
      <c r="H465" s="11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7"/>
      <c r="B466" s="7"/>
      <c r="C466" s="5"/>
      <c r="D466" s="5"/>
      <c r="E466" s="9"/>
      <c r="F466" s="9"/>
      <c r="G466" s="10"/>
      <c r="H466" s="11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7"/>
      <c r="B467" s="7"/>
      <c r="C467" s="5"/>
      <c r="D467" s="5"/>
      <c r="E467" s="9"/>
      <c r="F467" s="9"/>
      <c r="G467" s="10"/>
      <c r="H467" s="11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7"/>
      <c r="B468" s="7"/>
      <c r="C468" s="5"/>
      <c r="D468" s="5"/>
      <c r="E468" s="9"/>
      <c r="F468" s="9"/>
      <c r="G468" s="10"/>
      <c r="H468" s="11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7"/>
      <c r="B469" s="7"/>
      <c r="C469" s="5"/>
      <c r="D469" s="5"/>
      <c r="E469" s="9"/>
      <c r="F469" s="9"/>
      <c r="G469" s="10"/>
      <c r="H469" s="11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7"/>
      <c r="B470" s="7"/>
      <c r="C470" s="5"/>
      <c r="D470" s="5"/>
      <c r="E470" s="9"/>
      <c r="F470" s="9"/>
      <c r="G470" s="10"/>
      <c r="H470" s="11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7"/>
      <c r="B471" s="7"/>
      <c r="C471" s="5"/>
      <c r="D471" s="5"/>
      <c r="E471" s="9"/>
      <c r="F471" s="9"/>
      <c r="G471" s="10"/>
      <c r="H471" s="11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7"/>
      <c r="B472" s="7"/>
      <c r="C472" s="5"/>
      <c r="D472" s="5"/>
      <c r="E472" s="9"/>
      <c r="F472" s="9"/>
      <c r="G472" s="10"/>
      <c r="H472" s="11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7"/>
      <c r="B473" s="7"/>
      <c r="C473" s="5"/>
      <c r="D473" s="5"/>
      <c r="E473" s="9"/>
      <c r="F473" s="9"/>
      <c r="G473" s="10"/>
      <c r="H473" s="11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7"/>
      <c r="B474" s="7"/>
      <c r="C474" s="5"/>
      <c r="D474" s="5"/>
      <c r="E474" s="9"/>
      <c r="F474" s="9"/>
      <c r="G474" s="10"/>
      <c r="H474" s="11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7"/>
      <c r="B475" s="7"/>
      <c r="C475" s="5"/>
      <c r="D475" s="5"/>
      <c r="E475" s="9"/>
      <c r="F475" s="9"/>
      <c r="G475" s="10"/>
      <c r="H475" s="11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7"/>
      <c r="B476" s="7"/>
      <c r="C476" s="5"/>
      <c r="D476" s="5"/>
      <c r="E476" s="9"/>
      <c r="F476" s="9"/>
      <c r="G476" s="10"/>
      <c r="H476" s="11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7"/>
      <c r="B477" s="7"/>
      <c r="C477" s="5"/>
      <c r="D477" s="5"/>
      <c r="E477" s="9"/>
      <c r="F477" s="9"/>
      <c r="G477" s="10"/>
      <c r="H477" s="11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7"/>
      <c r="B478" s="7"/>
      <c r="C478" s="5"/>
      <c r="D478" s="5"/>
      <c r="E478" s="9"/>
      <c r="F478" s="9"/>
      <c r="G478" s="10"/>
      <c r="H478" s="11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7"/>
      <c r="B479" s="7"/>
      <c r="C479" s="5"/>
      <c r="D479" s="5"/>
      <c r="E479" s="9"/>
      <c r="F479" s="9"/>
      <c r="G479" s="10"/>
      <c r="H479" s="11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7"/>
      <c r="B480" s="7"/>
      <c r="C480" s="5"/>
      <c r="D480" s="5"/>
      <c r="E480" s="9"/>
      <c r="F480" s="9"/>
      <c r="G480" s="10"/>
      <c r="H480" s="11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7"/>
      <c r="B481" s="7"/>
      <c r="C481" s="5"/>
      <c r="D481" s="5"/>
      <c r="E481" s="9"/>
      <c r="F481" s="9"/>
      <c r="G481" s="10"/>
      <c r="H481" s="11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7"/>
      <c r="B482" s="7"/>
      <c r="C482" s="5"/>
      <c r="D482" s="5"/>
      <c r="E482" s="9"/>
      <c r="F482" s="9"/>
      <c r="G482" s="10"/>
      <c r="H482" s="11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7"/>
      <c r="B483" s="7"/>
      <c r="C483" s="5"/>
      <c r="D483" s="5"/>
      <c r="E483" s="9"/>
      <c r="F483" s="9"/>
      <c r="G483" s="10"/>
      <c r="H483" s="11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7"/>
      <c r="B484" s="7"/>
      <c r="C484" s="5"/>
      <c r="D484" s="5"/>
      <c r="E484" s="9"/>
      <c r="F484" s="9"/>
      <c r="G484" s="10"/>
      <c r="H484" s="11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7"/>
      <c r="B485" s="7"/>
      <c r="C485" s="5"/>
      <c r="D485" s="5"/>
      <c r="E485" s="9"/>
      <c r="F485" s="9"/>
      <c r="G485" s="10"/>
      <c r="H485" s="11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7"/>
      <c r="B486" s="7"/>
      <c r="C486" s="5"/>
      <c r="D486" s="5"/>
      <c r="E486" s="9"/>
      <c r="F486" s="9"/>
      <c r="G486" s="10"/>
      <c r="H486" s="11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7"/>
      <c r="B487" s="7"/>
      <c r="C487" s="5"/>
      <c r="D487" s="5"/>
      <c r="E487" s="9"/>
      <c r="F487" s="9"/>
      <c r="G487" s="10"/>
      <c r="H487" s="11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7"/>
      <c r="B488" s="7"/>
      <c r="C488" s="5"/>
      <c r="D488" s="5"/>
      <c r="E488" s="9"/>
      <c r="F488" s="9"/>
      <c r="G488" s="10"/>
      <c r="H488" s="11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7"/>
      <c r="B489" s="7"/>
      <c r="C489" s="5"/>
      <c r="D489" s="5"/>
      <c r="E489" s="9"/>
      <c r="F489" s="9"/>
      <c r="G489" s="10"/>
      <c r="H489" s="11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7"/>
      <c r="B490" s="7"/>
      <c r="C490" s="5"/>
      <c r="D490" s="5"/>
      <c r="E490" s="9"/>
      <c r="F490" s="9"/>
      <c r="G490" s="10"/>
      <c r="H490" s="11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7"/>
      <c r="B491" s="7"/>
      <c r="C491" s="5"/>
      <c r="D491" s="5"/>
      <c r="E491" s="9"/>
      <c r="F491" s="9"/>
      <c r="G491" s="10"/>
      <c r="H491" s="11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7"/>
      <c r="B492" s="7"/>
      <c r="C492" s="5"/>
      <c r="D492" s="5"/>
      <c r="E492" s="9"/>
      <c r="F492" s="9"/>
      <c r="G492" s="10"/>
      <c r="H492" s="11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7"/>
      <c r="B493" s="7"/>
      <c r="C493" s="5"/>
      <c r="D493" s="5"/>
      <c r="E493" s="9"/>
      <c r="F493" s="9"/>
      <c r="G493" s="10"/>
      <c r="H493" s="11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7"/>
      <c r="B494" s="7"/>
      <c r="C494" s="5"/>
      <c r="D494" s="5"/>
      <c r="E494" s="9"/>
      <c r="F494" s="9"/>
      <c r="G494" s="10"/>
      <c r="H494" s="11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7"/>
      <c r="B495" s="7"/>
      <c r="C495" s="5"/>
      <c r="D495" s="5"/>
      <c r="E495" s="9"/>
      <c r="F495" s="9"/>
      <c r="G495" s="10"/>
      <c r="H495" s="11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7"/>
      <c r="B496" s="7"/>
      <c r="C496" s="5"/>
      <c r="D496" s="5"/>
      <c r="E496" s="9"/>
      <c r="F496" s="9"/>
      <c r="G496" s="10"/>
      <c r="H496" s="11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7"/>
      <c r="B497" s="7"/>
      <c r="C497" s="5"/>
      <c r="D497" s="5"/>
      <c r="E497" s="9"/>
      <c r="F497" s="9"/>
      <c r="G497" s="10"/>
      <c r="H497" s="11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7"/>
      <c r="B498" s="7"/>
      <c r="C498" s="5"/>
      <c r="D498" s="5"/>
      <c r="E498" s="9"/>
      <c r="F498" s="9"/>
      <c r="G498" s="10"/>
      <c r="H498" s="11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7"/>
      <c r="B499" s="7"/>
      <c r="C499" s="5"/>
      <c r="D499" s="5"/>
      <c r="E499" s="9"/>
      <c r="F499" s="9"/>
      <c r="G499" s="10"/>
      <c r="H499" s="11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7"/>
      <c r="B500" s="7"/>
      <c r="C500" s="5"/>
      <c r="D500" s="5"/>
      <c r="E500" s="9"/>
      <c r="F500" s="9"/>
      <c r="G500" s="10"/>
      <c r="H500" s="11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7"/>
      <c r="B501" s="7"/>
      <c r="C501" s="5"/>
      <c r="D501" s="5"/>
      <c r="E501" s="9"/>
      <c r="F501" s="9"/>
      <c r="G501" s="10"/>
      <c r="H501" s="11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7"/>
      <c r="B502" s="7"/>
      <c r="C502" s="5"/>
      <c r="D502" s="5"/>
      <c r="E502" s="9"/>
      <c r="F502" s="9"/>
      <c r="G502" s="10"/>
      <c r="H502" s="11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7"/>
      <c r="B503" s="7"/>
      <c r="C503" s="5"/>
      <c r="D503" s="5"/>
      <c r="E503" s="9"/>
      <c r="F503" s="9"/>
      <c r="G503" s="10"/>
      <c r="H503" s="11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7"/>
      <c r="B504" s="7"/>
      <c r="C504" s="5"/>
      <c r="D504" s="5"/>
      <c r="E504" s="9"/>
      <c r="F504" s="9"/>
      <c r="G504" s="10"/>
      <c r="H504" s="11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7"/>
      <c r="B505" s="7"/>
      <c r="C505" s="5"/>
      <c r="D505" s="5"/>
      <c r="E505" s="9"/>
      <c r="F505" s="9"/>
      <c r="G505" s="10"/>
      <c r="H505" s="11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7"/>
      <c r="B506" s="7"/>
      <c r="C506" s="5"/>
      <c r="D506" s="5"/>
      <c r="E506" s="9"/>
      <c r="F506" s="9"/>
      <c r="G506" s="10"/>
      <c r="H506" s="11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7"/>
      <c r="B507" s="7"/>
      <c r="C507" s="5"/>
      <c r="D507" s="5"/>
      <c r="E507" s="9"/>
      <c r="F507" s="9"/>
      <c r="G507" s="10"/>
      <c r="H507" s="11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7"/>
      <c r="B508" s="7"/>
      <c r="C508" s="5"/>
      <c r="D508" s="5"/>
      <c r="E508" s="9"/>
      <c r="F508" s="9"/>
      <c r="G508" s="10"/>
      <c r="H508" s="11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7"/>
      <c r="B509" s="7"/>
      <c r="C509" s="5"/>
      <c r="D509" s="5"/>
      <c r="E509" s="9"/>
      <c r="F509" s="9"/>
      <c r="G509" s="10"/>
      <c r="H509" s="11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7"/>
      <c r="B510" s="7"/>
      <c r="C510" s="5"/>
      <c r="D510" s="5"/>
      <c r="E510" s="9"/>
      <c r="F510" s="9"/>
      <c r="G510" s="10"/>
      <c r="H510" s="11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7"/>
      <c r="B511" s="7"/>
      <c r="C511" s="5"/>
      <c r="D511" s="5"/>
      <c r="E511" s="9"/>
      <c r="F511" s="9"/>
      <c r="G511" s="10"/>
      <c r="H511" s="11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7"/>
      <c r="B512" s="7"/>
      <c r="C512" s="5"/>
      <c r="D512" s="5"/>
      <c r="E512" s="9"/>
      <c r="F512" s="9"/>
      <c r="G512" s="10"/>
      <c r="H512" s="11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7"/>
      <c r="B513" s="7"/>
      <c r="C513" s="5"/>
      <c r="D513" s="5"/>
      <c r="E513" s="9"/>
      <c r="F513" s="9"/>
      <c r="G513" s="10"/>
      <c r="H513" s="11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7"/>
      <c r="B514" s="7"/>
      <c r="C514" s="5"/>
      <c r="D514" s="5"/>
      <c r="E514" s="9"/>
      <c r="F514" s="9"/>
      <c r="G514" s="10"/>
      <c r="H514" s="11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7"/>
      <c r="B515" s="7"/>
      <c r="C515" s="5"/>
      <c r="D515" s="5"/>
      <c r="E515" s="9"/>
      <c r="F515" s="9"/>
      <c r="G515" s="10"/>
      <c r="H515" s="11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7"/>
      <c r="B516" s="7"/>
      <c r="C516" s="5"/>
      <c r="D516" s="5"/>
      <c r="E516" s="9"/>
      <c r="F516" s="9"/>
      <c r="G516" s="10"/>
      <c r="H516" s="11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7"/>
      <c r="B517" s="7"/>
      <c r="C517" s="5"/>
      <c r="D517" s="5"/>
      <c r="E517" s="9"/>
      <c r="F517" s="9"/>
      <c r="G517" s="10"/>
      <c r="H517" s="11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7"/>
      <c r="B518" s="7"/>
      <c r="C518" s="5"/>
      <c r="D518" s="5"/>
      <c r="E518" s="9"/>
      <c r="F518" s="9"/>
      <c r="G518" s="10"/>
      <c r="H518" s="11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7"/>
      <c r="B519" s="7"/>
      <c r="C519" s="5"/>
      <c r="D519" s="5"/>
      <c r="E519" s="9"/>
      <c r="F519" s="9"/>
      <c r="G519" s="10"/>
      <c r="H519" s="11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7"/>
      <c r="B520" s="7"/>
      <c r="C520" s="5"/>
      <c r="D520" s="5"/>
      <c r="E520" s="9"/>
      <c r="F520" s="9"/>
      <c r="G520" s="10"/>
      <c r="H520" s="11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7"/>
      <c r="B521" s="7"/>
      <c r="C521" s="5"/>
      <c r="D521" s="5"/>
      <c r="E521" s="9"/>
      <c r="F521" s="9"/>
      <c r="G521" s="10"/>
      <c r="H521" s="11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7"/>
      <c r="B522" s="7"/>
      <c r="C522" s="5"/>
      <c r="D522" s="5"/>
      <c r="E522" s="9"/>
      <c r="F522" s="9"/>
      <c r="G522" s="10"/>
      <c r="H522" s="11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7"/>
      <c r="B523" s="7"/>
      <c r="C523" s="5"/>
      <c r="D523" s="5"/>
      <c r="E523" s="9"/>
      <c r="F523" s="9"/>
      <c r="G523" s="10"/>
      <c r="H523" s="11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7"/>
      <c r="B524" s="7"/>
      <c r="C524" s="5"/>
      <c r="D524" s="5"/>
      <c r="E524" s="9"/>
      <c r="F524" s="9"/>
      <c r="G524" s="10"/>
      <c r="H524" s="11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7"/>
      <c r="B525" s="7"/>
      <c r="C525" s="5"/>
      <c r="D525" s="5"/>
      <c r="E525" s="9"/>
      <c r="F525" s="9"/>
      <c r="G525" s="10"/>
      <c r="H525" s="11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7"/>
      <c r="B526" s="7"/>
      <c r="C526" s="5"/>
      <c r="D526" s="5"/>
      <c r="E526" s="9"/>
      <c r="F526" s="9"/>
      <c r="G526" s="10"/>
      <c r="H526" s="11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7"/>
      <c r="B527" s="7"/>
      <c r="C527" s="5"/>
      <c r="D527" s="5"/>
      <c r="E527" s="9"/>
      <c r="F527" s="9"/>
      <c r="G527" s="10"/>
      <c r="H527" s="11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7"/>
      <c r="B528" s="7"/>
      <c r="C528" s="5"/>
      <c r="D528" s="5"/>
      <c r="E528" s="9"/>
      <c r="F528" s="9"/>
      <c r="G528" s="10"/>
      <c r="H528" s="11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7"/>
      <c r="B529" s="7"/>
      <c r="C529" s="5"/>
      <c r="D529" s="5"/>
      <c r="E529" s="9"/>
      <c r="F529" s="9"/>
      <c r="G529" s="10"/>
      <c r="H529" s="11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7"/>
      <c r="B530" s="7"/>
      <c r="C530" s="5"/>
      <c r="D530" s="5"/>
      <c r="E530" s="9"/>
      <c r="F530" s="9"/>
      <c r="G530" s="10"/>
      <c r="H530" s="11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7"/>
      <c r="B531" s="7"/>
      <c r="C531" s="5"/>
      <c r="D531" s="5"/>
      <c r="E531" s="9"/>
      <c r="F531" s="9"/>
      <c r="G531" s="10"/>
      <c r="H531" s="11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7"/>
      <c r="B532" s="7"/>
      <c r="C532" s="5"/>
      <c r="D532" s="5"/>
      <c r="E532" s="9"/>
      <c r="F532" s="9"/>
      <c r="G532" s="10"/>
      <c r="H532" s="11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7"/>
      <c r="B533" s="7"/>
      <c r="C533" s="5"/>
      <c r="D533" s="5"/>
      <c r="E533" s="9"/>
      <c r="F533" s="9"/>
      <c r="G533" s="10"/>
      <c r="H533" s="11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7"/>
      <c r="B534" s="7"/>
      <c r="C534" s="5"/>
      <c r="D534" s="5"/>
      <c r="E534" s="9"/>
      <c r="F534" s="9"/>
      <c r="G534" s="10"/>
      <c r="H534" s="11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7"/>
      <c r="B535" s="7"/>
      <c r="C535" s="5"/>
      <c r="D535" s="5"/>
      <c r="E535" s="9"/>
      <c r="F535" s="9"/>
      <c r="G535" s="10"/>
      <c r="H535" s="11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7"/>
      <c r="B536" s="7"/>
      <c r="C536" s="5"/>
      <c r="D536" s="5"/>
      <c r="E536" s="9"/>
      <c r="F536" s="9"/>
      <c r="G536" s="10"/>
      <c r="H536" s="11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7"/>
      <c r="B537" s="7"/>
      <c r="C537" s="5"/>
      <c r="D537" s="5"/>
      <c r="E537" s="9"/>
      <c r="F537" s="9"/>
      <c r="G537" s="10"/>
      <c r="H537" s="11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7"/>
      <c r="B538" s="7"/>
      <c r="C538" s="5"/>
      <c r="D538" s="5"/>
      <c r="E538" s="9"/>
      <c r="F538" s="9"/>
      <c r="G538" s="10"/>
      <c r="H538" s="11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7"/>
      <c r="B539" s="7"/>
      <c r="C539" s="5"/>
      <c r="D539" s="5"/>
      <c r="E539" s="9"/>
      <c r="F539" s="9"/>
      <c r="G539" s="10"/>
      <c r="H539" s="11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7"/>
      <c r="B540" s="7"/>
      <c r="C540" s="5"/>
      <c r="D540" s="5"/>
      <c r="E540" s="9"/>
      <c r="F540" s="9"/>
      <c r="G540" s="10"/>
      <c r="H540" s="11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7"/>
      <c r="B541" s="7"/>
      <c r="C541" s="5"/>
      <c r="D541" s="5"/>
      <c r="E541" s="9"/>
      <c r="F541" s="9"/>
      <c r="G541" s="10"/>
      <c r="H541" s="11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7"/>
      <c r="B542" s="7"/>
      <c r="C542" s="5"/>
      <c r="D542" s="5"/>
      <c r="E542" s="9"/>
      <c r="F542" s="9"/>
      <c r="G542" s="10"/>
      <c r="H542" s="11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7"/>
      <c r="B543" s="7"/>
      <c r="C543" s="5"/>
      <c r="D543" s="5"/>
      <c r="E543" s="9"/>
      <c r="F543" s="9"/>
      <c r="G543" s="10"/>
      <c r="H543" s="11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7"/>
      <c r="B544" s="7"/>
      <c r="C544" s="5"/>
      <c r="D544" s="5"/>
      <c r="E544" s="9"/>
      <c r="F544" s="9"/>
      <c r="G544" s="10"/>
      <c r="H544" s="11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7"/>
      <c r="B545" s="7"/>
      <c r="C545" s="5"/>
      <c r="D545" s="5"/>
      <c r="E545" s="9"/>
      <c r="F545" s="9"/>
      <c r="G545" s="10"/>
      <c r="H545" s="11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7"/>
      <c r="B546" s="7"/>
      <c r="C546" s="5"/>
      <c r="D546" s="5"/>
      <c r="E546" s="9"/>
      <c r="F546" s="9"/>
      <c r="G546" s="10"/>
      <c r="H546" s="11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7"/>
      <c r="B547" s="7"/>
      <c r="C547" s="5"/>
      <c r="D547" s="5"/>
      <c r="E547" s="9"/>
      <c r="F547" s="9"/>
      <c r="G547" s="10"/>
      <c r="H547" s="11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7"/>
      <c r="B548" s="7"/>
      <c r="C548" s="5"/>
      <c r="D548" s="5"/>
      <c r="E548" s="9"/>
      <c r="F548" s="9"/>
      <c r="G548" s="10"/>
      <c r="H548" s="11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7"/>
      <c r="B549" s="7"/>
      <c r="C549" s="5"/>
      <c r="D549" s="5"/>
      <c r="E549" s="9"/>
      <c r="F549" s="9"/>
      <c r="G549" s="10"/>
      <c r="H549" s="11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7"/>
      <c r="B550" s="7"/>
      <c r="C550" s="5"/>
      <c r="D550" s="5"/>
      <c r="E550" s="9"/>
      <c r="F550" s="9"/>
      <c r="G550" s="10"/>
      <c r="H550" s="11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7"/>
      <c r="B551" s="7"/>
      <c r="C551" s="5"/>
      <c r="D551" s="5"/>
      <c r="E551" s="9"/>
      <c r="F551" s="9"/>
      <c r="G551" s="10"/>
      <c r="H551" s="11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7"/>
      <c r="B552" s="7"/>
      <c r="C552" s="5"/>
      <c r="D552" s="5"/>
      <c r="E552" s="9"/>
      <c r="F552" s="9"/>
      <c r="G552" s="10"/>
      <c r="H552" s="11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7"/>
      <c r="B553" s="7"/>
      <c r="C553" s="5"/>
      <c r="D553" s="5"/>
      <c r="E553" s="9"/>
      <c r="F553" s="9"/>
      <c r="G553" s="10"/>
      <c r="H553" s="11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7"/>
      <c r="B554" s="7"/>
      <c r="C554" s="5"/>
      <c r="D554" s="5"/>
      <c r="E554" s="9"/>
      <c r="F554" s="9"/>
      <c r="G554" s="10"/>
      <c r="H554" s="11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7"/>
      <c r="B555" s="7"/>
      <c r="C555" s="5"/>
      <c r="D555" s="5"/>
      <c r="E555" s="9"/>
      <c r="F555" s="9"/>
      <c r="G555" s="10"/>
      <c r="H555" s="11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7"/>
      <c r="B556" s="7"/>
      <c r="C556" s="5"/>
      <c r="D556" s="5"/>
      <c r="E556" s="9"/>
      <c r="F556" s="9"/>
      <c r="G556" s="10"/>
      <c r="H556" s="11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7"/>
      <c r="B557" s="7"/>
      <c r="C557" s="5"/>
      <c r="D557" s="5"/>
      <c r="E557" s="9"/>
      <c r="F557" s="9"/>
      <c r="G557" s="10"/>
      <c r="H557" s="11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7"/>
      <c r="B558" s="7"/>
      <c r="C558" s="5"/>
      <c r="D558" s="5"/>
      <c r="E558" s="9"/>
      <c r="F558" s="9"/>
      <c r="G558" s="10"/>
      <c r="H558" s="11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7"/>
      <c r="B559" s="7"/>
      <c r="C559" s="5"/>
      <c r="D559" s="5"/>
      <c r="E559" s="9"/>
      <c r="F559" s="9"/>
      <c r="G559" s="10"/>
      <c r="H559" s="11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7"/>
      <c r="B560" s="7"/>
      <c r="C560" s="5"/>
      <c r="D560" s="5"/>
      <c r="E560" s="9"/>
      <c r="F560" s="9"/>
      <c r="G560" s="10"/>
      <c r="H560" s="11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7"/>
      <c r="B561" s="7"/>
      <c r="C561" s="5"/>
      <c r="D561" s="5"/>
      <c r="E561" s="9"/>
      <c r="F561" s="9"/>
      <c r="G561" s="10"/>
      <c r="H561" s="11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7"/>
      <c r="B562" s="7"/>
      <c r="C562" s="5"/>
      <c r="D562" s="5"/>
      <c r="E562" s="9"/>
      <c r="F562" s="9"/>
      <c r="G562" s="10"/>
      <c r="H562" s="11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7"/>
      <c r="B563" s="7"/>
      <c r="C563" s="5"/>
      <c r="D563" s="5"/>
      <c r="E563" s="9"/>
      <c r="F563" s="9"/>
      <c r="G563" s="10"/>
      <c r="H563" s="11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7"/>
      <c r="B564" s="7"/>
      <c r="C564" s="5"/>
      <c r="D564" s="5"/>
      <c r="E564" s="9"/>
      <c r="F564" s="9"/>
      <c r="G564" s="10"/>
      <c r="H564" s="11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7"/>
      <c r="B565" s="7"/>
      <c r="C565" s="5"/>
      <c r="D565" s="5"/>
      <c r="E565" s="9"/>
      <c r="F565" s="9"/>
      <c r="G565" s="10"/>
      <c r="H565" s="11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7"/>
      <c r="B566" s="7"/>
      <c r="C566" s="5"/>
      <c r="D566" s="5"/>
      <c r="E566" s="9"/>
      <c r="F566" s="9"/>
      <c r="G566" s="10"/>
      <c r="H566" s="11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7"/>
      <c r="B567" s="7"/>
      <c r="C567" s="5"/>
      <c r="D567" s="5"/>
      <c r="E567" s="9"/>
      <c r="F567" s="9"/>
      <c r="G567" s="10"/>
      <c r="H567" s="11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7"/>
      <c r="B568" s="7"/>
      <c r="C568" s="5"/>
      <c r="D568" s="5"/>
      <c r="E568" s="9"/>
      <c r="F568" s="9"/>
      <c r="G568" s="10"/>
      <c r="H568" s="11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7"/>
      <c r="B569" s="7"/>
      <c r="C569" s="5"/>
      <c r="D569" s="5"/>
      <c r="E569" s="9"/>
      <c r="F569" s="9"/>
      <c r="G569" s="10"/>
      <c r="H569" s="11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7"/>
      <c r="B570" s="7"/>
      <c r="C570" s="5"/>
      <c r="D570" s="5"/>
      <c r="E570" s="9"/>
      <c r="F570" s="9"/>
      <c r="G570" s="10"/>
      <c r="H570" s="11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7"/>
      <c r="B571" s="7"/>
      <c r="C571" s="5"/>
      <c r="D571" s="5"/>
      <c r="E571" s="9"/>
      <c r="F571" s="9"/>
      <c r="G571" s="10"/>
      <c r="H571" s="11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7"/>
      <c r="B572" s="7"/>
      <c r="C572" s="5"/>
      <c r="D572" s="5"/>
      <c r="E572" s="9"/>
      <c r="F572" s="9"/>
      <c r="G572" s="10"/>
      <c r="H572" s="11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7"/>
      <c r="B573" s="7"/>
      <c r="C573" s="5"/>
      <c r="D573" s="5"/>
      <c r="E573" s="9"/>
      <c r="F573" s="9"/>
      <c r="G573" s="10"/>
      <c r="H573" s="11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7"/>
      <c r="B574" s="7"/>
      <c r="C574" s="5"/>
      <c r="D574" s="5"/>
      <c r="E574" s="9"/>
      <c r="F574" s="9"/>
      <c r="G574" s="10"/>
      <c r="H574" s="11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7"/>
      <c r="B575" s="7"/>
      <c r="C575" s="5"/>
      <c r="D575" s="5"/>
      <c r="E575" s="9"/>
      <c r="F575" s="9"/>
      <c r="G575" s="10"/>
      <c r="H575" s="11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7"/>
      <c r="B576" s="7"/>
      <c r="C576" s="5"/>
      <c r="D576" s="5"/>
      <c r="E576" s="9"/>
      <c r="F576" s="9"/>
      <c r="G576" s="10"/>
      <c r="H576" s="11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7"/>
      <c r="B577" s="7"/>
      <c r="C577" s="5"/>
      <c r="D577" s="5"/>
      <c r="E577" s="9"/>
      <c r="F577" s="9"/>
      <c r="G577" s="10"/>
      <c r="H577" s="11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7"/>
      <c r="B578" s="7"/>
      <c r="C578" s="5"/>
      <c r="D578" s="5"/>
      <c r="E578" s="9"/>
      <c r="F578" s="9"/>
      <c r="G578" s="10"/>
      <c r="H578" s="11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7"/>
      <c r="B579" s="7"/>
      <c r="C579" s="5"/>
      <c r="D579" s="5"/>
      <c r="E579" s="9"/>
      <c r="F579" s="9"/>
      <c r="G579" s="10"/>
      <c r="H579" s="11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7"/>
      <c r="B580" s="7"/>
      <c r="C580" s="5"/>
      <c r="D580" s="5"/>
      <c r="E580" s="9"/>
      <c r="F580" s="9"/>
      <c r="G580" s="10"/>
      <c r="H580" s="11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7"/>
      <c r="B581" s="7"/>
      <c r="C581" s="5"/>
      <c r="D581" s="5"/>
      <c r="E581" s="9"/>
      <c r="F581" s="9"/>
      <c r="G581" s="10"/>
      <c r="H581" s="11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7"/>
      <c r="B582" s="7"/>
      <c r="C582" s="5"/>
      <c r="D582" s="5"/>
      <c r="E582" s="9"/>
      <c r="F582" s="9"/>
      <c r="G582" s="10"/>
      <c r="H582" s="11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7"/>
      <c r="B583" s="7"/>
      <c r="C583" s="5"/>
      <c r="D583" s="5"/>
      <c r="E583" s="9"/>
      <c r="F583" s="9"/>
      <c r="G583" s="10"/>
      <c r="H583" s="11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7"/>
      <c r="B584" s="7"/>
      <c r="C584" s="5"/>
      <c r="D584" s="5"/>
      <c r="E584" s="9"/>
      <c r="F584" s="9"/>
      <c r="G584" s="10"/>
      <c r="H584" s="11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7"/>
      <c r="B585" s="7"/>
      <c r="C585" s="5"/>
      <c r="D585" s="5"/>
      <c r="E585" s="9"/>
      <c r="F585" s="9"/>
      <c r="G585" s="10"/>
      <c r="H585" s="11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7"/>
      <c r="B586" s="7"/>
      <c r="C586" s="5"/>
      <c r="D586" s="5"/>
      <c r="E586" s="9"/>
      <c r="F586" s="9"/>
      <c r="G586" s="10"/>
      <c r="H586" s="11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7"/>
      <c r="B587" s="7"/>
      <c r="C587" s="5"/>
      <c r="D587" s="5"/>
      <c r="E587" s="9"/>
      <c r="F587" s="9"/>
      <c r="G587" s="10"/>
      <c r="H587" s="11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7"/>
      <c r="B588" s="7"/>
      <c r="C588" s="5"/>
      <c r="D588" s="5"/>
      <c r="E588" s="9"/>
      <c r="F588" s="9"/>
      <c r="G588" s="10"/>
      <c r="H588" s="11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7"/>
      <c r="B589" s="7"/>
      <c r="C589" s="5"/>
      <c r="D589" s="5"/>
      <c r="E589" s="9"/>
      <c r="F589" s="9"/>
      <c r="G589" s="10"/>
      <c r="H589" s="11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7"/>
      <c r="B590" s="7"/>
      <c r="C590" s="5"/>
      <c r="D590" s="5"/>
      <c r="E590" s="9"/>
      <c r="F590" s="9"/>
      <c r="G590" s="10"/>
      <c r="H590" s="11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7"/>
      <c r="B591" s="7"/>
      <c r="C591" s="5"/>
      <c r="D591" s="5"/>
      <c r="E591" s="9"/>
      <c r="F591" s="9"/>
      <c r="G591" s="10"/>
      <c r="H591" s="11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7"/>
      <c r="B592" s="7"/>
      <c r="C592" s="5"/>
      <c r="D592" s="5"/>
      <c r="E592" s="9"/>
      <c r="F592" s="9"/>
      <c r="G592" s="10"/>
      <c r="H592" s="11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7"/>
      <c r="B593" s="7"/>
      <c r="C593" s="5"/>
      <c r="D593" s="5"/>
      <c r="E593" s="9"/>
      <c r="F593" s="9"/>
      <c r="G593" s="10"/>
      <c r="H593" s="11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7"/>
      <c r="B594" s="7"/>
      <c r="C594" s="5"/>
      <c r="D594" s="5"/>
      <c r="E594" s="9"/>
      <c r="F594" s="9"/>
      <c r="G594" s="10"/>
      <c r="H594" s="11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7"/>
      <c r="B595" s="7"/>
      <c r="C595" s="5"/>
      <c r="D595" s="5"/>
      <c r="E595" s="9"/>
      <c r="F595" s="9"/>
      <c r="G595" s="10"/>
      <c r="H595" s="11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7"/>
      <c r="B596" s="7"/>
      <c r="C596" s="5"/>
      <c r="D596" s="5"/>
      <c r="E596" s="9"/>
      <c r="F596" s="9"/>
      <c r="G596" s="10"/>
      <c r="H596" s="11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7"/>
      <c r="B597" s="7"/>
      <c r="C597" s="5"/>
      <c r="D597" s="5"/>
      <c r="E597" s="9"/>
      <c r="F597" s="9"/>
      <c r="G597" s="10"/>
      <c r="H597" s="11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7"/>
      <c r="B598" s="7"/>
      <c r="C598" s="5"/>
      <c r="D598" s="5"/>
      <c r="E598" s="9"/>
      <c r="F598" s="9"/>
      <c r="G598" s="10"/>
      <c r="H598" s="11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7"/>
      <c r="B599" s="7"/>
      <c r="C599" s="5"/>
      <c r="D599" s="5"/>
      <c r="E599" s="9"/>
      <c r="F599" s="9"/>
      <c r="G599" s="10"/>
      <c r="H599" s="11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7"/>
      <c r="B600" s="7"/>
      <c r="C600" s="5"/>
      <c r="D600" s="5"/>
      <c r="E600" s="9"/>
      <c r="F600" s="9"/>
      <c r="G600" s="10"/>
      <c r="H600" s="11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7"/>
      <c r="B601" s="7"/>
      <c r="C601" s="5"/>
      <c r="D601" s="5"/>
      <c r="E601" s="9"/>
      <c r="F601" s="9"/>
      <c r="G601" s="10"/>
      <c r="H601" s="11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7"/>
      <c r="B602" s="7"/>
      <c r="C602" s="5"/>
      <c r="D602" s="5"/>
      <c r="E602" s="9"/>
      <c r="F602" s="9"/>
      <c r="G602" s="10"/>
      <c r="H602" s="11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7"/>
      <c r="B603" s="7"/>
      <c r="C603" s="5"/>
      <c r="D603" s="5"/>
      <c r="E603" s="9"/>
      <c r="F603" s="9"/>
      <c r="G603" s="10"/>
      <c r="H603" s="11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7"/>
      <c r="B604" s="7"/>
      <c r="C604" s="5"/>
      <c r="D604" s="5"/>
      <c r="E604" s="9"/>
      <c r="F604" s="9"/>
      <c r="G604" s="10"/>
      <c r="H604" s="11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7"/>
      <c r="B605" s="7"/>
      <c r="C605" s="5"/>
      <c r="D605" s="5"/>
      <c r="E605" s="9"/>
      <c r="F605" s="9"/>
      <c r="G605" s="10"/>
      <c r="H605" s="11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7"/>
      <c r="B606" s="7"/>
      <c r="C606" s="5"/>
      <c r="D606" s="5"/>
      <c r="E606" s="9"/>
      <c r="F606" s="9"/>
      <c r="G606" s="10"/>
      <c r="H606" s="11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7"/>
      <c r="B607" s="7"/>
      <c r="C607" s="5"/>
      <c r="D607" s="5"/>
      <c r="E607" s="9"/>
      <c r="F607" s="9"/>
      <c r="G607" s="10"/>
      <c r="H607" s="11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7"/>
      <c r="B608" s="7"/>
      <c r="C608" s="5"/>
      <c r="D608" s="5"/>
      <c r="E608" s="9"/>
      <c r="F608" s="9"/>
      <c r="G608" s="10"/>
      <c r="H608" s="11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7"/>
      <c r="B609" s="7"/>
      <c r="C609" s="5"/>
      <c r="D609" s="5"/>
      <c r="E609" s="9"/>
      <c r="F609" s="9"/>
      <c r="G609" s="10"/>
      <c r="H609" s="11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7"/>
      <c r="B610" s="7"/>
      <c r="C610" s="5"/>
      <c r="D610" s="5"/>
      <c r="E610" s="9"/>
      <c r="F610" s="9"/>
      <c r="G610" s="10"/>
      <c r="H610" s="11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7"/>
      <c r="B611" s="7"/>
      <c r="C611" s="5"/>
      <c r="D611" s="5"/>
      <c r="E611" s="9"/>
      <c r="F611" s="9"/>
      <c r="G611" s="10"/>
      <c r="H611" s="11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7"/>
      <c r="B612" s="7"/>
      <c r="C612" s="5"/>
      <c r="D612" s="5"/>
      <c r="E612" s="9"/>
      <c r="F612" s="9"/>
      <c r="G612" s="10"/>
      <c r="H612" s="11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7"/>
      <c r="B613" s="7"/>
      <c r="C613" s="5"/>
      <c r="D613" s="5"/>
      <c r="E613" s="9"/>
      <c r="F613" s="9"/>
      <c r="G613" s="10"/>
      <c r="H613" s="11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7"/>
      <c r="B614" s="7"/>
      <c r="C614" s="5"/>
      <c r="D614" s="5"/>
      <c r="E614" s="9"/>
      <c r="F614" s="9"/>
      <c r="G614" s="10"/>
      <c r="H614" s="11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7"/>
      <c r="B615" s="7"/>
      <c r="C615" s="5"/>
      <c r="D615" s="5"/>
      <c r="E615" s="9"/>
      <c r="F615" s="9"/>
      <c r="G615" s="10"/>
      <c r="H615" s="11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7"/>
      <c r="B616" s="7"/>
      <c r="C616" s="5"/>
      <c r="D616" s="5"/>
      <c r="E616" s="9"/>
      <c r="F616" s="9"/>
      <c r="G616" s="10"/>
      <c r="H616" s="11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7"/>
      <c r="B617" s="7"/>
      <c r="C617" s="5"/>
      <c r="D617" s="5"/>
      <c r="E617" s="9"/>
      <c r="F617" s="9"/>
      <c r="G617" s="10"/>
      <c r="H617" s="11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7"/>
      <c r="B618" s="7"/>
      <c r="C618" s="5"/>
      <c r="D618" s="5"/>
      <c r="E618" s="9"/>
      <c r="F618" s="9"/>
      <c r="G618" s="10"/>
      <c r="H618" s="11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7"/>
      <c r="B619" s="7"/>
      <c r="C619" s="5"/>
      <c r="D619" s="5"/>
      <c r="E619" s="9"/>
      <c r="F619" s="9"/>
      <c r="G619" s="10"/>
      <c r="H619" s="11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7"/>
      <c r="B620" s="7"/>
      <c r="C620" s="5"/>
      <c r="D620" s="5"/>
      <c r="E620" s="9"/>
      <c r="F620" s="9"/>
      <c r="G620" s="10"/>
      <c r="H620" s="11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7"/>
      <c r="B621" s="7"/>
      <c r="C621" s="5"/>
      <c r="D621" s="5"/>
      <c r="E621" s="9"/>
      <c r="F621" s="9"/>
      <c r="G621" s="10"/>
      <c r="H621" s="11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7"/>
      <c r="B622" s="7"/>
      <c r="C622" s="5"/>
      <c r="D622" s="5"/>
      <c r="E622" s="9"/>
      <c r="F622" s="9"/>
      <c r="G622" s="10"/>
      <c r="H622" s="11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7"/>
      <c r="B623" s="7"/>
      <c r="C623" s="5"/>
      <c r="D623" s="5"/>
      <c r="E623" s="9"/>
      <c r="F623" s="9"/>
      <c r="G623" s="10"/>
      <c r="H623" s="11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7"/>
      <c r="B624" s="7"/>
      <c r="C624" s="5"/>
      <c r="D624" s="5"/>
      <c r="E624" s="9"/>
      <c r="F624" s="9"/>
      <c r="G624" s="10"/>
      <c r="H624" s="11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7"/>
      <c r="B625" s="7"/>
      <c r="C625" s="5"/>
      <c r="D625" s="5"/>
      <c r="E625" s="9"/>
      <c r="F625" s="9"/>
      <c r="G625" s="10"/>
      <c r="H625" s="11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7"/>
      <c r="B626" s="7"/>
      <c r="C626" s="5"/>
      <c r="D626" s="5"/>
      <c r="E626" s="9"/>
      <c r="F626" s="9"/>
      <c r="G626" s="10"/>
      <c r="H626" s="11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7"/>
      <c r="B627" s="7"/>
      <c r="C627" s="5"/>
      <c r="D627" s="5"/>
      <c r="E627" s="9"/>
      <c r="F627" s="9"/>
      <c r="G627" s="10"/>
      <c r="H627" s="11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7"/>
      <c r="B628" s="7"/>
      <c r="C628" s="5"/>
      <c r="D628" s="5"/>
      <c r="E628" s="9"/>
      <c r="F628" s="9"/>
      <c r="G628" s="10"/>
      <c r="H628" s="11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7"/>
      <c r="B629" s="7"/>
      <c r="C629" s="5"/>
      <c r="D629" s="5"/>
      <c r="E629" s="9"/>
      <c r="F629" s="9"/>
      <c r="G629" s="10"/>
      <c r="H629" s="11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7"/>
      <c r="B630" s="7"/>
      <c r="C630" s="5"/>
      <c r="D630" s="5"/>
      <c r="E630" s="9"/>
      <c r="F630" s="9"/>
      <c r="G630" s="10"/>
      <c r="H630" s="11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7"/>
      <c r="B631" s="7"/>
      <c r="C631" s="5"/>
      <c r="D631" s="5"/>
      <c r="E631" s="9"/>
      <c r="F631" s="9"/>
      <c r="G631" s="10"/>
      <c r="H631" s="11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7"/>
      <c r="B632" s="7"/>
      <c r="C632" s="5"/>
      <c r="D632" s="5"/>
      <c r="E632" s="9"/>
      <c r="F632" s="9"/>
      <c r="G632" s="10"/>
      <c r="H632" s="11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7"/>
      <c r="B633" s="7"/>
      <c r="C633" s="5"/>
      <c r="D633" s="5"/>
      <c r="E633" s="9"/>
      <c r="F633" s="9"/>
      <c r="G633" s="10"/>
      <c r="H633" s="11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7"/>
      <c r="B634" s="7"/>
      <c r="C634" s="5"/>
      <c r="D634" s="5"/>
      <c r="E634" s="9"/>
      <c r="F634" s="9"/>
      <c r="G634" s="10"/>
      <c r="H634" s="11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7"/>
      <c r="B635" s="7"/>
      <c r="C635" s="5"/>
      <c r="D635" s="5"/>
      <c r="E635" s="9"/>
      <c r="F635" s="9"/>
      <c r="G635" s="10"/>
      <c r="H635" s="11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7"/>
      <c r="B636" s="7"/>
      <c r="C636" s="5"/>
      <c r="D636" s="5"/>
      <c r="E636" s="9"/>
      <c r="F636" s="9"/>
      <c r="G636" s="10"/>
      <c r="H636" s="11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7"/>
      <c r="B637" s="7"/>
      <c r="C637" s="5"/>
      <c r="D637" s="5"/>
      <c r="E637" s="9"/>
      <c r="F637" s="9"/>
      <c r="G637" s="10"/>
      <c r="H637" s="11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7"/>
      <c r="B638" s="7"/>
      <c r="C638" s="5"/>
      <c r="D638" s="5"/>
      <c r="E638" s="9"/>
      <c r="F638" s="9"/>
      <c r="G638" s="10"/>
      <c r="H638" s="11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7"/>
      <c r="B639" s="7"/>
      <c r="C639" s="5"/>
      <c r="D639" s="5"/>
      <c r="E639" s="9"/>
      <c r="F639" s="9"/>
      <c r="G639" s="10"/>
      <c r="H639" s="11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7"/>
      <c r="B640" s="7"/>
      <c r="C640" s="5"/>
      <c r="D640" s="5"/>
      <c r="E640" s="9"/>
      <c r="F640" s="9"/>
      <c r="G640" s="10"/>
      <c r="H640" s="11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7"/>
      <c r="B641" s="7"/>
      <c r="C641" s="5"/>
      <c r="D641" s="5"/>
      <c r="E641" s="9"/>
      <c r="F641" s="9"/>
      <c r="G641" s="10"/>
      <c r="H641" s="11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7"/>
      <c r="B642" s="7"/>
      <c r="C642" s="5"/>
      <c r="D642" s="5"/>
      <c r="E642" s="9"/>
      <c r="F642" s="9"/>
      <c r="G642" s="10"/>
      <c r="H642" s="11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7"/>
      <c r="B643" s="7"/>
      <c r="C643" s="5"/>
      <c r="D643" s="5"/>
      <c r="E643" s="9"/>
      <c r="F643" s="9"/>
      <c r="G643" s="10"/>
      <c r="H643" s="11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7"/>
      <c r="B644" s="7"/>
      <c r="C644" s="5"/>
      <c r="D644" s="5"/>
      <c r="E644" s="9"/>
      <c r="F644" s="9"/>
      <c r="G644" s="10"/>
      <c r="H644" s="11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7"/>
      <c r="B645" s="7"/>
      <c r="C645" s="5"/>
      <c r="D645" s="5"/>
      <c r="E645" s="9"/>
      <c r="F645" s="9"/>
      <c r="G645" s="10"/>
      <c r="H645" s="11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7"/>
      <c r="B646" s="7"/>
      <c r="C646" s="5"/>
      <c r="D646" s="5"/>
      <c r="E646" s="9"/>
      <c r="F646" s="9"/>
      <c r="G646" s="10"/>
      <c r="H646" s="11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7"/>
      <c r="B647" s="7"/>
      <c r="C647" s="5"/>
      <c r="D647" s="5"/>
      <c r="E647" s="9"/>
      <c r="F647" s="9"/>
      <c r="G647" s="10"/>
      <c r="H647" s="11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7"/>
      <c r="B648" s="7"/>
      <c r="C648" s="5"/>
      <c r="D648" s="5"/>
      <c r="E648" s="9"/>
      <c r="F648" s="9"/>
      <c r="G648" s="10"/>
      <c r="H648" s="11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7"/>
      <c r="B649" s="7"/>
      <c r="C649" s="5"/>
      <c r="D649" s="5"/>
      <c r="E649" s="9"/>
      <c r="F649" s="9"/>
      <c r="G649" s="10"/>
      <c r="H649" s="11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7"/>
      <c r="B650" s="7"/>
      <c r="C650" s="5"/>
      <c r="D650" s="5"/>
      <c r="E650" s="9"/>
      <c r="F650" s="9"/>
      <c r="G650" s="10"/>
      <c r="H650" s="11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7"/>
      <c r="B651" s="7"/>
      <c r="C651" s="5"/>
      <c r="D651" s="5"/>
      <c r="E651" s="9"/>
      <c r="F651" s="9"/>
      <c r="G651" s="10"/>
      <c r="H651" s="11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7"/>
      <c r="B652" s="7"/>
      <c r="C652" s="5"/>
      <c r="D652" s="5"/>
      <c r="E652" s="9"/>
      <c r="F652" s="9"/>
      <c r="G652" s="10"/>
      <c r="H652" s="11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7"/>
      <c r="B653" s="7"/>
      <c r="C653" s="5"/>
      <c r="D653" s="5"/>
      <c r="E653" s="9"/>
      <c r="F653" s="9"/>
      <c r="G653" s="10"/>
      <c r="H653" s="11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7"/>
      <c r="B654" s="7"/>
      <c r="C654" s="5"/>
      <c r="D654" s="5"/>
      <c r="E654" s="9"/>
      <c r="F654" s="9"/>
      <c r="G654" s="10"/>
      <c r="H654" s="11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7"/>
      <c r="B655" s="7"/>
      <c r="C655" s="5"/>
      <c r="D655" s="5"/>
      <c r="E655" s="9"/>
      <c r="F655" s="9"/>
      <c r="G655" s="10"/>
      <c r="H655" s="11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7"/>
      <c r="B656" s="7"/>
      <c r="C656" s="5"/>
      <c r="D656" s="5"/>
      <c r="E656" s="9"/>
      <c r="F656" s="9"/>
      <c r="G656" s="10"/>
      <c r="H656" s="11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7"/>
      <c r="B657" s="7"/>
      <c r="C657" s="5"/>
      <c r="D657" s="5"/>
      <c r="E657" s="9"/>
      <c r="F657" s="9"/>
      <c r="G657" s="10"/>
      <c r="H657" s="11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7"/>
      <c r="B658" s="7"/>
      <c r="C658" s="5"/>
      <c r="D658" s="5"/>
      <c r="E658" s="9"/>
      <c r="F658" s="9"/>
      <c r="G658" s="10"/>
      <c r="H658" s="11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7"/>
      <c r="B659" s="7"/>
      <c r="C659" s="5"/>
      <c r="D659" s="5"/>
      <c r="E659" s="9"/>
      <c r="F659" s="9"/>
      <c r="G659" s="10"/>
      <c r="H659" s="11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7"/>
      <c r="B660" s="7"/>
      <c r="C660" s="5"/>
      <c r="D660" s="5"/>
      <c r="E660" s="9"/>
      <c r="F660" s="9"/>
      <c r="G660" s="10"/>
      <c r="H660" s="11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7"/>
      <c r="B661" s="7"/>
      <c r="C661" s="5"/>
      <c r="D661" s="5"/>
      <c r="E661" s="9"/>
      <c r="F661" s="9"/>
      <c r="G661" s="10"/>
      <c r="H661" s="11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7"/>
      <c r="B662" s="7"/>
      <c r="C662" s="5"/>
      <c r="D662" s="5"/>
      <c r="E662" s="9"/>
      <c r="F662" s="9"/>
      <c r="G662" s="10"/>
      <c r="H662" s="11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7"/>
      <c r="B663" s="7"/>
      <c r="C663" s="5"/>
      <c r="D663" s="5"/>
      <c r="E663" s="9"/>
      <c r="F663" s="9"/>
      <c r="G663" s="10"/>
      <c r="H663" s="11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7"/>
      <c r="B664" s="7"/>
      <c r="C664" s="5"/>
      <c r="D664" s="5"/>
      <c r="E664" s="9"/>
      <c r="F664" s="9"/>
      <c r="G664" s="10"/>
      <c r="H664" s="11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7"/>
      <c r="B665" s="7"/>
      <c r="C665" s="5"/>
      <c r="D665" s="5"/>
      <c r="E665" s="9"/>
      <c r="F665" s="9"/>
      <c r="G665" s="10"/>
      <c r="H665" s="11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7"/>
      <c r="B666" s="7"/>
      <c r="C666" s="5"/>
      <c r="D666" s="5"/>
      <c r="E666" s="9"/>
      <c r="F666" s="9"/>
      <c r="G666" s="10"/>
      <c r="H666" s="11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7"/>
      <c r="B667" s="7"/>
      <c r="C667" s="5"/>
      <c r="D667" s="5"/>
      <c r="E667" s="9"/>
      <c r="F667" s="9"/>
      <c r="G667" s="10"/>
      <c r="H667" s="11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7"/>
      <c r="B668" s="7"/>
      <c r="C668" s="5"/>
      <c r="D668" s="5"/>
      <c r="E668" s="9"/>
      <c r="F668" s="9"/>
      <c r="G668" s="10"/>
      <c r="H668" s="11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7"/>
      <c r="B669" s="7"/>
      <c r="C669" s="5"/>
      <c r="D669" s="5"/>
      <c r="E669" s="9"/>
      <c r="F669" s="9"/>
      <c r="G669" s="10"/>
      <c r="H669" s="11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7"/>
      <c r="B670" s="7"/>
      <c r="C670" s="5"/>
      <c r="D670" s="5"/>
      <c r="E670" s="9"/>
      <c r="F670" s="9"/>
      <c r="G670" s="10"/>
      <c r="H670" s="11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7"/>
      <c r="B671" s="7"/>
      <c r="C671" s="5"/>
      <c r="D671" s="5"/>
      <c r="E671" s="9"/>
      <c r="F671" s="9"/>
      <c r="G671" s="10"/>
      <c r="H671" s="11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7"/>
      <c r="B672" s="7"/>
      <c r="C672" s="5"/>
      <c r="D672" s="5"/>
      <c r="E672" s="9"/>
      <c r="F672" s="9"/>
      <c r="G672" s="10"/>
      <c r="H672" s="11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7"/>
      <c r="B673" s="7"/>
      <c r="C673" s="5"/>
      <c r="D673" s="5"/>
      <c r="E673" s="9"/>
      <c r="F673" s="9"/>
      <c r="G673" s="10"/>
      <c r="H673" s="11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7"/>
      <c r="B674" s="7"/>
      <c r="C674" s="5"/>
      <c r="D674" s="5"/>
      <c r="E674" s="9"/>
      <c r="F674" s="9"/>
      <c r="G674" s="10"/>
      <c r="H674" s="11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7"/>
      <c r="B675" s="7"/>
      <c r="C675" s="5"/>
      <c r="D675" s="5"/>
      <c r="E675" s="9"/>
      <c r="F675" s="9"/>
      <c r="G675" s="10"/>
      <c r="H675" s="11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7"/>
      <c r="B676" s="7"/>
      <c r="C676" s="5"/>
      <c r="D676" s="5"/>
      <c r="E676" s="9"/>
      <c r="F676" s="9"/>
      <c r="G676" s="10"/>
      <c r="H676" s="11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7"/>
      <c r="B677" s="7"/>
      <c r="C677" s="5"/>
      <c r="D677" s="5"/>
      <c r="E677" s="9"/>
      <c r="F677" s="9"/>
      <c r="G677" s="10"/>
      <c r="H677" s="11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7"/>
      <c r="B678" s="7"/>
      <c r="C678" s="5"/>
      <c r="D678" s="5"/>
      <c r="E678" s="9"/>
      <c r="F678" s="9"/>
      <c r="G678" s="10"/>
      <c r="H678" s="11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7"/>
      <c r="B679" s="7"/>
      <c r="C679" s="5"/>
      <c r="D679" s="5"/>
      <c r="E679" s="9"/>
      <c r="F679" s="9"/>
      <c r="G679" s="10"/>
      <c r="H679" s="11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7"/>
      <c r="B680" s="7"/>
      <c r="C680" s="5"/>
      <c r="D680" s="5"/>
      <c r="E680" s="9"/>
      <c r="F680" s="9"/>
      <c r="G680" s="10"/>
      <c r="H680" s="11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7"/>
      <c r="B681" s="7"/>
      <c r="C681" s="5"/>
      <c r="D681" s="5"/>
      <c r="E681" s="9"/>
      <c r="F681" s="9"/>
      <c r="G681" s="10"/>
      <c r="H681" s="11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7"/>
      <c r="B682" s="7"/>
      <c r="C682" s="5"/>
      <c r="D682" s="5"/>
      <c r="E682" s="9"/>
      <c r="F682" s="9"/>
      <c r="G682" s="10"/>
      <c r="H682" s="11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7"/>
      <c r="B683" s="7"/>
      <c r="C683" s="5"/>
      <c r="D683" s="5"/>
      <c r="E683" s="9"/>
      <c r="F683" s="9"/>
      <c r="G683" s="10"/>
      <c r="H683" s="11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7"/>
      <c r="B684" s="7"/>
      <c r="C684" s="5"/>
      <c r="D684" s="5"/>
      <c r="E684" s="9"/>
      <c r="F684" s="9"/>
      <c r="G684" s="10"/>
      <c r="H684" s="11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7"/>
      <c r="B685" s="7"/>
      <c r="C685" s="5"/>
      <c r="D685" s="5"/>
      <c r="E685" s="9"/>
      <c r="F685" s="9"/>
      <c r="G685" s="10"/>
      <c r="H685" s="11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7"/>
      <c r="B686" s="7"/>
      <c r="C686" s="5"/>
      <c r="D686" s="5"/>
      <c r="E686" s="9"/>
      <c r="F686" s="9"/>
      <c r="G686" s="10"/>
      <c r="H686" s="11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7"/>
      <c r="B687" s="7"/>
      <c r="C687" s="5"/>
      <c r="D687" s="5"/>
      <c r="E687" s="9"/>
      <c r="F687" s="9"/>
      <c r="G687" s="10"/>
      <c r="H687" s="11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7"/>
      <c r="B688" s="7"/>
      <c r="C688" s="5"/>
      <c r="D688" s="5"/>
      <c r="E688" s="9"/>
      <c r="F688" s="9"/>
      <c r="G688" s="10"/>
      <c r="H688" s="11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7"/>
      <c r="B689" s="7"/>
      <c r="C689" s="5"/>
      <c r="D689" s="5"/>
      <c r="E689" s="9"/>
      <c r="F689" s="9"/>
      <c r="G689" s="10"/>
      <c r="H689" s="11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7"/>
      <c r="B690" s="7"/>
      <c r="C690" s="5"/>
      <c r="D690" s="5"/>
      <c r="E690" s="9"/>
      <c r="F690" s="9"/>
      <c r="G690" s="10"/>
      <c r="H690" s="11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7"/>
      <c r="B691" s="7"/>
      <c r="C691" s="5"/>
      <c r="D691" s="5"/>
      <c r="E691" s="9"/>
      <c r="F691" s="9"/>
      <c r="G691" s="10"/>
      <c r="H691" s="11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7"/>
      <c r="B692" s="7"/>
      <c r="C692" s="5"/>
      <c r="D692" s="5"/>
      <c r="E692" s="9"/>
      <c r="F692" s="9"/>
      <c r="G692" s="10"/>
      <c r="H692" s="11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7"/>
      <c r="B693" s="7"/>
      <c r="C693" s="5"/>
      <c r="D693" s="5"/>
      <c r="E693" s="9"/>
      <c r="F693" s="9"/>
      <c r="G693" s="10"/>
      <c r="H693" s="11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7"/>
      <c r="B694" s="7"/>
      <c r="C694" s="5"/>
      <c r="D694" s="5"/>
      <c r="E694" s="9"/>
      <c r="F694" s="9"/>
      <c r="G694" s="10"/>
      <c r="H694" s="11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7"/>
      <c r="B695" s="7"/>
      <c r="C695" s="5"/>
      <c r="D695" s="5"/>
      <c r="E695" s="9"/>
      <c r="F695" s="9"/>
      <c r="G695" s="10"/>
      <c r="H695" s="11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7"/>
      <c r="B696" s="7"/>
      <c r="C696" s="5"/>
      <c r="D696" s="5"/>
      <c r="E696" s="9"/>
      <c r="F696" s="9"/>
      <c r="G696" s="10"/>
      <c r="H696" s="11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7"/>
      <c r="B697" s="7"/>
      <c r="C697" s="5"/>
      <c r="D697" s="5"/>
      <c r="E697" s="9"/>
      <c r="F697" s="9"/>
      <c r="G697" s="10"/>
      <c r="H697" s="11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7"/>
      <c r="B698" s="7"/>
      <c r="C698" s="5"/>
      <c r="D698" s="5"/>
      <c r="E698" s="9"/>
      <c r="F698" s="9"/>
      <c r="G698" s="10"/>
      <c r="H698" s="11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7"/>
      <c r="B699" s="7"/>
      <c r="C699" s="5"/>
      <c r="D699" s="5"/>
      <c r="E699" s="9"/>
      <c r="F699" s="9"/>
      <c r="G699" s="10"/>
      <c r="H699" s="11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7"/>
      <c r="B700" s="7"/>
      <c r="C700" s="5"/>
      <c r="D700" s="5"/>
      <c r="E700" s="9"/>
      <c r="F700" s="9"/>
      <c r="G700" s="10"/>
      <c r="H700" s="11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7"/>
      <c r="B701" s="7"/>
      <c r="C701" s="5"/>
      <c r="D701" s="5"/>
      <c r="E701" s="9"/>
      <c r="F701" s="9"/>
      <c r="G701" s="10"/>
      <c r="H701" s="11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7"/>
      <c r="B702" s="7"/>
      <c r="C702" s="5"/>
      <c r="D702" s="5"/>
      <c r="E702" s="9"/>
      <c r="F702" s="9"/>
      <c r="G702" s="10"/>
      <c r="H702" s="11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7"/>
      <c r="B703" s="7"/>
      <c r="C703" s="5"/>
      <c r="D703" s="5"/>
      <c r="E703" s="9"/>
      <c r="F703" s="9"/>
      <c r="G703" s="10"/>
      <c r="H703" s="11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7"/>
      <c r="B704" s="7"/>
      <c r="C704" s="5"/>
      <c r="D704" s="5"/>
      <c r="E704" s="9"/>
      <c r="F704" s="9"/>
      <c r="G704" s="10"/>
      <c r="H704" s="11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7"/>
      <c r="B705" s="7"/>
      <c r="C705" s="5"/>
      <c r="D705" s="5"/>
      <c r="E705" s="9"/>
      <c r="F705" s="9"/>
      <c r="G705" s="10"/>
      <c r="H705" s="11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7"/>
      <c r="B706" s="7"/>
      <c r="C706" s="5"/>
      <c r="D706" s="5"/>
      <c r="E706" s="9"/>
      <c r="F706" s="9"/>
      <c r="G706" s="10"/>
      <c r="H706" s="11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7"/>
      <c r="B707" s="7"/>
      <c r="C707" s="5"/>
      <c r="D707" s="5"/>
      <c r="E707" s="9"/>
      <c r="F707" s="9"/>
      <c r="G707" s="10"/>
      <c r="H707" s="11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7"/>
      <c r="B708" s="7"/>
      <c r="C708" s="5"/>
      <c r="D708" s="5"/>
      <c r="E708" s="9"/>
      <c r="F708" s="9"/>
      <c r="G708" s="10"/>
      <c r="H708" s="11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7"/>
      <c r="B709" s="7"/>
      <c r="C709" s="5"/>
      <c r="D709" s="5"/>
      <c r="E709" s="9"/>
      <c r="F709" s="9"/>
      <c r="G709" s="10"/>
      <c r="H709" s="11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7"/>
      <c r="B710" s="7"/>
      <c r="C710" s="5"/>
      <c r="D710" s="5"/>
      <c r="E710" s="9"/>
      <c r="F710" s="9"/>
      <c r="G710" s="10"/>
      <c r="H710" s="11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7"/>
      <c r="B711" s="7"/>
      <c r="C711" s="5"/>
      <c r="D711" s="5"/>
      <c r="E711" s="9"/>
      <c r="F711" s="9"/>
      <c r="G711" s="10"/>
      <c r="H711" s="11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7"/>
      <c r="B712" s="7"/>
      <c r="C712" s="5"/>
      <c r="D712" s="5"/>
      <c r="E712" s="9"/>
      <c r="F712" s="9"/>
      <c r="G712" s="10"/>
      <c r="H712" s="11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7"/>
      <c r="B713" s="7"/>
      <c r="C713" s="5"/>
      <c r="D713" s="5"/>
      <c r="E713" s="9"/>
      <c r="F713" s="9"/>
      <c r="G713" s="10"/>
      <c r="H713" s="11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7"/>
      <c r="B714" s="7"/>
      <c r="C714" s="5"/>
      <c r="D714" s="5"/>
      <c r="E714" s="9"/>
      <c r="F714" s="9"/>
      <c r="G714" s="10"/>
      <c r="H714" s="11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7"/>
      <c r="B715" s="7"/>
      <c r="C715" s="5"/>
      <c r="D715" s="5"/>
      <c r="E715" s="9"/>
      <c r="F715" s="9"/>
      <c r="G715" s="10"/>
      <c r="H715" s="11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7"/>
      <c r="B716" s="7"/>
      <c r="C716" s="5"/>
      <c r="D716" s="5"/>
      <c r="E716" s="9"/>
      <c r="F716" s="9"/>
      <c r="G716" s="10"/>
      <c r="H716" s="11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7"/>
      <c r="B717" s="7"/>
      <c r="C717" s="5"/>
      <c r="D717" s="5"/>
      <c r="E717" s="9"/>
      <c r="F717" s="9"/>
      <c r="G717" s="10"/>
      <c r="H717" s="11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7"/>
      <c r="B718" s="7"/>
      <c r="C718" s="5"/>
      <c r="D718" s="5"/>
      <c r="E718" s="9"/>
      <c r="F718" s="9"/>
      <c r="G718" s="10"/>
      <c r="H718" s="11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7"/>
      <c r="B719" s="7"/>
      <c r="C719" s="5"/>
      <c r="D719" s="5"/>
      <c r="E719" s="9"/>
      <c r="F719" s="9"/>
      <c r="G719" s="10"/>
      <c r="H719" s="11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7"/>
      <c r="B720" s="7"/>
      <c r="C720" s="5"/>
      <c r="D720" s="5"/>
      <c r="E720" s="9"/>
      <c r="F720" s="9"/>
      <c r="G720" s="10"/>
      <c r="H720" s="11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7"/>
      <c r="B721" s="7"/>
      <c r="C721" s="5"/>
      <c r="D721" s="5"/>
      <c r="E721" s="9"/>
      <c r="F721" s="9"/>
      <c r="G721" s="10"/>
      <c r="H721" s="11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7"/>
      <c r="B722" s="7"/>
      <c r="C722" s="5"/>
      <c r="D722" s="5"/>
      <c r="E722" s="9"/>
      <c r="F722" s="9"/>
      <c r="G722" s="10"/>
      <c r="H722" s="11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7"/>
      <c r="B723" s="7"/>
      <c r="C723" s="5"/>
      <c r="D723" s="5"/>
      <c r="E723" s="9"/>
      <c r="F723" s="9"/>
      <c r="G723" s="10"/>
      <c r="H723" s="11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7"/>
      <c r="B724" s="7"/>
      <c r="C724" s="5"/>
      <c r="D724" s="5"/>
      <c r="E724" s="9"/>
      <c r="F724" s="9"/>
      <c r="G724" s="10"/>
      <c r="H724" s="11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7"/>
      <c r="B725" s="7"/>
      <c r="C725" s="5"/>
      <c r="D725" s="5"/>
      <c r="E725" s="9"/>
      <c r="F725" s="9"/>
      <c r="G725" s="10"/>
      <c r="H725" s="11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7"/>
      <c r="B726" s="7"/>
      <c r="C726" s="5"/>
      <c r="D726" s="5"/>
      <c r="E726" s="9"/>
      <c r="F726" s="9"/>
      <c r="G726" s="10"/>
      <c r="H726" s="11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7"/>
      <c r="B727" s="7"/>
      <c r="C727" s="5"/>
      <c r="D727" s="5"/>
      <c r="E727" s="9"/>
      <c r="F727" s="9"/>
      <c r="G727" s="10"/>
      <c r="H727" s="11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7"/>
      <c r="B728" s="7"/>
      <c r="C728" s="5"/>
      <c r="D728" s="5"/>
      <c r="E728" s="9"/>
      <c r="F728" s="9"/>
      <c r="G728" s="10"/>
      <c r="H728" s="11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7"/>
      <c r="B729" s="7"/>
      <c r="C729" s="5"/>
      <c r="D729" s="5"/>
      <c r="E729" s="9"/>
      <c r="F729" s="9"/>
      <c r="G729" s="10"/>
      <c r="H729" s="11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7"/>
      <c r="B730" s="7"/>
      <c r="C730" s="5"/>
      <c r="D730" s="5"/>
      <c r="E730" s="9"/>
      <c r="F730" s="9"/>
      <c r="G730" s="10"/>
      <c r="H730" s="11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7"/>
      <c r="B731" s="7"/>
      <c r="C731" s="5"/>
      <c r="D731" s="5"/>
      <c r="E731" s="9"/>
      <c r="F731" s="9"/>
      <c r="G731" s="10"/>
      <c r="H731" s="11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7"/>
      <c r="B732" s="7"/>
      <c r="C732" s="5"/>
      <c r="D732" s="5"/>
      <c r="E732" s="9"/>
      <c r="F732" s="9"/>
      <c r="G732" s="10"/>
      <c r="H732" s="11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7"/>
      <c r="B733" s="7"/>
      <c r="C733" s="5"/>
      <c r="D733" s="5"/>
      <c r="E733" s="9"/>
      <c r="F733" s="9"/>
      <c r="G733" s="10"/>
      <c r="H733" s="11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7"/>
      <c r="B734" s="7"/>
      <c r="C734" s="5"/>
      <c r="D734" s="5"/>
      <c r="E734" s="9"/>
      <c r="F734" s="9"/>
      <c r="G734" s="10"/>
      <c r="H734" s="11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7"/>
      <c r="B735" s="7"/>
      <c r="C735" s="5"/>
      <c r="D735" s="5"/>
      <c r="E735" s="9"/>
      <c r="F735" s="9"/>
      <c r="G735" s="10"/>
      <c r="H735" s="11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7"/>
      <c r="B736" s="7"/>
      <c r="C736" s="5"/>
      <c r="D736" s="5"/>
      <c r="E736" s="9"/>
      <c r="F736" s="9"/>
      <c r="G736" s="10"/>
      <c r="H736" s="11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7"/>
      <c r="B737" s="7"/>
      <c r="C737" s="5"/>
      <c r="D737" s="5"/>
      <c r="E737" s="9"/>
      <c r="F737" s="9"/>
      <c r="G737" s="10"/>
      <c r="H737" s="11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7"/>
      <c r="B738" s="7"/>
      <c r="C738" s="5"/>
      <c r="D738" s="5"/>
      <c r="E738" s="9"/>
      <c r="F738" s="9"/>
      <c r="G738" s="10"/>
      <c r="H738" s="11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7"/>
      <c r="B739" s="7"/>
      <c r="C739" s="5"/>
      <c r="D739" s="5"/>
      <c r="E739" s="9"/>
      <c r="F739" s="9"/>
      <c r="G739" s="10"/>
      <c r="H739" s="11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7"/>
      <c r="B740" s="7"/>
      <c r="C740" s="5"/>
      <c r="D740" s="5"/>
      <c r="E740" s="9"/>
      <c r="F740" s="9"/>
      <c r="G740" s="10"/>
      <c r="H740" s="11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7"/>
      <c r="B741" s="7"/>
      <c r="C741" s="5"/>
      <c r="D741" s="5"/>
      <c r="E741" s="9"/>
      <c r="F741" s="9"/>
      <c r="G741" s="10"/>
      <c r="H741" s="11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7"/>
      <c r="B742" s="7"/>
      <c r="C742" s="5"/>
      <c r="D742" s="5"/>
      <c r="E742" s="9"/>
      <c r="F742" s="9"/>
      <c r="G742" s="10"/>
      <c r="H742" s="11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7"/>
      <c r="B743" s="7"/>
      <c r="C743" s="5"/>
      <c r="D743" s="5"/>
      <c r="E743" s="9"/>
      <c r="F743" s="9"/>
      <c r="G743" s="10"/>
      <c r="H743" s="11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7"/>
      <c r="B744" s="7"/>
      <c r="C744" s="5"/>
      <c r="D744" s="5"/>
      <c r="E744" s="9"/>
      <c r="F744" s="9"/>
      <c r="G744" s="10"/>
      <c r="H744" s="11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7"/>
      <c r="B745" s="7"/>
      <c r="C745" s="5"/>
      <c r="D745" s="5"/>
      <c r="E745" s="9"/>
      <c r="F745" s="9"/>
      <c r="G745" s="10"/>
      <c r="H745" s="11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7"/>
      <c r="B746" s="7"/>
      <c r="C746" s="5"/>
      <c r="D746" s="5"/>
      <c r="E746" s="9"/>
      <c r="F746" s="9"/>
      <c r="G746" s="10"/>
      <c r="H746" s="11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7"/>
      <c r="B747" s="7"/>
      <c r="C747" s="5"/>
      <c r="D747" s="5"/>
      <c r="E747" s="9"/>
      <c r="F747" s="9"/>
      <c r="G747" s="10"/>
      <c r="H747" s="11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7"/>
      <c r="B748" s="7"/>
      <c r="C748" s="5"/>
      <c r="D748" s="5"/>
      <c r="E748" s="9"/>
      <c r="F748" s="9"/>
      <c r="G748" s="10"/>
      <c r="H748" s="11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7"/>
      <c r="B749" s="7"/>
      <c r="C749" s="5"/>
      <c r="D749" s="5"/>
      <c r="E749" s="9"/>
      <c r="F749" s="9"/>
      <c r="G749" s="10"/>
      <c r="H749" s="11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7"/>
      <c r="B750" s="7"/>
      <c r="C750" s="5"/>
      <c r="D750" s="5"/>
      <c r="E750" s="9"/>
      <c r="F750" s="9"/>
      <c r="G750" s="10"/>
      <c r="H750" s="11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7"/>
      <c r="B751" s="7"/>
      <c r="C751" s="5"/>
      <c r="D751" s="5"/>
      <c r="E751" s="9"/>
      <c r="F751" s="9"/>
      <c r="G751" s="10"/>
      <c r="H751" s="11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7"/>
      <c r="B752" s="7"/>
      <c r="C752" s="5"/>
      <c r="D752" s="5"/>
      <c r="E752" s="9"/>
      <c r="F752" s="9"/>
      <c r="G752" s="10"/>
      <c r="H752" s="11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7"/>
      <c r="B753" s="7"/>
      <c r="C753" s="5"/>
      <c r="D753" s="5"/>
      <c r="E753" s="9"/>
      <c r="F753" s="9"/>
      <c r="G753" s="10"/>
      <c r="H753" s="11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7"/>
      <c r="B754" s="7"/>
      <c r="C754" s="5"/>
      <c r="D754" s="5"/>
      <c r="E754" s="9"/>
      <c r="F754" s="9"/>
      <c r="G754" s="10"/>
      <c r="H754" s="11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7"/>
      <c r="B755" s="7"/>
      <c r="C755" s="5"/>
      <c r="D755" s="5"/>
      <c r="E755" s="9"/>
      <c r="F755" s="9"/>
      <c r="G755" s="10"/>
      <c r="H755" s="11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7"/>
      <c r="B756" s="7"/>
      <c r="C756" s="5"/>
      <c r="D756" s="5"/>
      <c r="E756" s="9"/>
      <c r="F756" s="9"/>
      <c r="G756" s="10"/>
      <c r="H756" s="11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7"/>
      <c r="B757" s="7"/>
      <c r="C757" s="5"/>
      <c r="D757" s="5"/>
      <c r="E757" s="9"/>
      <c r="F757" s="9"/>
      <c r="G757" s="10"/>
      <c r="H757" s="11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7"/>
      <c r="B758" s="7"/>
      <c r="C758" s="5"/>
      <c r="D758" s="5"/>
      <c r="E758" s="9"/>
      <c r="F758" s="9"/>
      <c r="G758" s="10"/>
      <c r="H758" s="11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7"/>
      <c r="B759" s="7"/>
      <c r="C759" s="5"/>
      <c r="D759" s="5"/>
      <c r="E759" s="9"/>
      <c r="F759" s="9"/>
      <c r="G759" s="10"/>
      <c r="H759" s="11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7"/>
      <c r="B760" s="7"/>
      <c r="C760" s="5"/>
      <c r="D760" s="5"/>
      <c r="E760" s="9"/>
      <c r="F760" s="9"/>
      <c r="G760" s="10"/>
      <c r="H760" s="11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7"/>
      <c r="B761" s="7"/>
      <c r="C761" s="5"/>
      <c r="D761" s="5"/>
      <c r="E761" s="9"/>
      <c r="F761" s="9"/>
      <c r="G761" s="10"/>
      <c r="H761" s="11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7"/>
      <c r="B762" s="7"/>
      <c r="C762" s="5"/>
      <c r="D762" s="5"/>
      <c r="E762" s="9"/>
      <c r="F762" s="9"/>
      <c r="G762" s="10"/>
      <c r="H762" s="11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7"/>
      <c r="B763" s="7"/>
      <c r="C763" s="5"/>
      <c r="D763" s="5"/>
      <c r="E763" s="9"/>
      <c r="F763" s="9"/>
      <c r="G763" s="10"/>
      <c r="H763" s="11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7"/>
      <c r="B764" s="7"/>
      <c r="C764" s="5"/>
      <c r="D764" s="5"/>
      <c r="E764" s="9"/>
      <c r="F764" s="9"/>
      <c r="G764" s="10"/>
      <c r="H764" s="11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7"/>
      <c r="B765" s="7"/>
      <c r="C765" s="5"/>
      <c r="D765" s="5"/>
      <c r="E765" s="9"/>
      <c r="F765" s="9"/>
      <c r="G765" s="10"/>
      <c r="H765" s="11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7"/>
      <c r="B766" s="7"/>
      <c r="C766" s="5"/>
      <c r="D766" s="5"/>
      <c r="E766" s="9"/>
      <c r="F766" s="9"/>
      <c r="G766" s="10"/>
      <c r="H766" s="11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7"/>
      <c r="B767" s="7"/>
      <c r="C767" s="5"/>
      <c r="D767" s="5"/>
      <c r="E767" s="9"/>
      <c r="F767" s="9"/>
      <c r="G767" s="10"/>
      <c r="H767" s="11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7"/>
      <c r="B768" s="7"/>
      <c r="C768" s="5"/>
      <c r="D768" s="5"/>
      <c r="E768" s="9"/>
      <c r="F768" s="9"/>
      <c r="G768" s="10"/>
      <c r="H768" s="11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7"/>
      <c r="B769" s="7"/>
      <c r="C769" s="5"/>
      <c r="D769" s="5"/>
      <c r="E769" s="9"/>
      <c r="F769" s="9"/>
      <c r="G769" s="10"/>
      <c r="H769" s="11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7"/>
      <c r="B770" s="7"/>
      <c r="C770" s="5"/>
      <c r="D770" s="5"/>
      <c r="E770" s="9"/>
      <c r="F770" s="9"/>
      <c r="G770" s="10"/>
      <c r="H770" s="11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7"/>
      <c r="B771" s="7"/>
      <c r="C771" s="5"/>
      <c r="D771" s="5"/>
      <c r="E771" s="9"/>
      <c r="F771" s="9"/>
      <c r="G771" s="10"/>
      <c r="H771" s="11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7"/>
      <c r="B772" s="7"/>
      <c r="C772" s="5"/>
      <c r="D772" s="5"/>
      <c r="E772" s="9"/>
      <c r="F772" s="9"/>
      <c r="G772" s="10"/>
      <c r="H772" s="11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7"/>
      <c r="B773" s="7"/>
      <c r="C773" s="5"/>
      <c r="D773" s="5"/>
      <c r="E773" s="9"/>
      <c r="F773" s="9"/>
      <c r="G773" s="10"/>
      <c r="H773" s="11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7"/>
      <c r="B774" s="7"/>
      <c r="C774" s="5"/>
      <c r="D774" s="5"/>
      <c r="E774" s="9"/>
      <c r="F774" s="9"/>
      <c r="G774" s="10"/>
      <c r="H774" s="11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7"/>
      <c r="B775" s="7"/>
      <c r="C775" s="5"/>
      <c r="D775" s="5"/>
      <c r="E775" s="9"/>
      <c r="F775" s="9"/>
      <c r="G775" s="10"/>
      <c r="H775" s="11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7"/>
      <c r="B776" s="7"/>
      <c r="C776" s="5"/>
      <c r="D776" s="5"/>
      <c r="E776" s="9"/>
      <c r="F776" s="9"/>
      <c r="G776" s="10"/>
      <c r="H776" s="11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7"/>
      <c r="B777" s="7"/>
      <c r="C777" s="5"/>
      <c r="D777" s="5"/>
      <c r="E777" s="9"/>
      <c r="F777" s="9"/>
      <c r="G777" s="10"/>
      <c r="H777" s="11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7"/>
      <c r="B778" s="7"/>
      <c r="C778" s="5"/>
      <c r="D778" s="5"/>
      <c r="E778" s="9"/>
      <c r="F778" s="9"/>
      <c r="G778" s="10"/>
      <c r="H778" s="11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7"/>
      <c r="B779" s="7"/>
      <c r="C779" s="5"/>
      <c r="D779" s="5"/>
      <c r="E779" s="9"/>
      <c r="F779" s="9"/>
      <c r="G779" s="10"/>
      <c r="H779" s="11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7"/>
      <c r="B780" s="7"/>
      <c r="C780" s="5"/>
      <c r="D780" s="5"/>
      <c r="E780" s="9"/>
      <c r="F780" s="9"/>
      <c r="G780" s="10"/>
      <c r="H780" s="11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7"/>
      <c r="B781" s="7"/>
      <c r="C781" s="5"/>
      <c r="D781" s="5"/>
      <c r="E781" s="9"/>
      <c r="F781" s="9"/>
      <c r="G781" s="10"/>
      <c r="H781" s="11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7"/>
      <c r="B782" s="7"/>
      <c r="C782" s="5"/>
      <c r="D782" s="5"/>
      <c r="E782" s="9"/>
      <c r="F782" s="9"/>
      <c r="G782" s="10"/>
      <c r="H782" s="11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7"/>
      <c r="B783" s="7"/>
      <c r="C783" s="5"/>
      <c r="D783" s="5"/>
      <c r="E783" s="9"/>
      <c r="F783" s="9"/>
      <c r="G783" s="10"/>
      <c r="H783" s="11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7"/>
      <c r="B784" s="7"/>
      <c r="C784" s="5"/>
      <c r="D784" s="5"/>
      <c r="E784" s="9"/>
      <c r="F784" s="9"/>
      <c r="G784" s="10"/>
      <c r="H784" s="11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7"/>
      <c r="B785" s="7"/>
      <c r="C785" s="5"/>
      <c r="D785" s="5"/>
      <c r="E785" s="9"/>
      <c r="F785" s="9"/>
      <c r="G785" s="10"/>
      <c r="H785" s="11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7"/>
      <c r="B786" s="7"/>
      <c r="C786" s="5"/>
      <c r="D786" s="5"/>
      <c r="E786" s="9"/>
      <c r="F786" s="9"/>
      <c r="G786" s="10"/>
      <c r="H786" s="11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7"/>
      <c r="B787" s="7"/>
      <c r="C787" s="5"/>
      <c r="D787" s="5"/>
      <c r="E787" s="9"/>
      <c r="F787" s="9"/>
      <c r="G787" s="10"/>
      <c r="H787" s="11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7"/>
      <c r="B788" s="7"/>
      <c r="C788" s="5"/>
      <c r="D788" s="5"/>
      <c r="E788" s="9"/>
      <c r="F788" s="9"/>
      <c r="G788" s="10"/>
      <c r="H788" s="11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7"/>
      <c r="B789" s="7"/>
      <c r="C789" s="5"/>
      <c r="D789" s="5"/>
      <c r="E789" s="9"/>
      <c r="F789" s="9"/>
      <c r="G789" s="10"/>
      <c r="H789" s="11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7"/>
      <c r="B790" s="7"/>
      <c r="C790" s="5"/>
      <c r="D790" s="5"/>
      <c r="E790" s="9"/>
      <c r="F790" s="9"/>
      <c r="G790" s="10"/>
      <c r="H790" s="11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7"/>
      <c r="B791" s="7"/>
      <c r="C791" s="5"/>
      <c r="D791" s="5"/>
      <c r="E791" s="9"/>
      <c r="F791" s="9"/>
      <c r="G791" s="10"/>
      <c r="H791" s="11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7"/>
      <c r="B792" s="7"/>
      <c r="C792" s="5"/>
      <c r="D792" s="5"/>
      <c r="E792" s="9"/>
      <c r="F792" s="9"/>
      <c r="G792" s="10"/>
      <c r="H792" s="11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7"/>
      <c r="B793" s="7"/>
      <c r="C793" s="5"/>
      <c r="D793" s="5"/>
      <c r="E793" s="9"/>
      <c r="F793" s="9"/>
      <c r="G793" s="10"/>
      <c r="H793" s="11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7"/>
      <c r="B794" s="7"/>
      <c r="C794" s="5"/>
      <c r="D794" s="5"/>
      <c r="E794" s="9"/>
      <c r="F794" s="9"/>
      <c r="G794" s="10"/>
      <c r="H794" s="11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7"/>
      <c r="B795" s="7"/>
      <c r="C795" s="5"/>
      <c r="D795" s="5"/>
      <c r="E795" s="9"/>
      <c r="F795" s="9"/>
      <c r="G795" s="10"/>
      <c r="H795" s="11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7"/>
      <c r="B796" s="7"/>
      <c r="C796" s="5"/>
      <c r="D796" s="5"/>
      <c r="E796" s="9"/>
      <c r="F796" s="9"/>
      <c r="G796" s="10"/>
      <c r="H796" s="11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7"/>
      <c r="B797" s="7"/>
      <c r="C797" s="5"/>
      <c r="D797" s="5"/>
      <c r="E797" s="9"/>
      <c r="F797" s="9"/>
      <c r="G797" s="10"/>
      <c r="H797" s="11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7"/>
      <c r="B798" s="7"/>
      <c r="C798" s="5"/>
      <c r="D798" s="5"/>
      <c r="E798" s="9"/>
      <c r="F798" s="9"/>
      <c r="G798" s="10"/>
      <c r="H798" s="11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7"/>
      <c r="B799" s="7"/>
      <c r="C799" s="5"/>
      <c r="D799" s="5"/>
      <c r="E799" s="9"/>
      <c r="F799" s="9"/>
      <c r="G799" s="10"/>
      <c r="H799" s="11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7"/>
      <c r="B800" s="7"/>
      <c r="C800" s="5"/>
      <c r="D800" s="5"/>
      <c r="E800" s="9"/>
      <c r="F800" s="9"/>
      <c r="G800" s="10"/>
      <c r="H800" s="11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7"/>
      <c r="B801" s="7"/>
      <c r="C801" s="5"/>
      <c r="D801" s="5"/>
      <c r="E801" s="9"/>
      <c r="F801" s="9"/>
      <c r="G801" s="10"/>
      <c r="H801" s="11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7"/>
      <c r="B802" s="7"/>
      <c r="C802" s="5"/>
      <c r="D802" s="5"/>
      <c r="E802" s="9"/>
      <c r="F802" s="9"/>
      <c r="G802" s="10"/>
      <c r="H802" s="11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7"/>
      <c r="B803" s="7"/>
      <c r="C803" s="5"/>
      <c r="D803" s="5"/>
      <c r="E803" s="9"/>
      <c r="F803" s="9"/>
      <c r="G803" s="10"/>
      <c r="H803" s="11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7"/>
      <c r="B804" s="7"/>
      <c r="C804" s="5"/>
      <c r="D804" s="5"/>
      <c r="E804" s="9"/>
      <c r="F804" s="9"/>
      <c r="G804" s="10"/>
      <c r="H804" s="11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7"/>
      <c r="B805" s="7"/>
      <c r="C805" s="5"/>
      <c r="D805" s="5"/>
      <c r="E805" s="9"/>
      <c r="F805" s="9"/>
      <c r="G805" s="10"/>
      <c r="H805" s="11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7"/>
      <c r="B806" s="7"/>
      <c r="C806" s="5"/>
      <c r="D806" s="5"/>
      <c r="E806" s="9"/>
      <c r="F806" s="9"/>
      <c r="G806" s="10"/>
      <c r="H806" s="11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7"/>
      <c r="B807" s="7"/>
      <c r="C807" s="5"/>
      <c r="D807" s="5"/>
      <c r="E807" s="9"/>
      <c r="F807" s="9"/>
      <c r="G807" s="10"/>
      <c r="H807" s="11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7"/>
      <c r="B808" s="7"/>
      <c r="C808" s="5"/>
      <c r="D808" s="5"/>
      <c r="E808" s="9"/>
      <c r="F808" s="9"/>
      <c r="G808" s="10"/>
      <c r="H808" s="11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7"/>
      <c r="B809" s="7"/>
      <c r="C809" s="5"/>
      <c r="D809" s="5"/>
      <c r="E809" s="9"/>
      <c r="F809" s="9"/>
      <c r="G809" s="10"/>
      <c r="H809" s="11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7"/>
      <c r="B810" s="7"/>
      <c r="C810" s="5"/>
      <c r="D810" s="5"/>
      <c r="E810" s="9"/>
      <c r="F810" s="9"/>
      <c r="G810" s="10"/>
      <c r="H810" s="11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7"/>
      <c r="B811" s="7"/>
      <c r="C811" s="5"/>
      <c r="D811" s="5"/>
      <c r="E811" s="9"/>
      <c r="F811" s="9"/>
      <c r="G811" s="10"/>
      <c r="H811" s="11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7"/>
      <c r="B812" s="7"/>
      <c r="C812" s="5"/>
      <c r="D812" s="5"/>
      <c r="E812" s="9"/>
      <c r="F812" s="9"/>
      <c r="G812" s="10"/>
      <c r="H812" s="11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7"/>
      <c r="B813" s="7"/>
      <c r="C813" s="5"/>
      <c r="D813" s="5"/>
      <c r="E813" s="9"/>
      <c r="F813" s="9"/>
      <c r="G813" s="10"/>
      <c r="H813" s="11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7"/>
      <c r="B814" s="7"/>
      <c r="C814" s="5"/>
      <c r="D814" s="5"/>
      <c r="E814" s="9"/>
      <c r="F814" s="9"/>
      <c r="G814" s="10"/>
      <c r="H814" s="11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7"/>
      <c r="B815" s="7"/>
      <c r="C815" s="5"/>
      <c r="D815" s="5"/>
      <c r="E815" s="9"/>
      <c r="F815" s="9"/>
      <c r="G815" s="10"/>
      <c r="H815" s="11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7"/>
      <c r="B816" s="7"/>
      <c r="C816" s="5"/>
      <c r="D816" s="5"/>
      <c r="E816" s="9"/>
      <c r="F816" s="9"/>
      <c r="G816" s="10"/>
      <c r="H816" s="11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7"/>
      <c r="B817" s="7"/>
      <c r="C817" s="5"/>
      <c r="D817" s="5"/>
      <c r="E817" s="9"/>
      <c r="F817" s="9"/>
      <c r="G817" s="10"/>
      <c r="H817" s="11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7"/>
      <c r="B818" s="7"/>
      <c r="C818" s="5"/>
      <c r="D818" s="5"/>
      <c r="E818" s="9"/>
      <c r="F818" s="9"/>
      <c r="G818" s="10"/>
      <c r="H818" s="11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7"/>
      <c r="B819" s="7"/>
      <c r="C819" s="5"/>
      <c r="D819" s="5"/>
      <c r="E819" s="9"/>
      <c r="F819" s="9"/>
      <c r="G819" s="10"/>
      <c r="H819" s="11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7"/>
      <c r="B820" s="7"/>
      <c r="C820" s="5"/>
      <c r="D820" s="5"/>
      <c r="E820" s="9"/>
      <c r="F820" s="9"/>
      <c r="G820" s="10"/>
      <c r="H820" s="11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7"/>
      <c r="B821" s="7"/>
      <c r="C821" s="5"/>
      <c r="D821" s="5"/>
      <c r="E821" s="9"/>
      <c r="F821" s="9"/>
      <c r="G821" s="10"/>
      <c r="H821" s="11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7"/>
      <c r="B822" s="7"/>
      <c r="C822" s="5"/>
      <c r="D822" s="5"/>
      <c r="E822" s="9"/>
      <c r="F822" s="9"/>
      <c r="G822" s="10"/>
      <c r="H822" s="11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7"/>
      <c r="B823" s="7"/>
      <c r="C823" s="5"/>
      <c r="D823" s="5"/>
      <c r="E823" s="9"/>
      <c r="F823" s="9"/>
      <c r="G823" s="10"/>
      <c r="H823" s="11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7"/>
      <c r="B824" s="7"/>
      <c r="C824" s="5"/>
      <c r="D824" s="5"/>
      <c r="E824" s="9"/>
      <c r="F824" s="9"/>
      <c r="G824" s="10"/>
      <c r="H824" s="11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7"/>
      <c r="B825" s="7"/>
      <c r="C825" s="5"/>
      <c r="D825" s="5"/>
      <c r="E825" s="9"/>
      <c r="F825" s="9"/>
      <c r="G825" s="10"/>
      <c r="H825" s="11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7"/>
      <c r="B826" s="7"/>
      <c r="C826" s="5"/>
      <c r="D826" s="5"/>
      <c r="E826" s="9"/>
      <c r="F826" s="9"/>
      <c r="G826" s="10"/>
      <c r="H826" s="11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7"/>
      <c r="B827" s="7"/>
      <c r="C827" s="5"/>
      <c r="D827" s="5"/>
      <c r="E827" s="9"/>
      <c r="F827" s="9"/>
      <c r="G827" s="10"/>
      <c r="H827" s="11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7"/>
      <c r="B828" s="7"/>
      <c r="C828" s="5"/>
      <c r="D828" s="5"/>
      <c r="E828" s="9"/>
      <c r="F828" s="9"/>
      <c r="G828" s="10"/>
      <c r="H828" s="11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7"/>
      <c r="B829" s="7"/>
      <c r="C829" s="5"/>
      <c r="D829" s="5"/>
      <c r="E829" s="9"/>
      <c r="F829" s="9"/>
      <c r="G829" s="10"/>
      <c r="H829" s="11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7"/>
      <c r="B830" s="7"/>
      <c r="C830" s="5"/>
      <c r="D830" s="5"/>
      <c r="E830" s="9"/>
      <c r="F830" s="9"/>
      <c r="G830" s="10"/>
      <c r="H830" s="11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7"/>
      <c r="B831" s="7"/>
      <c r="C831" s="5"/>
      <c r="D831" s="5"/>
      <c r="E831" s="9"/>
      <c r="F831" s="9"/>
      <c r="G831" s="10"/>
      <c r="H831" s="11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7"/>
      <c r="B832" s="7"/>
      <c r="C832" s="5"/>
      <c r="D832" s="5"/>
      <c r="E832" s="9"/>
      <c r="F832" s="9"/>
      <c r="G832" s="10"/>
      <c r="H832" s="11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7"/>
      <c r="B833" s="7"/>
      <c r="C833" s="5"/>
      <c r="D833" s="5"/>
      <c r="E833" s="9"/>
      <c r="F833" s="9"/>
      <c r="G833" s="10"/>
      <c r="H833" s="11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7"/>
      <c r="B834" s="7"/>
      <c r="C834" s="5"/>
      <c r="D834" s="5"/>
      <c r="E834" s="9"/>
      <c r="F834" s="9"/>
      <c r="G834" s="10"/>
      <c r="H834" s="11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7"/>
      <c r="B835" s="7"/>
      <c r="C835" s="5"/>
      <c r="D835" s="5"/>
      <c r="E835" s="9"/>
      <c r="F835" s="9"/>
      <c r="G835" s="10"/>
      <c r="H835" s="11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7"/>
      <c r="B836" s="7"/>
      <c r="C836" s="5"/>
      <c r="D836" s="5"/>
      <c r="E836" s="9"/>
      <c r="F836" s="9"/>
      <c r="G836" s="10"/>
      <c r="H836" s="11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7"/>
      <c r="B837" s="7"/>
      <c r="C837" s="5"/>
      <c r="D837" s="5"/>
      <c r="E837" s="9"/>
      <c r="F837" s="9"/>
      <c r="G837" s="10"/>
      <c r="H837" s="11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7"/>
      <c r="B838" s="7"/>
      <c r="C838" s="5"/>
      <c r="D838" s="5"/>
      <c r="E838" s="9"/>
      <c r="F838" s="9"/>
      <c r="G838" s="10"/>
      <c r="H838" s="11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7"/>
      <c r="B839" s="7"/>
      <c r="C839" s="5"/>
      <c r="D839" s="5"/>
      <c r="E839" s="9"/>
      <c r="F839" s="9"/>
      <c r="G839" s="10"/>
      <c r="H839" s="11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7"/>
      <c r="B840" s="7"/>
      <c r="C840" s="5"/>
      <c r="D840" s="5"/>
      <c r="E840" s="9"/>
      <c r="F840" s="9"/>
      <c r="G840" s="10"/>
      <c r="H840" s="11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7"/>
      <c r="B841" s="7"/>
      <c r="C841" s="5"/>
      <c r="D841" s="5"/>
      <c r="E841" s="9"/>
      <c r="F841" s="9"/>
      <c r="G841" s="10"/>
      <c r="H841" s="11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7"/>
      <c r="B842" s="7"/>
      <c r="C842" s="5"/>
      <c r="D842" s="5"/>
      <c r="E842" s="9"/>
      <c r="F842" s="9"/>
      <c r="G842" s="10"/>
      <c r="H842" s="11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7"/>
      <c r="B843" s="7"/>
      <c r="C843" s="5"/>
      <c r="D843" s="5"/>
      <c r="E843" s="9"/>
      <c r="F843" s="9"/>
      <c r="G843" s="10"/>
      <c r="H843" s="11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7"/>
      <c r="B844" s="7"/>
      <c r="C844" s="5"/>
      <c r="D844" s="5"/>
      <c r="E844" s="9"/>
      <c r="F844" s="9"/>
      <c r="G844" s="10"/>
      <c r="H844" s="11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7"/>
      <c r="B845" s="7"/>
      <c r="C845" s="5"/>
      <c r="D845" s="5"/>
      <c r="E845" s="9"/>
      <c r="F845" s="9"/>
      <c r="G845" s="10"/>
      <c r="H845" s="11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7"/>
      <c r="B846" s="7"/>
      <c r="C846" s="5"/>
      <c r="D846" s="5"/>
      <c r="E846" s="9"/>
      <c r="F846" s="9"/>
      <c r="G846" s="10"/>
      <c r="H846" s="11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7"/>
      <c r="B847" s="7"/>
      <c r="C847" s="5"/>
      <c r="D847" s="5"/>
      <c r="E847" s="9"/>
      <c r="F847" s="9"/>
      <c r="G847" s="10"/>
      <c r="H847" s="11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7"/>
      <c r="B848" s="7"/>
      <c r="C848" s="5"/>
      <c r="D848" s="5"/>
      <c r="E848" s="9"/>
      <c r="F848" s="9"/>
      <c r="G848" s="10"/>
      <c r="H848" s="11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7"/>
      <c r="B849" s="7"/>
      <c r="C849" s="5"/>
      <c r="D849" s="5"/>
      <c r="E849" s="9"/>
      <c r="F849" s="9"/>
      <c r="G849" s="10"/>
      <c r="H849" s="11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7"/>
      <c r="B850" s="7"/>
      <c r="C850" s="5"/>
      <c r="D850" s="5"/>
      <c r="E850" s="9"/>
      <c r="F850" s="9"/>
      <c r="G850" s="10"/>
      <c r="H850" s="11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7"/>
      <c r="B851" s="7"/>
      <c r="C851" s="5"/>
      <c r="D851" s="5"/>
      <c r="E851" s="9"/>
      <c r="F851" s="9"/>
      <c r="G851" s="10"/>
      <c r="H851" s="11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7"/>
      <c r="B852" s="7"/>
      <c r="C852" s="5"/>
      <c r="D852" s="5"/>
      <c r="E852" s="9"/>
      <c r="F852" s="9"/>
      <c r="G852" s="10"/>
      <c r="H852" s="11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7"/>
      <c r="B853" s="7"/>
      <c r="C853" s="5"/>
      <c r="D853" s="5"/>
      <c r="E853" s="9"/>
      <c r="F853" s="9"/>
      <c r="G853" s="10"/>
      <c r="H853" s="11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7"/>
      <c r="B854" s="7"/>
      <c r="C854" s="5"/>
      <c r="D854" s="5"/>
      <c r="E854" s="9"/>
      <c r="F854" s="9"/>
      <c r="G854" s="10"/>
      <c r="H854" s="11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7"/>
      <c r="B855" s="7"/>
      <c r="C855" s="5"/>
      <c r="D855" s="5"/>
      <c r="E855" s="9"/>
      <c r="F855" s="9"/>
      <c r="G855" s="10"/>
      <c r="H855" s="11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7"/>
      <c r="B856" s="7"/>
      <c r="C856" s="5"/>
      <c r="D856" s="5"/>
      <c r="E856" s="9"/>
      <c r="F856" s="9"/>
      <c r="G856" s="10"/>
      <c r="H856" s="11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7"/>
      <c r="B857" s="7"/>
      <c r="C857" s="5"/>
      <c r="D857" s="5"/>
      <c r="E857" s="9"/>
      <c r="F857" s="9"/>
      <c r="G857" s="10"/>
      <c r="H857" s="11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7"/>
      <c r="B858" s="7"/>
      <c r="C858" s="5"/>
      <c r="D858" s="5"/>
      <c r="E858" s="9"/>
      <c r="F858" s="9"/>
      <c r="G858" s="10"/>
      <c r="H858" s="11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7"/>
      <c r="B859" s="7"/>
      <c r="C859" s="5"/>
      <c r="D859" s="5"/>
      <c r="E859" s="9"/>
      <c r="F859" s="9"/>
      <c r="G859" s="10"/>
      <c r="H859" s="11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7"/>
      <c r="B860" s="7"/>
      <c r="C860" s="5"/>
      <c r="D860" s="5"/>
      <c r="E860" s="9"/>
      <c r="F860" s="9"/>
      <c r="G860" s="10"/>
      <c r="H860" s="11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7"/>
      <c r="B861" s="7"/>
      <c r="C861" s="5"/>
      <c r="D861" s="5"/>
      <c r="E861" s="9"/>
      <c r="F861" s="9"/>
      <c r="G861" s="10"/>
      <c r="H861" s="11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7"/>
      <c r="B862" s="7"/>
      <c r="C862" s="5"/>
      <c r="D862" s="5"/>
      <c r="E862" s="9"/>
      <c r="F862" s="9"/>
      <c r="G862" s="10"/>
      <c r="H862" s="11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7"/>
      <c r="B863" s="7"/>
      <c r="C863" s="5"/>
      <c r="D863" s="5"/>
      <c r="E863" s="9"/>
      <c r="F863" s="9"/>
      <c r="G863" s="10"/>
      <c r="H863" s="11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7"/>
      <c r="B864" s="7"/>
      <c r="C864" s="5"/>
      <c r="D864" s="5"/>
      <c r="E864" s="9"/>
      <c r="F864" s="9"/>
      <c r="G864" s="10"/>
      <c r="H864" s="11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7"/>
      <c r="B865" s="7"/>
      <c r="C865" s="5"/>
      <c r="D865" s="5"/>
      <c r="E865" s="9"/>
      <c r="F865" s="9"/>
      <c r="G865" s="10"/>
      <c r="H865" s="11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7"/>
      <c r="B866" s="7"/>
      <c r="C866" s="5"/>
      <c r="D866" s="5"/>
      <c r="E866" s="9"/>
      <c r="F866" s="9"/>
      <c r="G866" s="10"/>
      <c r="H866" s="11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7"/>
      <c r="B867" s="7"/>
      <c r="C867" s="5"/>
      <c r="D867" s="5"/>
      <c r="E867" s="9"/>
      <c r="F867" s="9"/>
      <c r="G867" s="10"/>
      <c r="H867" s="11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7"/>
      <c r="B868" s="7"/>
      <c r="C868" s="5"/>
      <c r="D868" s="5"/>
      <c r="E868" s="9"/>
      <c r="F868" s="9"/>
      <c r="G868" s="10"/>
      <c r="H868" s="11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7"/>
      <c r="B869" s="7"/>
      <c r="C869" s="5"/>
      <c r="D869" s="5"/>
      <c r="E869" s="9"/>
      <c r="F869" s="9"/>
      <c r="G869" s="10"/>
      <c r="H869" s="11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7"/>
      <c r="B870" s="7"/>
      <c r="C870" s="5"/>
      <c r="D870" s="5"/>
      <c r="E870" s="9"/>
      <c r="F870" s="9"/>
      <c r="G870" s="10"/>
      <c r="H870" s="11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7"/>
      <c r="B871" s="7"/>
      <c r="C871" s="5"/>
      <c r="D871" s="5"/>
      <c r="E871" s="9"/>
      <c r="F871" s="9"/>
      <c r="G871" s="10"/>
      <c r="H871" s="11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7"/>
      <c r="B872" s="7"/>
      <c r="C872" s="5"/>
      <c r="D872" s="5"/>
      <c r="E872" s="9"/>
      <c r="F872" s="9"/>
      <c r="G872" s="10"/>
      <c r="H872" s="11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7"/>
      <c r="B873" s="7"/>
      <c r="C873" s="5"/>
      <c r="D873" s="5"/>
      <c r="E873" s="9"/>
      <c r="F873" s="9"/>
      <c r="G873" s="10"/>
      <c r="H873" s="11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7"/>
      <c r="B874" s="7"/>
      <c r="C874" s="5"/>
      <c r="D874" s="5"/>
      <c r="E874" s="9"/>
      <c r="F874" s="9"/>
      <c r="G874" s="10"/>
      <c r="H874" s="11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7"/>
      <c r="B875" s="7"/>
      <c r="C875" s="5"/>
      <c r="D875" s="5"/>
      <c r="E875" s="9"/>
      <c r="F875" s="9"/>
      <c r="G875" s="10"/>
      <c r="H875" s="11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7"/>
      <c r="B876" s="7"/>
      <c r="C876" s="5"/>
      <c r="D876" s="5"/>
      <c r="E876" s="9"/>
      <c r="F876" s="9"/>
      <c r="G876" s="10"/>
      <c r="H876" s="11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7"/>
      <c r="B877" s="7"/>
      <c r="C877" s="5"/>
      <c r="D877" s="5"/>
      <c r="E877" s="9"/>
      <c r="F877" s="9"/>
      <c r="G877" s="10"/>
      <c r="H877" s="11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7"/>
      <c r="B878" s="7"/>
      <c r="C878" s="5"/>
      <c r="D878" s="5"/>
      <c r="E878" s="9"/>
      <c r="F878" s="9"/>
      <c r="G878" s="10"/>
      <c r="H878" s="11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7"/>
      <c r="B879" s="7"/>
      <c r="C879" s="5"/>
      <c r="D879" s="5"/>
      <c r="E879" s="9"/>
      <c r="F879" s="9"/>
      <c r="G879" s="10"/>
      <c r="H879" s="11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7"/>
      <c r="B880" s="7"/>
      <c r="C880" s="5"/>
      <c r="D880" s="5"/>
      <c r="E880" s="9"/>
      <c r="F880" s="9"/>
      <c r="G880" s="10"/>
      <c r="H880" s="11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7"/>
      <c r="B881" s="7"/>
      <c r="C881" s="5"/>
      <c r="D881" s="5"/>
      <c r="E881" s="9"/>
      <c r="F881" s="9"/>
      <c r="G881" s="10"/>
      <c r="H881" s="11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7"/>
      <c r="B882" s="7"/>
      <c r="C882" s="5"/>
      <c r="D882" s="5"/>
      <c r="E882" s="9"/>
      <c r="F882" s="9"/>
      <c r="G882" s="10"/>
      <c r="H882" s="11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7"/>
      <c r="B883" s="7"/>
      <c r="C883" s="5"/>
      <c r="D883" s="5"/>
      <c r="E883" s="9"/>
      <c r="F883" s="9"/>
      <c r="G883" s="10"/>
      <c r="H883" s="11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7"/>
      <c r="B884" s="7"/>
      <c r="C884" s="5"/>
      <c r="D884" s="5"/>
      <c r="E884" s="9"/>
      <c r="F884" s="9"/>
      <c r="G884" s="10"/>
      <c r="H884" s="11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7"/>
      <c r="B885" s="7"/>
      <c r="C885" s="5"/>
      <c r="D885" s="5"/>
      <c r="E885" s="9"/>
      <c r="F885" s="9"/>
      <c r="G885" s="10"/>
      <c r="H885" s="11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7"/>
      <c r="B886" s="7"/>
      <c r="C886" s="5"/>
      <c r="D886" s="5"/>
      <c r="E886" s="9"/>
      <c r="F886" s="9"/>
      <c r="G886" s="10"/>
      <c r="H886" s="11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7"/>
      <c r="B887" s="7"/>
      <c r="C887" s="5"/>
      <c r="D887" s="5"/>
      <c r="E887" s="9"/>
      <c r="F887" s="9"/>
      <c r="G887" s="10"/>
      <c r="H887" s="11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7"/>
      <c r="B888" s="7"/>
      <c r="C888" s="5"/>
      <c r="D888" s="5"/>
      <c r="E888" s="9"/>
      <c r="F888" s="9"/>
      <c r="G888" s="10"/>
      <c r="H888" s="11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7"/>
      <c r="B889" s="7"/>
      <c r="C889" s="5"/>
      <c r="D889" s="5"/>
      <c r="E889" s="9"/>
      <c r="F889" s="9"/>
      <c r="G889" s="10"/>
      <c r="H889" s="11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7"/>
      <c r="B890" s="7"/>
      <c r="C890" s="5"/>
      <c r="D890" s="5"/>
      <c r="E890" s="9"/>
      <c r="F890" s="9"/>
      <c r="G890" s="10"/>
      <c r="H890" s="11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7"/>
      <c r="B891" s="7"/>
      <c r="C891" s="5"/>
      <c r="D891" s="5"/>
      <c r="E891" s="9"/>
      <c r="F891" s="9"/>
      <c r="G891" s="10"/>
      <c r="H891" s="11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7"/>
      <c r="B892" s="7"/>
      <c r="C892" s="5"/>
      <c r="D892" s="5"/>
      <c r="E892" s="9"/>
      <c r="F892" s="9"/>
      <c r="G892" s="10"/>
      <c r="H892" s="11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7"/>
      <c r="B893" s="7"/>
      <c r="C893" s="5"/>
      <c r="D893" s="5"/>
      <c r="E893" s="9"/>
      <c r="F893" s="9"/>
      <c r="G893" s="10"/>
      <c r="H893" s="11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7"/>
      <c r="B894" s="7"/>
      <c r="C894" s="5"/>
      <c r="D894" s="5"/>
      <c r="E894" s="9"/>
      <c r="F894" s="9"/>
      <c r="G894" s="10"/>
      <c r="H894" s="11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7"/>
      <c r="B895" s="7"/>
      <c r="C895" s="5"/>
      <c r="D895" s="5"/>
      <c r="E895" s="9"/>
      <c r="F895" s="9"/>
      <c r="G895" s="10"/>
      <c r="H895" s="11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7"/>
      <c r="B896" s="7"/>
      <c r="C896" s="5"/>
      <c r="D896" s="5"/>
      <c r="E896" s="9"/>
      <c r="F896" s="9"/>
      <c r="G896" s="10"/>
      <c r="H896" s="11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7"/>
      <c r="B897" s="7"/>
      <c r="C897" s="5"/>
      <c r="D897" s="5"/>
      <c r="E897" s="9"/>
      <c r="F897" s="9"/>
      <c r="G897" s="10"/>
      <c r="H897" s="11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7"/>
      <c r="B898" s="7"/>
      <c r="C898" s="5"/>
      <c r="D898" s="5"/>
      <c r="E898" s="9"/>
      <c r="F898" s="9"/>
      <c r="G898" s="10"/>
      <c r="H898" s="11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7"/>
      <c r="B899" s="7"/>
      <c r="C899" s="5"/>
      <c r="D899" s="5"/>
      <c r="E899" s="9"/>
      <c r="F899" s="9"/>
      <c r="G899" s="10"/>
      <c r="H899" s="11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7"/>
      <c r="B900" s="7"/>
      <c r="C900" s="5"/>
      <c r="D900" s="5"/>
      <c r="E900" s="9"/>
      <c r="F900" s="9"/>
      <c r="G900" s="10"/>
      <c r="H900" s="11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7"/>
      <c r="B901" s="7"/>
      <c r="C901" s="5"/>
      <c r="D901" s="5"/>
      <c r="E901" s="9"/>
      <c r="F901" s="9"/>
      <c r="G901" s="10"/>
      <c r="H901" s="11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7"/>
      <c r="B902" s="7"/>
      <c r="C902" s="5"/>
      <c r="D902" s="5"/>
      <c r="E902" s="9"/>
      <c r="F902" s="9"/>
      <c r="G902" s="10"/>
      <c r="H902" s="11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7"/>
      <c r="B903" s="7"/>
      <c r="C903" s="5"/>
      <c r="D903" s="5"/>
      <c r="E903" s="9"/>
      <c r="F903" s="9"/>
      <c r="G903" s="10"/>
      <c r="H903" s="11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7"/>
      <c r="B904" s="7"/>
      <c r="C904" s="5"/>
      <c r="D904" s="5"/>
      <c r="E904" s="9"/>
      <c r="F904" s="9"/>
      <c r="G904" s="10"/>
      <c r="H904" s="11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7"/>
      <c r="B905" s="7"/>
      <c r="C905" s="5"/>
      <c r="D905" s="5"/>
      <c r="E905" s="9"/>
      <c r="F905" s="9"/>
      <c r="G905" s="10"/>
      <c r="H905" s="11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7"/>
      <c r="B906" s="7"/>
      <c r="C906" s="5"/>
      <c r="D906" s="5"/>
      <c r="E906" s="9"/>
      <c r="F906" s="9"/>
      <c r="G906" s="10"/>
      <c r="H906" s="11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7"/>
      <c r="B907" s="7"/>
      <c r="C907" s="5"/>
      <c r="D907" s="5"/>
      <c r="E907" s="9"/>
      <c r="F907" s="9"/>
      <c r="G907" s="10"/>
      <c r="H907" s="11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7"/>
      <c r="B908" s="7"/>
      <c r="C908" s="5"/>
      <c r="D908" s="5"/>
      <c r="E908" s="9"/>
      <c r="F908" s="9"/>
      <c r="G908" s="10"/>
      <c r="H908" s="11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7"/>
      <c r="B909" s="7"/>
      <c r="C909" s="5"/>
      <c r="D909" s="5"/>
      <c r="E909" s="9"/>
      <c r="F909" s="9"/>
      <c r="G909" s="10"/>
      <c r="H909" s="11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7"/>
      <c r="B910" s="7"/>
      <c r="C910" s="5"/>
      <c r="D910" s="5"/>
      <c r="E910" s="9"/>
      <c r="F910" s="9"/>
      <c r="G910" s="10"/>
      <c r="H910" s="11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7"/>
      <c r="B911" s="7"/>
      <c r="C911" s="5"/>
      <c r="D911" s="5"/>
      <c r="E911" s="9"/>
      <c r="F911" s="9"/>
      <c r="G911" s="10"/>
      <c r="H911" s="11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7"/>
      <c r="B912" s="7"/>
      <c r="C912" s="5"/>
      <c r="D912" s="5"/>
      <c r="E912" s="9"/>
      <c r="F912" s="9"/>
      <c r="G912" s="10"/>
      <c r="H912" s="11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7"/>
      <c r="B913" s="7"/>
      <c r="C913" s="5"/>
      <c r="D913" s="5"/>
      <c r="E913" s="9"/>
      <c r="F913" s="9"/>
      <c r="G913" s="10"/>
      <c r="H913" s="11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7"/>
      <c r="B914" s="7"/>
      <c r="C914" s="5"/>
      <c r="D914" s="5"/>
      <c r="E914" s="9"/>
      <c r="F914" s="9"/>
      <c r="G914" s="10"/>
      <c r="H914" s="11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7"/>
      <c r="B915" s="7"/>
      <c r="C915" s="5"/>
      <c r="D915" s="5"/>
      <c r="E915" s="9"/>
      <c r="F915" s="9"/>
      <c r="G915" s="10"/>
      <c r="H915" s="11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7"/>
      <c r="B916" s="7"/>
      <c r="C916" s="5"/>
      <c r="D916" s="5"/>
      <c r="E916" s="9"/>
      <c r="F916" s="9"/>
      <c r="G916" s="10"/>
      <c r="H916" s="11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7"/>
      <c r="B917" s="7"/>
      <c r="C917" s="5"/>
      <c r="D917" s="5"/>
      <c r="E917" s="9"/>
      <c r="F917" s="9"/>
      <c r="G917" s="10"/>
      <c r="H917" s="11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7"/>
      <c r="B918" s="7"/>
      <c r="C918" s="5"/>
      <c r="D918" s="5"/>
      <c r="E918" s="9"/>
      <c r="F918" s="9"/>
      <c r="G918" s="10"/>
      <c r="H918" s="11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7"/>
      <c r="B919" s="7"/>
      <c r="C919" s="5"/>
      <c r="D919" s="5"/>
      <c r="E919" s="9"/>
      <c r="F919" s="9"/>
      <c r="G919" s="10"/>
      <c r="H919" s="11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7"/>
      <c r="B920" s="7"/>
      <c r="C920" s="5"/>
      <c r="D920" s="5"/>
      <c r="E920" s="9"/>
      <c r="F920" s="9"/>
      <c r="G920" s="10"/>
      <c r="H920" s="11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7"/>
      <c r="B921" s="7"/>
      <c r="C921" s="5"/>
      <c r="D921" s="5"/>
      <c r="E921" s="9"/>
      <c r="F921" s="9"/>
      <c r="G921" s="10"/>
      <c r="H921" s="11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7"/>
      <c r="B922" s="7"/>
      <c r="C922" s="5"/>
      <c r="D922" s="5"/>
      <c r="E922" s="9"/>
      <c r="F922" s="9"/>
      <c r="G922" s="10"/>
      <c r="H922" s="11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7"/>
      <c r="B923" s="7"/>
      <c r="C923" s="5"/>
      <c r="D923" s="5"/>
      <c r="E923" s="9"/>
      <c r="F923" s="9"/>
      <c r="G923" s="10"/>
      <c r="H923" s="11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7"/>
      <c r="B924" s="7"/>
      <c r="C924" s="5"/>
      <c r="D924" s="5"/>
      <c r="E924" s="9"/>
      <c r="F924" s="9"/>
      <c r="G924" s="10"/>
      <c r="H924" s="11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7"/>
      <c r="B925" s="7"/>
      <c r="C925" s="5"/>
      <c r="D925" s="5"/>
      <c r="E925" s="9"/>
      <c r="F925" s="9"/>
      <c r="G925" s="10"/>
      <c r="H925" s="11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7"/>
      <c r="B926" s="7"/>
      <c r="C926" s="5"/>
      <c r="D926" s="5"/>
      <c r="E926" s="9"/>
      <c r="F926" s="9"/>
      <c r="G926" s="10"/>
      <c r="H926" s="11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7"/>
      <c r="B927" s="7"/>
      <c r="C927" s="5"/>
      <c r="D927" s="5"/>
      <c r="E927" s="9"/>
      <c r="F927" s="9"/>
      <c r="G927" s="10"/>
      <c r="H927" s="11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7"/>
      <c r="B928" s="7"/>
      <c r="C928" s="5"/>
      <c r="D928" s="5"/>
      <c r="E928" s="9"/>
      <c r="F928" s="9"/>
      <c r="G928" s="10"/>
      <c r="H928" s="11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7"/>
      <c r="B929" s="7"/>
      <c r="C929" s="5"/>
      <c r="D929" s="5"/>
      <c r="E929" s="9"/>
      <c r="F929" s="9"/>
      <c r="G929" s="10"/>
      <c r="H929" s="11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7"/>
      <c r="B930" s="7"/>
      <c r="C930" s="5"/>
      <c r="D930" s="5"/>
      <c r="E930" s="9"/>
      <c r="F930" s="9"/>
      <c r="G930" s="10"/>
      <c r="H930" s="11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7"/>
      <c r="B931" s="7"/>
      <c r="C931" s="5"/>
      <c r="D931" s="5"/>
      <c r="E931" s="9"/>
      <c r="F931" s="9"/>
      <c r="G931" s="10"/>
      <c r="H931" s="11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7"/>
      <c r="B932" s="7"/>
      <c r="C932" s="5"/>
      <c r="D932" s="5"/>
      <c r="E932" s="9"/>
      <c r="F932" s="9"/>
      <c r="G932" s="10"/>
      <c r="H932" s="11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7"/>
      <c r="B933" s="7"/>
      <c r="C933" s="5"/>
      <c r="D933" s="5"/>
      <c r="E933" s="9"/>
      <c r="F933" s="9"/>
      <c r="G933" s="10"/>
      <c r="H933" s="11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7"/>
      <c r="B934" s="7"/>
      <c r="C934" s="5"/>
      <c r="D934" s="5"/>
      <c r="E934" s="9"/>
      <c r="F934" s="9"/>
      <c r="G934" s="10"/>
      <c r="H934" s="11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7"/>
      <c r="B935" s="7"/>
      <c r="C935" s="5"/>
      <c r="D935" s="5"/>
      <c r="E935" s="9"/>
      <c r="F935" s="9"/>
      <c r="G935" s="10"/>
      <c r="H935" s="11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7"/>
      <c r="B936" s="7"/>
      <c r="C936" s="5"/>
      <c r="D936" s="5"/>
      <c r="E936" s="9"/>
      <c r="F936" s="9"/>
      <c r="G936" s="10"/>
      <c r="H936" s="11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7"/>
      <c r="B937" s="7"/>
      <c r="C937" s="5"/>
      <c r="D937" s="5"/>
      <c r="E937" s="9"/>
      <c r="F937" s="9"/>
      <c r="G937" s="10"/>
      <c r="H937" s="11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7"/>
      <c r="B938" s="7"/>
      <c r="C938" s="5"/>
      <c r="D938" s="5"/>
      <c r="E938" s="9"/>
      <c r="F938" s="9"/>
      <c r="G938" s="10"/>
      <c r="H938" s="11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7"/>
      <c r="B939" s="7"/>
      <c r="C939" s="5"/>
      <c r="D939" s="5"/>
      <c r="E939" s="9"/>
      <c r="F939" s="9"/>
      <c r="G939" s="10"/>
      <c r="H939" s="11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7"/>
      <c r="B940" s="7"/>
      <c r="C940" s="5"/>
      <c r="D940" s="5"/>
      <c r="E940" s="9"/>
      <c r="F940" s="9"/>
      <c r="G940" s="10"/>
      <c r="H940" s="11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7"/>
      <c r="B941" s="7"/>
      <c r="C941" s="5"/>
      <c r="D941" s="5"/>
      <c r="E941" s="9"/>
      <c r="F941" s="9"/>
      <c r="G941" s="10"/>
      <c r="H941" s="11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7"/>
      <c r="B942" s="7"/>
      <c r="C942" s="5"/>
      <c r="D942" s="5"/>
      <c r="E942" s="9"/>
      <c r="F942" s="9"/>
      <c r="G942" s="10"/>
      <c r="H942" s="11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7"/>
      <c r="B943" s="7"/>
      <c r="C943" s="5"/>
      <c r="D943" s="5"/>
      <c r="E943" s="9"/>
      <c r="F943" s="9"/>
      <c r="G943" s="10"/>
      <c r="H943" s="11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7"/>
      <c r="B944" s="7"/>
      <c r="C944" s="5"/>
      <c r="D944" s="5"/>
      <c r="E944" s="9"/>
      <c r="F944" s="9"/>
      <c r="G944" s="10"/>
      <c r="H944" s="11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7"/>
      <c r="B945" s="7"/>
      <c r="C945" s="5"/>
      <c r="D945" s="5"/>
      <c r="E945" s="9"/>
      <c r="F945" s="9"/>
      <c r="G945" s="10"/>
      <c r="H945" s="11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7"/>
      <c r="B946" s="7"/>
      <c r="C946" s="5"/>
      <c r="D946" s="5"/>
      <c r="E946" s="9"/>
      <c r="F946" s="9"/>
      <c r="G946" s="10"/>
      <c r="H946" s="11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7"/>
      <c r="B947" s="7"/>
      <c r="C947" s="5"/>
      <c r="D947" s="5"/>
      <c r="E947" s="9"/>
      <c r="F947" s="9"/>
      <c r="G947" s="10"/>
      <c r="H947" s="11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7"/>
      <c r="B948" s="7"/>
      <c r="C948" s="5"/>
      <c r="D948" s="5"/>
      <c r="E948" s="9"/>
      <c r="F948" s="9"/>
      <c r="G948" s="10"/>
      <c r="H948" s="11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7"/>
      <c r="B949" s="7"/>
      <c r="C949" s="5"/>
      <c r="D949" s="5"/>
      <c r="E949" s="9"/>
      <c r="F949" s="9"/>
      <c r="G949" s="10"/>
      <c r="H949" s="11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7"/>
      <c r="B950" s="7"/>
      <c r="C950" s="5"/>
      <c r="D950" s="5"/>
      <c r="E950" s="9"/>
      <c r="F950" s="9"/>
      <c r="G950" s="10"/>
      <c r="H950" s="11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7"/>
      <c r="B951" s="7"/>
      <c r="C951" s="5"/>
      <c r="D951" s="5"/>
      <c r="E951" s="9"/>
      <c r="F951" s="9"/>
      <c r="G951" s="10"/>
      <c r="H951" s="11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7"/>
      <c r="B952" s="7"/>
      <c r="C952" s="5"/>
      <c r="D952" s="5"/>
      <c r="E952" s="9"/>
      <c r="F952" s="9"/>
      <c r="G952" s="10"/>
      <c r="H952" s="11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7"/>
      <c r="B953" s="7"/>
      <c r="C953" s="5"/>
      <c r="D953" s="5"/>
      <c r="E953" s="9"/>
      <c r="F953" s="9"/>
      <c r="G953" s="10"/>
      <c r="H953" s="11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7"/>
      <c r="B954" s="7"/>
      <c r="C954" s="5"/>
      <c r="D954" s="5"/>
      <c r="E954" s="9"/>
      <c r="F954" s="9"/>
      <c r="G954" s="10"/>
      <c r="H954" s="11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7"/>
      <c r="B955" s="7"/>
      <c r="C955" s="5"/>
      <c r="D955" s="5"/>
      <c r="E955" s="9"/>
      <c r="F955" s="9"/>
      <c r="G955" s="10"/>
      <c r="H955" s="11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7"/>
      <c r="B956" s="7"/>
      <c r="C956" s="5"/>
      <c r="D956" s="5"/>
      <c r="E956" s="9"/>
      <c r="F956" s="9"/>
      <c r="G956" s="10"/>
      <c r="H956" s="11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7"/>
      <c r="B957" s="7"/>
      <c r="C957" s="5"/>
      <c r="D957" s="5"/>
      <c r="E957" s="9"/>
      <c r="F957" s="9"/>
      <c r="G957" s="10"/>
      <c r="H957" s="11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7"/>
      <c r="B958" s="7"/>
      <c r="C958" s="5"/>
      <c r="D958" s="5"/>
      <c r="E958" s="9"/>
      <c r="F958" s="9"/>
      <c r="G958" s="10"/>
      <c r="H958" s="11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7"/>
      <c r="B959" s="7"/>
      <c r="C959" s="5"/>
      <c r="D959" s="5"/>
      <c r="E959" s="9"/>
      <c r="F959" s="9"/>
      <c r="G959" s="10"/>
      <c r="H959" s="11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7"/>
      <c r="B960" s="7"/>
      <c r="C960" s="5"/>
      <c r="D960" s="5"/>
      <c r="E960" s="9"/>
      <c r="F960" s="9"/>
      <c r="G960" s="10"/>
      <c r="H960" s="11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7"/>
      <c r="B961" s="7"/>
      <c r="C961" s="5"/>
      <c r="D961" s="5"/>
      <c r="E961" s="9"/>
      <c r="F961" s="9"/>
      <c r="G961" s="10"/>
      <c r="H961" s="11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7"/>
      <c r="B962" s="7"/>
      <c r="C962" s="5"/>
      <c r="D962" s="5"/>
      <c r="E962" s="9"/>
      <c r="F962" s="9"/>
      <c r="G962" s="10"/>
      <c r="H962" s="11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7"/>
      <c r="B963" s="7"/>
      <c r="C963" s="5"/>
      <c r="D963" s="5"/>
      <c r="E963" s="9"/>
      <c r="F963" s="9"/>
      <c r="G963" s="10"/>
      <c r="H963" s="11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7"/>
      <c r="B964" s="7"/>
      <c r="C964" s="5"/>
      <c r="D964" s="5"/>
      <c r="E964" s="9"/>
      <c r="F964" s="9"/>
      <c r="G964" s="10"/>
      <c r="H964" s="11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7"/>
      <c r="B965" s="7"/>
      <c r="C965" s="5"/>
      <c r="D965" s="5"/>
      <c r="E965" s="9"/>
      <c r="F965" s="9"/>
      <c r="G965" s="10"/>
      <c r="H965" s="11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7"/>
      <c r="B966" s="7"/>
      <c r="C966" s="5"/>
      <c r="D966" s="5"/>
      <c r="E966" s="9"/>
      <c r="F966" s="9"/>
      <c r="G966" s="10"/>
      <c r="H966" s="11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7"/>
      <c r="B967" s="7"/>
      <c r="C967" s="5"/>
      <c r="D967" s="5"/>
      <c r="E967" s="9"/>
      <c r="F967" s="9"/>
      <c r="G967" s="10"/>
      <c r="H967" s="11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7"/>
      <c r="B968" s="7"/>
      <c r="C968" s="5"/>
      <c r="D968" s="5"/>
      <c r="E968" s="9"/>
      <c r="F968" s="9"/>
      <c r="G968" s="10"/>
      <c r="H968" s="11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7"/>
      <c r="B969" s="7"/>
      <c r="C969" s="5"/>
      <c r="D969" s="5"/>
      <c r="E969" s="9"/>
      <c r="F969" s="9"/>
      <c r="G969" s="10"/>
      <c r="H969" s="11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7"/>
      <c r="B970" s="7"/>
      <c r="C970" s="5"/>
      <c r="D970" s="5"/>
      <c r="E970" s="9"/>
      <c r="F970" s="9"/>
      <c r="G970" s="10"/>
      <c r="H970" s="11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7"/>
      <c r="B971" s="7"/>
      <c r="C971" s="5"/>
      <c r="D971" s="5"/>
      <c r="E971" s="9"/>
      <c r="F971" s="9"/>
      <c r="G971" s="10"/>
      <c r="H971" s="11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7"/>
      <c r="B972" s="7"/>
      <c r="C972" s="5"/>
      <c r="D972" s="5"/>
      <c r="E972" s="9"/>
      <c r="F972" s="9"/>
      <c r="G972" s="10"/>
      <c r="H972" s="11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7"/>
      <c r="B973" s="7"/>
      <c r="C973" s="5"/>
      <c r="D973" s="5"/>
      <c r="E973" s="9"/>
      <c r="F973" s="9"/>
      <c r="G973" s="10"/>
      <c r="H973" s="11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7"/>
      <c r="B974" s="7"/>
      <c r="C974" s="5"/>
      <c r="D974" s="5"/>
      <c r="E974" s="9"/>
      <c r="F974" s="9"/>
      <c r="G974" s="10"/>
      <c r="H974" s="11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7"/>
      <c r="B975" s="7"/>
      <c r="C975" s="5"/>
      <c r="D975" s="5"/>
      <c r="E975" s="9"/>
      <c r="F975" s="9"/>
      <c r="G975" s="10"/>
      <c r="H975" s="11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7"/>
      <c r="B976" s="7"/>
      <c r="C976" s="5"/>
      <c r="D976" s="5"/>
      <c r="E976" s="9"/>
      <c r="F976" s="9"/>
      <c r="G976" s="10"/>
      <c r="H976" s="11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7"/>
      <c r="B977" s="7"/>
      <c r="C977" s="5"/>
      <c r="D977" s="5"/>
      <c r="E977" s="9"/>
      <c r="F977" s="9"/>
      <c r="G977" s="10"/>
      <c r="H977" s="11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7"/>
      <c r="B978" s="7"/>
      <c r="C978" s="5"/>
      <c r="D978" s="5"/>
      <c r="E978" s="9"/>
      <c r="F978" s="9"/>
      <c r="G978" s="10"/>
      <c r="H978" s="11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7"/>
      <c r="B979" s="7"/>
      <c r="C979" s="5"/>
      <c r="D979" s="5"/>
      <c r="E979" s="9"/>
      <c r="F979" s="9"/>
      <c r="G979" s="10"/>
      <c r="H979" s="11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7"/>
      <c r="B980" s="7"/>
      <c r="C980" s="5"/>
      <c r="D980" s="5"/>
      <c r="E980" s="9"/>
      <c r="F980" s="9"/>
      <c r="G980" s="10"/>
      <c r="H980" s="11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7"/>
      <c r="B981" s="7"/>
      <c r="C981" s="5"/>
      <c r="D981" s="5"/>
      <c r="E981" s="9"/>
      <c r="F981" s="9"/>
      <c r="G981" s="10"/>
      <c r="H981" s="11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7"/>
      <c r="B982" s="7"/>
      <c r="C982" s="5"/>
      <c r="D982" s="5"/>
      <c r="E982" s="9"/>
      <c r="F982" s="9"/>
      <c r="G982" s="10"/>
      <c r="H982" s="11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7"/>
      <c r="B983" s="7"/>
      <c r="C983" s="5"/>
      <c r="D983" s="5"/>
      <c r="E983" s="9"/>
      <c r="F983" s="9"/>
      <c r="G983" s="10"/>
      <c r="H983" s="11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7"/>
      <c r="B984" s="7"/>
      <c r="C984" s="5"/>
      <c r="D984" s="5"/>
      <c r="E984" s="9"/>
      <c r="F984" s="9"/>
      <c r="G984" s="10"/>
      <c r="H984" s="11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7"/>
      <c r="B985" s="7"/>
      <c r="C985" s="5"/>
      <c r="D985" s="5"/>
      <c r="E985" s="9"/>
      <c r="F985" s="9"/>
      <c r="G985" s="10"/>
      <c r="H985" s="11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7"/>
      <c r="B986" s="7"/>
      <c r="C986" s="5"/>
      <c r="D986" s="5"/>
      <c r="E986" s="9"/>
      <c r="F986" s="9"/>
      <c r="G986" s="10"/>
      <c r="H986" s="11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7"/>
      <c r="B987" s="7"/>
      <c r="C987" s="5"/>
      <c r="D987" s="5"/>
      <c r="E987" s="9"/>
      <c r="F987" s="9"/>
      <c r="G987" s="10"/>
      <c r="H987" s="11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7"/>
      <c r="B988" s="7"/>
      <c r="C988" s="5"/>
      <c r="D988" s="5"/>
      <c r="E988" s="9"/>
      <c r="F988" s="9"/>
      <c r="G988" s="10"/>
      <c r="H988" s="11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7"/>
      <c r="B989" s="7"/>
      <c r="C989" s="5"/>
      <c r="D989" s="5"/>
      <c r="E989" s="9"/>
      <c r="F989" s="9"/>
      <c r="G989" s="10"/>
      <c r="H989" s="11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7"/>
      <c r="B990" s="7"/>
      <c r="C990" s="5"/>
      <c r="D990" s="5"/>
      <c r="E990" s="9"/>
      <c r="F990" s="9"/>
      <c r="G990" s="10"/>
      <c r="H990" s="11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7"/>
      <c r="B991" s="7"/>
      <c r="C991" s="5"/>
      <c r="D991" s="5"/>
      <c r="E991" s="9"/>
      <c r="F991" s="9"/>
      <c r="G991" s="10"/>
      <c r="H991" s="11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7"/>
      <c r="B992" s="7"/>
      <c r="C992" s="5"/>
      <c r="D992" s="5"/>
      <c r="E992" s="9"/>
      <c r="F992" s="9"/>
      <c r="G992" s="10"/>
      <c r="H992" s="11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7"/>
      <c r="B993" s="7"/>
      <c r="C993" s="5"/>
      <c r="D993" s="5"/>
      <c r="E993" s="9"/>
      <c r="F993" s="9"/>
      <c r="G993" s="10"/>
      <c r="H993" s="11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7"/>
      <c r="B994" s="7"/>
      <c r="C994" s="5"/>
      <c r="D994" s="5"/>
      <c r="E994" s="9"/>
      <c r="F994" s="9"/>
      <c r="G994" s="10"/>
      <c r="H994" s="11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7"/>
      <c r="B995" s="7"/>
      <c r="C995" s="5"/>
      <c r="D995" s="5"/>
      <c r="E995" s="9"/>
      <c r="F995" s="9"/>
      <c r="G995" s="10"/>
      <c r="H995" s="11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7"/>
      <c r="B996" s="7"/>
      <c r="C996" s="5"/>
      <c r="D996" s="5"/>
      <c r="E996" s="9"/>
      <c r="F996" s="9"/>
      <c r="G996" s="10"/>
      <c r="H996" s="11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7"/>
      <c r="B997" s="7"/>
      <c r="C997" s="5"/>
      <c r="D997" s="5"/>
      <c r="E997" s="9"/>
      <c r="F997" s="9"/>
      <c r="G997" s="10"/>
      <c r="H997" s="11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7"/>
      <c r="B998" s="7"/>
      <c r="C998" s="5"/>
      <c r="D998" s="5"/>
      <c r="E998" s="9"/>
      <c r="F998" s="9"/>
      <c r="G998" s="10"/>
      <c r="H998" s="11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7"/>
      <c r="B999" s="7"/>
      <c r="C999" s="5"/>
      <c r="D999" s="5"/>
      <c r="E999" s="9"/>
      <c r="F999" s="9"/>
      <c r="G999" s="10"/>
      <c r="H999" s="11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7"/>
      <c r="B1000" s="7"/>
      <c r="C1000" s="5"/>
      <c r="D1000" s="5"/>
      <c r="E1000" s="9"/>
      <c r="F1000" s="9"/>
      <c r="G1000" s="10"/>
      <c r="H1000" s="11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7:$H$38"/>
  <mergeCells count="3">
    <mergeCell ref="A3:H3"/>
    <mergeCell ref="A4:H4"/>
    <mergeCell ref="A41:B41"/>
  </mergeCells>
  <printOptions/>
  <pageMargins bottom="0.75" footer="0.0" header="0.0" left="0.7" right="0.2" top="0.75"/>
  <pageSetup paperSize="9" orientation="portrait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14"/>
    <col customWidth="1" min="2" max="2" width="25.57"/>
    <col customWidth="1" min="3" max="3" width="12.43"/>
    <col customWidth="1" min="4" max="4" width="5.57"/>
    <col customWidth="1" min="5" max="7" width="12.43"/>
    <col customWidth="1" min="8" max="8" width="15.29"/>
    <col customWidth="1" min="9" max="11" width="9.14"/>
    <col customWidth="1" min="12" max="26" width="8.71"/>
  </cols>
  <sheetData>
    <row r="1" ht="6.75" customHeight="1">
      <c r="A1" s="7"/>
      <c r="B1" s="7"/>
      <c r="C1" s="5"/>
      <c r="D1" s="5"/>
      <c r="E1" s="9"/>
      <c r="F1" s="9"/>
      <c r="G1" s="10"/>
      <c r="H1" s="11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.5" hidden="1" customHeight="1">
      <c r="A2" s="7"/>
      <c r="B2" s="7"/>
      <c r="C2" s="5"/>
      <c r="D2" s="5"/>
      <c r="E2" s="9"/>
      <c r="F2" s="9"/>
      <c r="G2" s="10"/>
      <c r="H2" s="11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2" t="s">
        <v>0</v>
      </c>
      <c r="B3" s="3"/>
      <c r="C3" s="3"/>
      <c r="D3" s="3"/>
      <c r="E3" s="3"/>
      <c r="F3" s="3"/>
      <c r="G3" s="3"/>
      <c r="H3" s="4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6" t="s">
        <v>2</v>
      </c>
      <c r="B4" s="3"/>
      <c r="C4" s="3"/>
      <c r="D4" s="3"/>
      <c r="E4" s="3"/>
      <c r="F4" s="3"/>
      <c r="G4" s="3"/>
      <c r="H4" s="4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6.5" customHeight="1">
      <c r="A5" s="7"/>
      <c r="B5" s="7"/>
      <c r="C5" s="5"/>
      <c r="D5" s="5"/>
      <c r="E5" s="9"/>
      <c r="F5" s="9"/>
      <c r="G5" s="10"/>
      <c r="H5" s="11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7"/>
      <c r="B6" s="7"/>
      <c r="C6" s="5"/>
      <c r="D6" s="5"/>
      <c r="E6" s="9"/>
      <c r="F6" s="9"/>
      <c r="G6" s="10"/>
      <c r="H6" s="11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6.5" customHeight="1">
      <c r="A7" s="12"/>
      <c r="B7" s="3"/>
      <c r="C7" s="3"/>
      <c r="D7" s="3"/>
      <c r="E7" s="3"/>
      <c r="F7" s="3"/>
      <c r="G7" s="3"/>
      <c r="H7" s="4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6.5" customHeight="1">
      <c r="A8" s="143" t="s">
        <v>220</v>
      </c>
      <c r="B8" s="143" t="s">
        <v>4</v>
      </c>
      <c r="C8" s="147" t="s">
        <v>5</v>
      </c>
      <c r="D8" s="143" t="s">
        <v>115</v>
      </c>
      <c r="E8" s="147" t="s">
        <v>116</v>
      </c>
      <c r="F8" s="147" t="s">
        <v>221</v>
      </c>
      <c r="G8" s="147" t="s">
        <v>118</v>
      </c>
      <c r="H8" s="143" t="s">
        <v>119</v>
      </c>
      <c r="I8" s="225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24.75" customHeight="1">
      <c r="A9" s="148" t="s">
        <v>14</v>
      </c>
      <c r="B9" s="211" t="s">
        <v>168</v>
      </c>
      <c r="C9" s="151"/>
      <c r="D9" s="151">
        <v>31.0</v>
      </c>
      <c r="E9" s="152">
        <v>130000.0</v>
      </c>
      <c r="F9" s="226">
        <f>D9*4193.5483-1250</f>
        <v>128749.9973</v>
      </c>
      <c r="G9" s="213">
        <f>SUM(128750-50000-15000-63750)</f>
        <v>0</v>
      </c>
      <c r="H9" s="156" t="s">
        <v>84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4.75" customHeight="1">
      <c r="A10" s="148" t="s">
        <v>18</v>
      </c>
      <c r="B10" s="149" t="s">
        <v>144</v>
      </c>
      <c r="C10" s="232" t="s">
        <v>199</v>
      </c>
      <c r="D10" s="151">
        <v>31.0</v>
      </c>
      <c r="E10" s="152">
        <v>145000.0</v>
      </c>
      <c r="F10" s="152">
        <f>D10*4677.41-1250</f>
        <v>143749.71</v>
      </c>
      <c r="G10" s="213">
        <f>SUM(143750-20000-50000-73750)</f>
        <v>0</v>
      </c>
      <c r="H10" s="154" t="s">
        <v>74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4.75" customHeight="1">
      <c r="A11" s="148" t="s">
        <v>22</v>
      </c>
      <c r="B11" s="149" t="s">
        <v>169</v>
      </c>
      <c r="C11" s="232" t="s">
        <v>201</v>
      </c>
      <c r="D11" s="151">
        <v>26.0</v>
      </c>
      <c r="E11" s="152">
        <v>85000.0</v>
      </c>
      <c r="F11" s="152">
        <f>D11*2741.93</f>
        <v>71290.18</v>
      </c>
      <c r="G11" s="213">
        <f>SUM(71290-71290)</f>
        <v>0</v>
      </c>
      <c r="H11" s="154" t="s">
        <v>21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4.75" customHeight="1">
      <c r="A12" s="148" t="s">
        <v>25</v>
      </c>
      <c r="B12" s="149" t="s">
        <v>28</v>
      </c>
      <c r="C12" s="232" t="s">
        <v>201</v>
      </c>
      <c r="D12" s="151">
        <v>30.0</v>
      </c>
      <c r="E12" s="152">
        <v>50000.0</v>
      </c>
      <c r="F12" s="152">
        <f>D12*1612.9-1250</f>
        <v>47137</v>
      </c>
      <c r="G12" s="213">
        <f>SUM(47137-47137)</f>
        <v>0</v>
      </c>
      <c r="H12" s="154" t="s">
        <v>32</v>
      </c>
      <c r="I12" s="5"/>
      <c r="J12" s="5"/>
      <c r="K12" s="51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4.75" customHeight="1">
      <c r="A13" s="148" t="s">
        <v>27</v>
      </c>
      <c r="B13" s="211" t="s">
        <v>222</v>
      </c>
      <c r="C13" s="151"/>
      <c r="D13" s="151">
        <v>30.0</v>
      </c>
      <c r="E13" s="249">
        <v>50000.0</v>
      </c>
      <c r="F13" s="246" t="s">
        <v>186</v>
      </c>
      <c r="G13" s="246" t="s">
        <v>186</v>
      </c>
      <c r="H13" s="154" t="s">
        <v>223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4.75" customHeight="1">
      <c r="A14" s="148" t="s">
        <v>30</v>
      </c>
      <c r="B14" s="211" t="s">
        <v>81</v>
      </c>
      <c r="C14" s="232">
        <v>45813.0</v>
      </c>
      <c r="D14" s="151">
        <v>31.0</v>
      </c>
      <c r="E14" s="152">
        <v>40000.0</v>
      </c>
      <c r="F14" s="152">
        <f>D14*1290.322</f>
        <v>39999.982</v>
      </c>
      <c r="G14" s="213">
        <f>SUM(40000-40000)</f>
        <v>0</v>
      </c>
      <c r="H14" s="154" t="s">
        <v>40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4.75" customHeight="1">
      <c r="A15" s="148" t="s">
        <v>34</v>
      </c>
      <c r="B15" s="222" t="s">
        <v>120</v>
      </c>
      <c r="C15" s="151"/>
      <c r="D15" s="151">
        <v>30.0</v>
      </c>
      <c r="E15" s="152">
        <v>50000.0</v>
      </c>
      <c r="F15" s="152">
        <f>D15*1612.903-1150</f>
        <v>47237.09</v>
      </c>
      <c r="G15" s="213">
        <f>SUM(47237-47237)</f>
        <v>0</v>
      </c>
      <c r="H15" s="154" t="s">
        <v>40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4.75" customHeight="1">
      <c r="A16" s="148" t="s">
        <v>37</v>
      </c>
      <c r="B16" s="211" t="s">
        <v>224</v>
      </c>
      <c r="C16" s="232" t="s">
        <v>199</v>
      </c>
      <c r="D16" s="151">
        <v>29.0</v>
      </c>
      <c r="E16" s="249">
        <v>35000.0</v>
      </c>
      <c r="F16" s="246" t="s">
        <v>186</v>
      </c>
      <c r="G16" s="246" t="s">
        <v>186</v>
      </c>
      <c r="H16" s="154" t="s">
        <v>40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4.75" customHeight="1">
      <c r="A17" s="148" t="s">
        <v>41</v>
      </c>
      <c r="B17" s="222" t="s">
        <v>38</v>
      </c>
      <c r="C17" s="232">
        <v>45935.0</v>
      </c>
      <c r="D17" s="151">
        <v>29.0</v>
      </c>
      <c r="E17" s="152">
        <v>20000.0</v>
      </c>
      <c r="F17" s="152">
        <f>D17*645.161-1200</f>
        <v>17509.669</v>
      </c>
      <c r="G17" s="213">
        <f>SUM(17510-10500-7010)</f>
        <v>0</v>
      </c>
      <c r="H17" s="154" t="s">
        <v>43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4.75" customHeight="1">
      <c r="A18" s="148" t="s">
        <v>44</v>
      </c>
      <c r="B18" s="222" t="s">
        <v>42</v>
      </c>
      <c r="C18" s="245" t="s">
        <v>203</v>
      </c>
      <c r="D18" s="151">
        <v>31.0</v>
      </c>
      <c r="E18" s="152">
        <v>20000.0</v>
      </c>
      <c r="F18" s="152">
        <f t="shared" ref="F18:F19" si="1">D18*645.161-1250</f>
        <v>18749.991</v>
      </c>
      <c r="G18" s="213">
        <f t="shared" ref="G18:G19" si="2">SUM(18750-18750)</f>
        <v>0</v>
      </c>
      <c r="H18" s="154" t="s">
        <v>43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4.75" customHeight="1">
      <c r="A19" s="148" t="s">
        <v>47</v>
      </c>
      <c r="B19" s="242" t="s">
        <v>185</v>
      </c>
      <c r="C19" s="245" t="s">
        <v>204</v>
      </c>
      <c r="D19" s="151">
        <v>31.0</v>
      </c>
      <c r="E19" s="152">
        <v>20000.0</v>
      </c>
      <c r="F19" s="152">
        <f t="shared" si="1"/>
        <v>18749.991</v>
      </c>
      <c r="G19" s="213">
        <f t="shared" si="2"/>
        <v>0</v>
      </c>
      <c r="H19" s="154" t="s">
        <v>43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4.75" customHeight="1">
      <c r="A20" s="148" t="s">
        <v>49</v>
      </c>
      <c r="B20" s="242" t="s">
        <v>187</v>
      </c>
      <c r="C20" s="245" t="s">
        <v>204</v>
      </c>
      <c r="D20" s="151">
        <v>31.0</v>
      </c>
      <c r="E20" s="152">
        <v>20000.0</v>
      </c>
      <c r="F20" s="152">
        <f>D20*645.161-1100</f>
        <v>18899.991</v>
      </c>
      <c r="G20" s="213">
        <f>SUM(18900-18900)</f>
        <v>0</v>
      </c>
      <c r="H20" s="154" t="s">
        <v>43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4.75" customHeight="1">
      <c r="A21" s="148" t="s">
        <v>51</v>
      </c>
      <c r="B21" s="242" t="s">
        <v>123</v>
      </c>
      <c r="C21" s="245" t="s">
        <v>205</v>
      </c>
      <c r="D21" s="151">
        <v>30.0</v>
      </c>
      <c r="E21" s="152">
        <v>22000.0</v>
      </c>
      <c r="F21" s="152">
        <f>D21*709.67-1200</f>
        <v>20090.1</v>
      </c>
      <c r="G21" s="213">
        <f>SUM(20090-20090)</f>
        <v>0</v>
      </c>
      <c r="H21" s="154" t="s">
        <v>43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4.75" customHeight="1">
      <c r="A22" s="148" t="s">
        <v>53</v>
      </c>
      <c r="B22" s="242" t="s">
        <v>188</v>
      </c>
      <c r="C22" s="245" t="s">
        <v>205</v>
      </c>
      <c r="D22" s="151">
        <v>30.0</v>
      </c>
      <c r="E22" s="152">
        <v>30000.0</v>
      </c>
      <c r="F22" s="152">
        <f>D22*967.74-1200</f>
        <v>27832.2</v>
      </c>
      <c r="G22" s="213">
        <f>SUM(27832-27832)</f>
        <v>0</v>
      </c>
      <c r="H22" s="154" t="s">
        <v>40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4.75" customHeight="1">
      <c r="A23" s="148" t="s">
        <v>55</v>
      </c>
      <c r="B23" s="239" t="s">
        <v>189</v>
      </c>
      <c r="C23" s="245" t="s">
        <v>206</v>
      </c>
      <c r="D23" s="151">
        <v>25.0</v>
      </c>
      <c r="E23" s="152">
        <v>25000.0</v>
      </c>
      <c r="F23" s="152">
        <f>D23*806.45-1050</f>
        <v>19111.25</v>
      </c>
      <c r="G23" s="213">
        <f>SUM(19111-19111)</f>
        <v>0</v>
      </c>
      <c r="H23" s="161" t="s">
        <v>36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4.75" customHeight="1">
      <c r="A24" s="148" t="s">
        <v>60</v>
      </c>
      <c r="B24" s="239" t="s">
        <v>207</v>
      </c>
      <c r="C24" s="245" t="s">
        <v>208</v>
      </c>
      <c r="D24" s="151">
        <v>21.0</v>
      </c>
      <c r="E24" s="152">
        <v>20000.0</v>
      </c>
      <c r="F24" s="152">
        <f>D24*645.161-850</f>
        <v>12698.381</v>
      </c>
      <c r="G24" s="213">
        <f>SUM(12698-12698)</f>
        <v>0</v>
      </c>
      <c r="H24" s="154" t="s">
        <v>43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4.75" customHeight="1">
      <c r="A25" s="148" t="s">
        <v>65</v>
      </c>
      <c r="B25" s="239" t="s">
        <v>122</v>
      </c>
      <c r="C25" s="245" t="s">
        <v>209</v>
      </c>
      <c r="D25" s="151">
        <v>11.0</v>
      </c>
      <c r="E25" s="152">
        <v>25000.0</v>
      </c>
      <c r="F25" s="152">
        <f>D25*806.45-300</f>
        <v>8570.95</v>
      </c>
      <c r="G25" s="213">
        <f>SUM(8571-8571)</f>
        <v>0</v>
      </c>
      <c r="H25" s="154" t="s">
        <v>43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4.75" customHeight="1">
      <c r="A26" s="148" t="s">
        <v>68</v>
      </c>
      <c r="B26" s="239" t="s">
        <v>172</v>
      </c>
      <c r="C26" s="245" t="s">
        <v>209</v>
      </c>
      <c r="D26" s="151">
        <v>11.0</v>
      </c>
      <c r="E26" s="152">
        <v>18000.0</v>
      </c>
      <c r="F26" s="152">
        <f>D26*580.64-250</f>
        <v>6137.04</v>
      </c>
      <c r="G26" s="213">
        <f>SUM(6137-6137)</f>
        <v>0</v>
      </c>
      <c r="H26" s="154" t="s">
        <v>43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4.75" customHeight="1">
      <c r="A27" s="148" t="s">
        <v>57</v>
      </c>
      <c r="B27" s="239" t="s">
        <v>210</v>
      </c>
      <c r="C27" s="245" t="s">
        <v>211</v>
      </c>
      <c r="D27" s="151">
        <v>10.0</v>
      </c>
      <c r="E27" s="152">
        <v>20000.0</v>
      </c>
      <c r="F27" s="152">
        <f>D27*645.161-400</f>
        <v>6051.61</v>
      </c>
      <c r="G27" s="213">
        <f>SUM(6052-6052)</f>
        <v>0</v>
      </c>
      <c r="H27" s="161" t="s">
        <v>36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4.75" customHeight="1">
      <c r="A28" s="211"/>
      <c r="B28" s="211"/>
      <c r="C28" s="151"/>
      <c r="D28" s="151"/>
      <c r="E28" s="152"/>
      <c r="F28" s="152"/>
      <c r="G28" s="213"/>
      <c r="H28" s="154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4.75" customHeight="1">
      <c r="A29" s="189" t="s">
        <v>78</v>
      </c>
      <c r="B29" s="190"/>
      <c r="C29" s="191"/>
      <c r="D29" s="191"/>
      <c r="E29" s="152">
        <f t="shared" ref="E29:G29" si="3">SUM(E9:E28)</f>
        <v>825000</v>
      </c>
      <c r="F29" s="152">
        <f t="shared" si="3"/>
        <v>652565.1323</v>
      </c>
      <c r="G29" s="152">
        <f t="shared" si="3"/>
        <v>0</v>
      </c>
      <c r="H29" s="154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6.5" customHeight="1">
      <c r="A30" s="120"/>
      <c r="B30" s="120"/>
      <c r="C30" s="121"/>
      <c r="D30" s="121"/>
      <c r="E30" s="122"/>
      <c r="F30" s="122"/>
      <c r="G30" s="123"/>
      <c r="H30" s="11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6.5" customHeight="1">
      <c r="A31" s="120"/>
      <c r="B31" s="120"/>
      <c r="C31" s="121"/>
      <c r="D31" s="121"/>
      <c r="E31" s="122"/>
      <c r="F31" s="122"/>
      <c r="G31" s="123"/>
      <c r="H31" s="11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6.5" customHeight="1">
      <c r="A32" s="120"/>
      <c r="B32" s="120"/>
      <c r="C32" s="121"/>
      <c r="D32" s="121"/>
      <c r="E32" s="122"/>
      <c r="F32" s="122"/>
      <c r="G32" s="123"/>
      <c r="H32" s="11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6.5" customHeight="1">
      <c r="A33" s="120"/>
      <c r="B33" s="120"/>
      <c r="C33" s="121"/>
      <c r="D33" s="121"/>
      <c r="E33" s="122"/>
      <c r="F33" s="122"/>
      <c r="G33" s="123"/>
      <c r="H33" s="11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120"/>
      <c r="B34" s="120"/>
      <c r="C34" s="121"/>
      <c r="D34" s="121"/>
      <c r="E34" s="122"/>
      <c r="F34" s="122"/>
      <c r="G34" s="123"/>
      <c r="H34" s="11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120"/>
      <c r="B35" s="120"/>
      <c r="C35" s="121"/>
      <c r="D35" s="121"/>
      <c r="E35" s="122"/>
      <c r="F35" s="122"/>
      <c r="G35" s="123"/>
      <c r="H35" s="11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120"/>
      <c r="B36" s="120"/>
      <c r="C36" s="121"/>
      <c r="D36" s="121"/>
      <c r="E36" s="122"/>
      <c r="F36" s="122"/>
      <c r="G36" s="123"/>
      <c r="H36" s="11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120"/>
      <c r="B37" s="120"/>
      <c r="C37" s="121"/>
      <c r="D37" s="121"/>
      <c r="E37" s="122"/>
      <c r="F37" s="122"/>
      <c r="G37" s="123"/>
      <c r="H37" s="11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120"/>
      <c r="B38" s="120"/>
      <c r="C38" s="121"/>
      <c r="D38" s="121"/>
      <c r="E38" s="122"/>
      <c r="F38" s="122"/>
      <c r="G38" s="123"/>
      <c r="H38" s="11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6.5" customHeight="1">
      <c r="A39" s="120"/>
      <c r="B39" s="120"/>
      <c r="C39" s="121"/>
      <c r="D39" s="121"/>
      <c r="E39" s="122"/>
      <c r="F39" s="122"/>
      <c r="G39" s="123"/>
      <c r="H39" s="11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6.5" customHeight="1">
      <c r="A40" s="7"/>
      <c r="B40" s="7"/>
      <c r="C40" s="5"/>
      <c r="D40" s="5"/>
      <c r="E40" s="9"/>
      <c r="F40" s="9"/>
      <c r="G40" s="10"/>
      <c r="H40" s="11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6.5" customHeight="1">
      <c r="A41" s="7"/>
      <c r="B41" s="7"/>
      <c r="C41" s="5"/>
      <c r="D41" s="5"/>
      <c r="E41" s="9"/>
      <c r="F41" s="9"/>
      <c r="G41" s="10"/>
      <c r="H41" s="11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7"/>
      <c r="B42" s="7"/>
      <c r="C42" s="5"/>
      <c r="D42" s="5"/>
      <c r="E42" s="9"/>
      <c r="F42" s="9"/>
      <c r="G42" s="10"/>
      <c r="H42" s="11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7"/>
      <c r="B43" s="7"/>
      <c r="C43" s="5"/>
      <c r="D43" s="5"/>
      <c r="E43" s="9"/>
      <c r="F43" s="9"/>
      <c r="G43" s="10"/>
      <c r="H43" s="11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7"/>
      <c r="B44" s="7"/>
      <c r="C44" s="5"/>
      <c r="D44" s="5"/>
      <c r="E44" s="9"/>
      <c r="F44" s="9"/>
      <c r="G44" s="10"/>
      <c r="H44" s="11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7"/>
      <c r="B45" s="7"/>
      <c r="C45" s="5"/>
      <c r="D45" s="5"/>
      <c r="E45" s="9"/>
      <c r="F45" s="9"/>
      <c r="G45" s="10"/>
      <c r="H45" s="11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7"/>
      <c r="B46" s="7"/>
      <c r="C46" s="5"/>
      <c r="D46" s="5"/>
      <c r="E46" s="9"/>
      <c r="F46" s="9"/>
      <c r="G46" s="10"/>
      <c r="H46" s="11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7"/>
      <c r="B47" s="7"/>
      <c r="C47" s="5"/>
      <c r="D47" s="5"/>
      <c r="E47" s="9"/>
      <c r="F47" s="9"/>
      <c r="G47" s="10"/>
      <c r="H47" s="11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7"/>
      <c r="B48" s="7"/>
      <c r="C48" s="5"/>
      <c r="D48" s="5"/>
      <c r="E48" s="9"/>
      <c r="F48" s="9"/>
      <c r="G48" s="10"/>
      <c r="H48" s="11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7"/>
      <c r="B49" s="7"/>
      <c r="C49" s="5"/>
      <c r="D49" s="5"/>
      <c r="E49" s="9"/>
      <c r="F49" s="9"/>
      <c r="G49" s="10"/>
      <c r="H49" s="11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7"/>
      <c r="B50" s="7"/>
      <c r="C50" s="5"/>
      <c r="D50" s="5"/>
      <c r="E50" s="9"/>
      <c r="F50" s="9"/>
      <c r="G50" s="10"/>
      <c r="H50" s="11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7"/>
      <c r="B51" s="7"/>
      <c r="C51" s="5"/>
      <c r="D51" s="5"/>
      <c r="E51" s="9"/>
      <c r="F51" s="9"/>
      <c r="G51" s="10"/>
      <c r="H51" s="11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7"/>
      <c r="B52" s="7"/>
      <c r="C52" s="5"/>
      <c r="D52" s="5"/>
      <c r="E52" s="9"/>
      <c r="F52" s="9"/>
      <c r="G52" s="10"/>
      <c r="H52" s="11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7"/>
      <c r="B53" s="7"/>
      <c r="C53" s="5"/>
      <c r="D53" s="5"/>
      <c r="E53" s="9"/>
      <c r="F53" s="9"/>
      <c r="G53" s="10"/>
      <c r="H53" s="11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7"/>
      <c r="B54" s="7"/>
      <c r="C54" s="5"/>
      <c r="D54" s="5"/>
      <c r="E54" s="9"/>
      <c r="F54" s="9"/>
      <c r="G54" s="10"/>
      <c r="H54" s="11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7"/>
      <c r="B55" s="7"/>
      <c r="C55" s="5"/>
      <c r="D55" s="5"/>
      <c r="E55" s="9"/>
      <c r="F55" s="9"/>
      <c r="G55" s="10"/>
      <c r="H55" s="11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6.5" customHeight="1">
      <c r="A56" s="7"/>
      <c r="B56" s="7"/>
      <c r="C56" s="5"/>
      <c r="D56" s="5"/>
      <c r="E56" s="9"/>
      <c r="F56" s="9"/>
      <c r="G56" s="10"/>
      <c r="H56" s="11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6.5" customHeight="1">
      <c r="A57" s="7"/>
      <c r="B57" s="7"/>
      <c r="C57" s="5"/>
      <c r="D57" s="5"/>
      <c r="E57" s="9"/>
      <c r="F57" s="9"/>
      <c r="G57" s="10"/>
      <c r="H57" s="11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7"/>
      <c r="B58" s="7"/>
      <c r="C58" s="5"/>
      <c r="D58" s="5"/>
      <c r="E58" s="9"/>
      <c r="F58" s="9"/>
      <c r="G58" s="10"/>
      <c r="H58" s="11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7"/>
      <c r="B59" s="7"/>
      <c r="C59" s="5"/>
      <c r="D59" s="5"/>
      <c r="E59" s="9"/>
      <c r="F59" s="9"/>
      <c r="G59" s="10"/>
      <c r="H59" s="11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7"/>
      <c r="B60" s="7"/>
      <c r="C60" s="5"/>
      <c r="D60" s="5"/>
      <c r="E60" s="9"/>
      <c r="F60" s="9"/>
      <c r="G60" s="10"/>
      <c r="H60" s="11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7"/>
      <c r="B61" s="7"/>
      <c r="C61" s="5"/>
      <c r="D61" s="5"/>
      <c r="E61" s="9"/>
      <c r="F61" s="9"/>
      <c r="G61" s="10"/>
      <c r="H61" s="11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7"/>
      <c r="B62" s="7"/>
      <c r="C62" s="5"/>
      <c r="D62" s="5"/>
      <c r="E62" s="9"/>
      <c r="F62" s="9"/>
      <c r="G62" s="10"/>
      <c r="H62" s="11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7"/>
      <c r="B63" s="7"/>
      <c r="C63" s="5"/>
      <c r="D63" s="5"/>
      <c r="E63" s="9"/>
      <c r="F63" s="9"/>
      <c r="G63" s="10"/>
      <c r="H63" s="11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7"/>
      <c r="B64" s="7"/>
      <c r="C64" s="5"/>
      <c r="D64" s="5"/>
      <c r="E64" s="9"/>
      <c r="F64" s="9"/>
      <c r="G64" s="10"/>
      <c r="H64" s="11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7"/>
      <c r="B65" s="7"/>
      <c r="C65" s="5"/>
      <c r="D65" s="5"/>
      <c r="E65" s="9"/>
      <c r="F65" s="9"/>
      <c r="G65" s="10"/>
      <c r="H65" s="11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7"/>
      <c r="B66" s="7"/>
      <c r="C66" s="5"/>
      <c r="D66" s="5"/>
      <c r="E66" s="9"/>
      <c r="F66" s="9"/>
      <c r="G66" s="10"/>
      <c r="H66" s="11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7"/>
      <c r="B67" s="7"/>
      <c r="C67" s="5"/>
      <c r="D67" s="5"/>
      <c r="E67" s="9"/>
      <c r="F67" s="9"/>
      <c r="G67" s="10"/>
      <c r="H67" s="11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7"/>
      <c r="B68" s="7"/>
      <c r="C68" s="5"/>
      <c r="D68" s="5"/>
      <c r="E68" s="9"/>
      <c r="F68" s="9"/>
      <c r="G68" s="10"/>
      <c r="H68" s="11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7"/>
      <c r="B69" s="7"/>
      <c r="C69" s="5"/>
      <c r="D69" s="5"/>
      <c r="E69" s="9"/>
      <c r="F69" s="9"/>
      <c r="G69" s="10"/>
      <c r="H69" s="11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7"/>
      <c r="B70" s="7"/>
      <c r="C70" s="5"/>
      <c r="D70" s="5"/>
      <c r="E70" s="9"/>
      <c r="F70" s="9"/>
      <c r="G70" s="10"/>
      <c r="H70" s="11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7"/>
      <c r="B71" s="7"/>
      <c r="C71" s="5"/>
      <c r="D71" s="5"/>
      <c r="E71" s="9"/>
      <c r="F71" s="9"/>
      <c r="G71" s="10"/>
      <c r="H71" s="11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7"/>
      <c r="B72" s="7"/>
      <c r="C72" s="5"/>
      <c r="D72" s="5"/>
      <c r="E72" s="9"/>
      <c r="F72" s="9"/>
      <c r="G72" s="10"/>
      <c r="H72" s="11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7"/>
      <c r="B73" s="7"/>
      <c r="C73" s="5"/>
      <c r="D73" s="5"/>
      <c r="E73" s="9"/>
      <c r="F73" s="9"/>
      <c r="G73" s="10"/>
      <c r="H73" s="11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7"/>
      <c r="B74" s="7"/>
      <c r="C74" s="5"/>
      <c r="D74" s="5"/>
      <c r="E74" s="9"/>
      <c r="F74" s="9"/>
      <c r="G74" s="10"/>
      <c r="H74" s="11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7"/>
      <c r="B75" s="7"/>
      <c r="C75" s="5"/>
      <c r="D75" s="5"/>
      <c r="E75" s="9"/>
      <c r="F75" s="9"/>
      <c r="G75" s="10"/>
      <c r="H75" s="11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7"/>
      <c r="B76" s="7"/>
      <c r="C76" s="5"/>
      <c r="D76" s="5"/>
      <c r="E76" s="9"/>
      <c r="F76" s="9"/>
      <c r="G76" s="10"/>
      <c r="H76" s="11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7"/>
      <c r="B77" s="7"/>
      <c r="C77" s="5"/>
      <c r="D77" s="5"/>
      <c r="E77" s="9"/>
      <c r="F77" s="9"/>
      <c r="G77" s="10"/>
      <c r="H77" s="11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7"/>
      <c r="B78" s="7"/>
      <c r="C78" s="5"/>
      <c r="D78" s="5"/>
      <c r="E78" s="9"/>
      <c r="F78" s="9"/>
      <c r="G78" s="10"/>
      <c r="H78" s="11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7"/>
      <c r="B79" s="7"/>
      <c r="C79" s="5"/>
      <c r="D79" s="5"/>
      <c r="E79" s="9"/>
      <c r="F79" s="9"/>
      <c r="G79" s="10"/>
      <c r="H79" s="11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7"/>
      <c r="B80" s="7"/>
      <c r="C80" s="5"/>
      <c r="D80" s="5"/>
      <c r="E80" s="9"/>
      <c r="F80" s="9"/>
      <c r="G80" s="10"/>
      <c r="H80" s="11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7"/>
      <c r="B81" s="7"/>
      <c r="C81" s="5"/>
      <c r="D81" s="5"/>
      <c r="E81" s="9"/>
      <c r="F81" s="9"/>
      <c r="G81" s="10"/>
      <c r="H81" s="11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7"/>
      <c r="B82" s="7"/>
      <c r="C82" s="5"/>
      <c r="D82" s="5"/>
      <c r="E82" s="9"/>
      <c r="F82" s="9"/>
      <c r="G82" s="10"/>
      <c r="H82" s="11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7"/>
      <c r="B83" s="7"/>
      <c r="C83" s="5"/>
      <c r="D83" s="5"/>
      <c r="E83" s="9"/>
      <c r="F83" s="9"/>
      <c r="G83" s="10"/>
      <c r="H83" s="11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7"/>
      <c r="B84" s="7"/>
      <c r="C84" s="5"/>
      <c r="D84" s="5"/>
      <c r="E84" s="9"/>
      <c r="F84" s="9"/>
      <c r="G84" s="10"/>
      <c r="H84" s="11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7"/>
      <c r="B85" s="7"/>
      <c r="C85" s="5"/>
      <c r="D85" s="5"/>
      <c r="E85" s="9"/>
      <c r="F85" s="9"/>
      <c r="G85" s="10"/>
      <c r="H85" s="11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7"/>
      <c r="B86" s="7"/>
      <c r="C86" s="5"/>
      <c r="D86" s="5"/>
      <c r="E86" s="9"/>
      <c r="F86" s="9"/>
      <c r="G86" s="10"/>
      <c r="H86" s="11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7"/>
      <c r="B87" s="7"/>
      <c r="C87" s="5"/>
      <c r="D87" s="5"/>
      <c r="E87" s="9"/>
      <c r="F87" s="9"/>
      <c r="G87" s="10"/>
      <c r="H87" s="11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7"/>
      <c r="B88" s="7"/>
      <c r="C88" s="5"/>
      <c r="D88" s="5"/>
      <c r="E88" s="9"/>
      <c r="F88" s="9"/>
      <c r="G88" s="10"/>
      <c r="H88" s="11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7"/>
      <c r="B89" s="7"/>
      <c r="C89" s="5"/>
      <c r="D89" s="5"/>
      <c r="E89" s="9"/>
      <c r="F89" s="9"/>
      <c r="G89" s="10"/>
      <c r="H89" s="11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7"/>
      <c r="B90" s="7"/>
      <c r="C90" s="5"/>
      <c r="D90" s="5"/>
      <c r="E90" s="9"/>
      <c r="F90" s="9"/>
      <c r="G90" s="10"/>
      <c r="H90" s="11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7"/>
      <c r="B91" s="7"/>
      <c r="C91" s="5"/>
      <c r="D91" s="5"/>
      <c r="E91" s="9"/>
      <c r="F91" s="9"/>
      <c r="G91" s="10"/>
      <c r="H91" s="11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7"/>
      <c r="B92" s="7"/>
      <c r="C92" s="5"/>
      <c r="D92" s="5"/>
      <c r="E92" s="9"/>
      <c r="F92" s="9"/>
      <c r="G92" s="10"/>
      <c r="H92" s="11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7"/>
      <c r="B93" s="7"/>
      <c r="C93" s="5"/>
      <c r="D93" s="5"/>
      <c r="E93" s="9"/>
      <c r="F93" s="9"/>
      <c r="G93" s="10"/>
      <c r="H93" s="11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7"/>
      <c r="B94" s="7"/>
      <c r="C94" s="5"/>
      <c r="D94" s="5"/>
      <c r="E94" s="9"/>
      <c r="F94" s="9"/>
      <c r="G94" s="10"/>
      <c r="H94" s="11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7"/>
      <c r="B95" s="7"/>
      <c r="C95" s="5"/>
      <c r="D95" s="5"/>
      <c r="E95" s="9"/>
      <c r="F95" s="9"/>
      <c r="G95" s="10"/>
      <c r="H95" s="11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7"/>
      <c r="B96" s="7"/>
      <c r="C96" s="5"/>
      <c r="D96" s="5"/>
      <c r="E96" s="9"/>
      <c r="F96" s="9"/>
      <c r="G96" s="10"/>
      <c r="H96" s="11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7"/>
      <c r="B97" s="7"/>
      <c r="C97" s="5"/>
      <c r="D97" s="5"/>
      <c r="E97" s="9"/>
      <c r="F97" s="9"/>
      <c r="G97" s="10"/>
      <c r="H97" s="11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7"/>
      <c r="B98" s="7"/>
      <c r="C98" s="5"/>
      <c r="D98" s="5"/>
      <c r="E98" s="9"/>
      <c r="F98" s="9"/>
      <c r="G98" s="10"/>
      <c r="H98" s="11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7"/>
      <c r="B99" s="7"/>
      <c r="C99" s="5"/>
      <c r="D99" s="5"/>
      <c r="E99" s="9"/>
      <c r="F99" s="9"/>
      <c r="G99" s="10"/>
      <c r="H99" s="11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7"/>
      <c r="B100" s="7"/>
      <c r="C100" s="5"/>
      <c r="D100" s="5"/>
      <c r="E100" s="9"/>
      <c r="F100" s="9"/>
      <c r="G100" s="10"/>
      <c r="H100" s="11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7"/>
      <c r="B101" s="7"/>
      <c r="C101" s="5"/>
      <c r="D101" s="5"/>
      <c r="E101" s="9"/>
      <c r="F101" s="9"/>
      <c r="G101" s="10"/>
      <c r="H101" s="11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7"/>
      <c r="B102" s="7"/>
      <c r="C102" s="5"/>
      <c r="D102" s="5"/>
      <c r="E102" s="9"/>
      <c r="F102" s="9"/>
      <c r="G102" s="10"/>
      <c r="H102" s="11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7"/>
      <c r="B103" s="7"/>
      <c r="C103" s="5"/>
      <c r="D103" s="5"/>
      <c r="E103" s="9"/>
      <c r="F103" s="9"/>
      <c r="G103" s="10"/>
      <c r="H103" s="11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7"/>
      <c r="B104" s="7"/>
      <c r="C104" s="5"/>
      <c r="D104" s="5"/>
      <c r="E104" s="9"/>
      <c r="F104" s="9"/>
      <c r="G104" s="10"/>
      <c r="H104" s="11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7"/>
      <c r="B105" s="7"/>
      <c r="C105" s="5"/>
      <c r="D105" s="5"/>
      <c r="E105" s="9"/>
      <c r="F105" s="9"/>
      <c r="G105" s="10"/>
      <c r="H105" s="11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7"/>
      <c r="B106" s="7"/>
      <c r="C106" s="5"/>
      <c r="D106" s="5"/>
      <c r="E106" s="9"/>
      <c r="F106" s="9"/>
      <c r="G106" s="10"/>
      <c r="H106" s="11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7"/>
      <c r="B107" s="7"/>
      <c r="C107" s="5"/>
      <c r="D107" s="5"/>
      <c r="E107" s="9"/>
      <c r="F107" s="9"/>
      <c r="G107" s="10"/>
      <c r="H107" s="11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7"/>
      <c r="B108" s="7"/>
      <c r="C108" s="5"/>
      <c r="D108" s="5"/>
      <c r="E108" s="9"/>
      <c r="F108" s="9"/>
      <c r="G108" s="10"/>
      <c r="H108" s="11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7"/>
      <c r="B109" s="7"/>
      <c r="C109" s="5"/>
      <c r="D109" s="5"/>
      <c r="E109" s="9"/>
      <c r="F109" s="9"/>
      <c r="G109" s="10"/>
      <c r="H109" s="11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7"/>
      <c r="B110" s="7"/>
      <c r="C110" s="5"/>
      <c r="D110" s="5"/>
      <c r="E110" s="9"/>
      <c r="F110" s="9"/>
      <c r="G110" s="10"/>
      <c r="H110" s="11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7"/>
      <c r="B111" s="7"/>
      <c r="C111" s="5"/>
      <c r="D111" s="5"/>
      <c r="E111" s="9"/>
      <c r="F111" s="9"/>
      <c r="G111" s="10"/>
      <c r="H111" s="11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7"/>
      <c r="B112" s="7"/>
      <c r="C112" s="5"/>
      <c r="D112" s="5"/>
      <c r="E112" s="9"/>
      <c r="F112" s="9"/>
      <c r="G112" s="10"/>
      <c r="H112" s="11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7"/>
      <c r="B113" s="7"/>
      <c r="C113" s="5"/>
      <c r="D113" s="5"/>
      <c r="E113" s="9"/>
      <c r="F113" s="9"/>
      <c r="G113" s="10"/>
      <c r="H113" s="11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7"/>
      <c r="B114" s="7"/>
      <c r="C114" s="5"/>
      <c r="D114" s="5"/>
      <c r="E114" s="9"/>
      <c r="F114" s="9"/>
      <c r="G114" s="10"/>
      <c r="H114" s="11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7"/>
      <c r="B115" s="7"/>
      <c r="C115" s="5"/>
      <c r="D115" s="5"/>
      <c r="E115" s="9"/>
      <c r="F115" s="9"/>
      <c r="G115" s="10"/>
      <c r="H115" s="11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7"/>
      <c r="B116" s="7"/>
      <c r="C116" s="5"/>
      <c r="D116" s="5"/>
      <c r="E116" s="9"/>
      <c r="F116" s="9"/>
      <c r="G116" s="10"/>
      <c r="H116" s="11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7"/>
      <c r="B117" s="7"/>
      <c r="C117" s="5"/>
      <c r="D117" s="5"/>
      <c r="E117" s="9"/>
      <c r="F117" s="9"/>
      <c r="G117" s="10"/>
      <c r="H117" s="11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7"/>
      <c r="B118" s="7"/>
      <c r="C118" s="5"/>
      <c r="D118" s="5"/>
      <c r="E118" s="9"/>
      <c r="F118" s="9"/>
      <c r="G118" s="10"/>
      <c r="H118" s="11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7"/>
      <c r="B119" s="7"/>
      <c r="C119" s="5"/>
      <c r="D119" s="5"/>
      <c r="E119" s="9"/>
      <c r="F119" s="9"/>
      <c r="G119" s="10"/>
      <c r="H119" s="11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7"/>
      <c r="B120" s="7"/>
      <c r="C120" s="5"/>
      <c r="D120" s="5"/>
      <c r="E120" s="9"/>
      <c r="F120" s="9"/>
      <c r="G120" s="10"/>
      <c r="H120" s="11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7"/>
      <c r="B121" s="7"/>
      <c r="C121" s="5"/>
      <c r="D121" s="5"/>
      <c r="E121" s="9"/>
      <c r="F121" s="9"/>
      <c r="G121" s="10"/>
      <c r="H121" s="11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7"/>
      <c r="B122" s="7"/>
      <c r="C122" s="5"/>
      <c r="D122" s="5"/>
      <c r="E122" s="9"/>
      <c r="F122" s="9"/>
      <c r="G122" s="10"/>
      <c r="H122" s="11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7"/>
      <c r="B123" s="7"/>
      <c r="C123" s="5"/>
      <c r="D123" s="5"/>
      <c r="E123" s="9"/>
      <c r="F123" s="9"/>
      <c r="G123" s="10"/>
      <c r="H123" s="11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7"/>
      <c r="B124" s="7"/>
      <c r="C124" s="5"/>
      <c r="D124" s="5"/>
      <c r="E124" s="9"/>
      <c r="F124" s="9"/>
      <c r="G124" s="10"/>
      <c r="H124" s="11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7"/>
      <c r="B125" s="7"/>
      <c r="C125" s="5"/>
      <c r="D125" s="5"/>
      <c r="E125" s="9"/>
      <c r="F125" s="9"/>
      <c r="G125" s="10"/>
      <c r="H125" s="11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7"/>
      <c r="B126" s="7"/>
      <c r="C126" s="5"/>
      <c r="D126" s="5"/>
      <c r="E126" s="9"/>
      <c r="F126" s="9"/>
      <c r="G126" s="10"/>
      <c r="H126" s="11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7"/>
      <c r="B127" s="7"/>
      <c r="C127" s="5"/>
      <c r="D127" s="5"/>
      <c r="E127" s="9"/>
      <c r="F127" s="9"/>
      <c r="G127" s="10"/>
      <c r="H127" s="11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7"/>
      <c r="B128" s="7"/>
      <c r="C128" s="5"/>
      <c r="D128" s="5"/>
      <c r="E128" s="9"/>
      <c r="F128" s="9"/>
      <c r="G128" s="10"/>
      <c r="H128" s="11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7"/>
      <c r="B129" s="7"/>
      <c r="C129" s="5"/>
      <c r="D129" s="5"/>
      <c r="E129" s="9"/>
      <c r="F129" s="9"/>
      <c r="G129" s="10"/>
      <c r="H129" s="11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7"/>
      <c r="B130" s="7"/>
      <c r="C130" s="5"/>
      <c r="D130" s="5"/>
      <c r="E130" s="9"/>
      <c r="F130" s="9"/>
      <c r="G130" s="10"/>
      <c r="H130" s="11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7"/>
      <c r="B131" s="7"/>
      <c r="C131" s="5"/>
      <c r="D131" s="5"/>
      <c r="E131" s="9"/>
      <c r="F131" s="9"/>
      <c r="G131" s="10"/>
      <c r="H131" s="11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7"/>
      <c r="B132" s="7"/>
      <c r="C132" s="5"/>
      <c r="D132" s="5"/>
      <c r="E132" s="9"/>
      <c r="F132" s="9"/>
      <c r="G132" s="10"/>
      <c r="H132" s="11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7"/>
      <c r="B133" s="7"/>
      <c r="C133" s="5"/>
      <c r="D133" s="5"/>
      <c r="E133" s="9"/>
      <c r="F133" s="9"/>
      <c r="G133" s="10"/>
      <c r="H133" s="11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7"/>
      <c r="B134" s="7"/>
      <c r="C134" s="5"/>
      <c r="D134" s="5"/>
      <c r="E134" s="9"/>
      <c r="F134" s="9"/>
      <c r="G134" s="10"/>
      <c r="H134" s="11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7"/>
      <c r="B135" s="7"/>
      <c r="C135" s="5"/>
      <c r="D135" s="5"/>
      <c r="E135" s="9"/>
      <c r="F135" s="9"/>
      <c r="G135" s="10"/>
      <c r="H135" s="11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7"/>
      <c r="B136" s="7"/>
      <c r="C136" s="5"/>
      <c r="D136" s="5"/>
      <c r="E136" s="9"/>
      <c r="F136" s="9"/>
      <c r="G136" s="10"/>
      <c r="H136" s="11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7"/>
      <c r="B137" s="7"/>
      <c r="C137" s="5"/>
      <c r="D137" s="5"/>
      <c r="E137" s="9"/>
      <c r="F137" s="9"/>
      <c r="G137" s="10"/>
      <c r="H137" s="11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7"/>
      <c r="B138" s="7"/>
      <c r="C138" s="5"/>
      <c r="D138" s="5"/>
      <c r="E138" s="9"/>
      <c r="F138" s="9"/>
      <c r="G138" s="10"/>
      <c r="H138" s="11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7"/>
      <c r="B139" s="7"/>
      <c r="C139" s="5"/>
      <c r="D139" s="5"/>
      <c r="E139" s="9"/>
      <c r="F139" s="9"/>
      <c r="G139" s="10"/>
      <c r="H139" s="11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7"/>
      <c r="B140" s="7"/>
      <c r="C140" s="5"/>
      <c r="D140" s="5"/>
      <c r="E140" s="9"/>
      <c r="F140" s="9"/>
      <c r="G140" s="10"/>
      <c r="H140" s="11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7"/>
      <c r="B141" s="7"/>
      <c r="C141" s="5"/>
      <c r="D141" s="5"/>
      <c r="E141" s="9"/>
      <c r="F141" s="9"/>
      <c r="G141" s="10"/>
      <c r="H141" s="11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7"/>
      <c r="B142" s="7"/>
      <c r="C142" s="5"/>
      <c r="D142" s="5"/>
      <c r="E142" s="9"/>
      <c r="F142" s="9"/>
      <c r="G142" s="10"/>
      <c r="H142" s="11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7"/>
      <c r="B143" s="7"/>
      <c r="C143" s="5"/>
      <c r="D143" s="5"/>
      <c r="E143" s="9"/>
      <c r="F143" s="9"/>
      <c r="G143" s="10"/>
      <c r="H143" s="11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7"/>
      <c r="B144" s="7"/>
      <c r="C144" s="5"/>
      <c r="D144" s="5"/>
      <c r="E144" s="9"/>
      <c r="F144" s="9"/>
      <c r="G144" s="10"/>
      <c r="H144" s="11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7"/>
      <c r="B145" s="7"/>
      <c r="C145" s="5"/>
      <c r="D145" s="5"/>
      <c r="E145" s="9"/>
      <c r="F145" s="9"/>
      <c r="G145" s="10"/>
      <c r="H145" s="11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7"/>
      <c r="B146" s="7"/>
      <c r="C146" s="5"/>
      <c r="D146" s="5"/>
      <c r="E146" s="9"/>
      <c r="F146" s="9"/>
      <c r="G146" s="10"/>
      <c r="H146" s="11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7"/>
      <c r="B147" s="7"/>
      <c r="C147" s="5"/>
      <c r="D147" s="5"/>
      <c r="E147" s="9"/>
      <c r="F147" s="9"/>
      <c r="G147" s="10"/>
      <c r="H147" s="11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7"/>
      <c r="B148" s="7"/>
      <c r="C148" s="5"/>
      <c r="D148" s="5"/>
      <c r="E148" s="9"/>
      <c r="F148" s="9"/>
      <c r="G148" s="10"/>
      <c r="H148" s="11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7"/>
      <c r="B149" s="7"/>
      <c r="C149" s="5"/>
      <c r="D149" s="5"/>
      <c r="E149" s="9"/>
      <c r="F149" s="9"/>
      <c r="G149" s="10"/>
      <c r="H149" s="11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7"/>
      <c r="B150" s="7"/>
      <c r="C150" s="5"/>
      <c r="D150" s="5"/>
      <c r="E150" s="9"/>
      <c r="F150" s="9"/>
      <c r="G150" s="10"/>
      <c r="H150" s="11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7"/>
      <c r="B151" s="7"/>
      <c r="C151" s="5"/>
      <c r="D151" s="5"/>
      <c r="E151" s="9"/>
      <c r="F151" s="9"/>
      <c r="G151" s="10"/>
      <c r="H151" s="11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7"/>
      <c r="B152" s="7"/>
      <c r="C152" s="5"/>
      <c r="D152" s="5"/>
      <c r="E152" s="9"/>
      <c r="F152" s="9"/>
      <c r="G152" s="10"/>
      <c r="H152" s="11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7"/>
      <c r="B153" s="7"/>
      <c r="C153" s="5"/>
      <c r="D153" s="5"/>
      <c r="E153" s="9"/>
      <c r="F153" s="9"/>
      <c r="G153" s="10"/>
      <c r="H153" s="11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7"/>
      <c r="B154" s="7"/>
      <c r="C154" s="5"/>
      <c r="D154" s="5"/>
      <c r="E154" s="9"/>
      <c r="F154" s="9"/>
      <c r="G154" s="10"/>
      <c r="H154" s="11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7"/>
      <c r="B155" s="7"/>
      <c r="C155" s="5"/>
      <c r="D155" s="5"/>
      <c r="E155" s="9"/>
      <c r="F155" s="9"/>
      <c r="G155" s="10"/>
      <c r="H155" s="11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7"/>
      <c r="B156" s="7"/>
      <c r="C156" s="5"/>
      <c r="D156" s="5"/>
      <c r="E156" s="9"/>
      <c r="F156" s="9"/>
      <c r="G156" s="10"/>
      <c r="H156" s="11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7"/>
      <c r="B157" s="7"/>
      <c r="C157" s="5"/>
      <c r="D157" s="5"/>
      <c r="E157" s="9"/>
      <c r="F157" s="9"/>
      <c r="G157" s="10"/>
      <c r="H157" s="11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7"/>
      <c r="B158" s="7"/>
      <c r="C158" s="5"/>
      <c r="D158" s="5"/>
      <c r="E158" s="9"/>
      <c r="F158" s="9"/>
      <c r="G158" s="10"/>
      <c r="H158" s="11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7"/>
      <c r="B159" s="7"/>
      <c r="C159" s="5"/>
      <c r="D159" s="5"/>
      <c r="E159" s="9"/>
      <c r="F159" s="9"/>
      <c r="G159" s="10"/>
      <c r="H159" s="11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7"/>
      <c r="B160" s="7"/>
      <c r="C160" s="5"/>
      <c r="D160" s="5"/>
      <c r="E160" s="9"/>
      <c r="F160" s="9"/>
      <c r="G160" s="10"/>
      <c r="H160" s="11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7"/>
      <c r="B161" s="7"/>
      <c r="C161" s="5"/>
      <c r="D161" s="5"/>
      <c r="E161" s="9"/>
      <c r="F161" s="9"/>
      <c r="G161" s="10"/>
      <c r="H161" s="11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7"/>
      <c r="B162" s="7"/>
      <c r="C162" s="5"/>
      <c r="D162" s="5"/>
      <c r="E162" s="9"/>
      <c r="F162" s="9"/>
      <c r="G162" s="10"/>
      <c r="H162" s="11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7"/>
      <c r="B163" s="7"/>
      <c r="C163" s="5"/>
      <c r="D163" s="5"/>
      <c r="E163" s="9"/>
      <c r="F163" s="9"/>
      <c r="G163" s="10"/>
      <c r="H163" s="11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7"/>
      <c r="B164" s="7"/>
      <c r="C164" s="5"/>
      <c r="D164" s="5"/>
      <c r="E164" s="9"/>
      <c r="F164" s="9"/>
      <c r="G164" s="10"/>
      <c r="H164" s="11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7"/>
      <c r="B165" s="7"/>
      <c r="C165" s="5"/>
      <c r="D165" s="5"/>
      <c r="E165" s="9"/>
      <c r="F165" s="9"/>
      <c r="G165" s="10"/>
      <c r="H165" s="11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7"/>
      <c r="B166" s="7"/>
      <c r="C166" s="5"/>
      <c r="D166" s="5"/>
      <c r="E166" s="9"/>
      <c r="F166" s="9"/>
      <c r="G166" s="10"/>
      <c r="H166" s="11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7"/>
      <c r="B167" s="7"/>
      <c r="C167" s="5"/>
      <c r="D167" s="5"/>
      <c r="E167" s="9"/>
      <c r="F167" s="9"/>
      <c r="G167" s="10"/>
      <c r="H167" s="11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7"/>
      <c r="B168" s="7"/>
      <c r="C168" s="5"/>
      <c r="D168" s="5"/>
      <c r="E168" s="9"/>
      <c r="F168" s="9"/>
      <c r="G168" s="10"/>
      <c r="H168" s="11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7"/>
      <c r="B169" s="7"/>
      <c r="C169" s="5"/>
      <c r="D169" s="5"/>
      <c r="E169" s="9"/>
      <c r="F169" s="9"/>
      <c r="G169" s="10"/>
      <c r="H169" s="11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7"/>
      <c r="B170" s="7"/>
      <c r="C170" s="5"/>
      <c r="D170" s="5"/>
      <c r="E170" s="9"/>
      <c r="F170" s="9"/>
      <c r="G170" s="10"/>
      <c r="H170" s="11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7"/>
      <c r="B171" s="7"/>
      <c r="C171" s="5"/>
      <c r="D171" s="5"/>
      <c r="E171" s="9"/>
      <c r="F171" s="9"/>
      <c r="G171" s="10"/>
      <c r="H171" s="11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7"/>
      <c r="B172" s="7"/>
      <c r="C172" s="5"/>
      <c r="D172" s="5"/>
      <c r="E172" s="9"/>
      <c r="F172" s="9"/>
      <c r="G172" s="10"/>
      <c r="H172" s="11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7"/>
      <c r="B173" s="7"/>
      <c r="C173" s="5"/>
      <c r="D173" s="5"/>
      <c r="E173" s="9"/>
      <c r="F173" s="9"/>
      <c r="G173" s="10"/>
      <c r="H173" s="11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7"/>
      <c r="B174" s="7"/>
      <c r="C174" s="5"/>
      <c r="D174" s="5"/>
      <c r="E174" s="9"/>
      <c r="F174" s="9"/>
      <c r="G174" s="10"/>
      <c r="H174" s="11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7"/>
      <c r="B175" s="7"/>
      <c r="C175" s="5"/>
      <c r="D175" s="5"/>
      <c r="E175" s="9"/>
      <c r="F175" s="9"/>
      <c r="G175" s="10"/>
      <c r="H175" s="11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7"/>
      <c r="B176" s="7"/>
      <c r="C176" s="5"/>
      <c r="D176" s="5"/>
      <c r="E176" s="9"/>
      <c r="F176" s="9"/>
      <c r="G176" s="10"/>
      <c r="H176" s="11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7"/>
      <c r="B177" s="7"/>
      <c r="C177" s="5"/>
      <c r="D177" s="5"/>
      <c r="E177" s="9"/>
      <c r="F177" s="9"/>
      <c r="G177" s="10"/>
      <c r="H177" s="11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7"/>
      <c r="B178" s="7"/>
      <c r="C178" s="5"/>
      <c r="D178" s="5"/>
      <c r="E178" s="9"/>
      <c r="F178" s="9"/>
      <c r="G178" s="10"/>
      <c r="H178" s="11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7"/>
      <c r="B179" s="7"/>
      <c r="C179" s="5"/>
      <c r="D179" s="5"/>
      <c r="E179" s="9"/>
      <c r="F179" s="9"/>
      <c r="G179" s="10"/>
      <c r="H179" s="11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7"/>
      <c r="B180" s="7"/>
      <c r="C180" s="5"/>
      <c r="D180" s="5"/>
      <c r="E180" s="9"/>
      <c r="F180" s="9"/>
      <c r="G180" s="10"/>
      <c r="H180" s="11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7"/>
      <c r="B181" s="7"/>
      <c r="C181" s="5"/>
      <c r="D181" s="5"/>
      <c r="E181" s="9"/>
      <c r="F181" s="9"/>
      <c r="G181" s="10"/>
      <c r="H181" s="11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7"/>
      <c r="B182" s="7"/>
      <c r="C182" s="5"/>
      <c r="D182" s="5"/>
      <c r="E182" s="9"/>
      <c r="F182" s="9"/>
      <c r="G182" s="10"/>
      <c r="H182" s="11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7"/>
      <c r="B183" s="7"/>
      <c r="C183" s="5"/>
      <c r="D183" s="5"/>
      <c r="E183" s="9"/>
      <c r="F183" s="9"/>
      <c r="G183" s="10"/>
      <c r="H183" s="11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7"/>
      <c r="B184" s="7"/>
      <c r="C184" s="5"/>
      <c r="D184" s="5"/>
      <c r="E184" s="9"/>
      <c r="F184" s="9"/>
      <c r="G184" s="10"/>
      <c r="H184" s="11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7"/>
      <c r="B185" s="7"/>
      <c r="C185" s="5"/>
      <c r="D185" s="5"/>
      <c r="E185" s="9"/>
      <c r="F185" s="9"/>
      <c r="G185" s="10"/>
      <c r="H185" s="11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7"/>
      <c r="B186" s="7"/>
      <c r="C186" s="5"/>
      <c r="D186" s="5"/>
      <c r="E186" s="9"/>
      <c r="F186" s="9"/>
      <c r="G186" s="10"/>
      <c r="H186" s="11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7"/>
      <c r="B187" s="7"/>
      <c r="C187" s="5"/>
      <c r="D187" s="5"/>
      <c r="E187" s="9"/>
      <c r="F187" s="9"/>
      <c r="G187" s="10"/>
      <c r="H187" s="11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7"/>
      <c r="B188" s="7"/>
      <c r="C188" s="5"/>
      <c r="D188" s="5"/>
      <c r="E188" s="9"/>
      <c r="F188" s="9"/>
      <c r="G188" s="10"/>
      <c r="H188" s="11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7"/>
      <c r="B189" s="7"/>
      <c r="C189" s="5"/>
      <c r="D189" s="5"/>
      <c r="E189" s="9"/>
      <c r="F189" s="9"/>
      <c r="G189" s="10"/>
      <c r="H189" s="11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7"/>
      <c r="B190" s="7"/>
      <c r="C190" s="5"/>
      <c r="D190" s="5"/>
      <c r="E190" s="9"/>
      <c r="F190" s="9"/>
      <c r="G190" s="10"/>
      <c r="H190" s="11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7"/>
      <c r="B191" s="7"/>
      <c r="C191" s="5"/>
      <c r="D191" s="5"/>
      <c r="E191" s="9"/>
      <c r="F191" s="9"/>
      <c r="G191" s="10"/>
      <c r="H191" s="11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7"/>
      <c r="B192" s="7"/>
      <c r="C192" s="5"/>
      <c r="D192" s="5"/>
      <c r="E192" s="9"/>
      <c r="F192" s="9"/>
      <c r="G192" s="10"/>
      <c r="H192" s="11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7"/>
      <c r="B193" s="7"/>
      <c r="C193" s="5"/>
      <c r="D193" s="5"/>
      <c r="E193" s="9"/>
      <c r="F193" s="9"/>
      <c r="G193" s="10"/>
      <c r="H193" s="11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7"/>
      <c r="B194" s="7"/>
      <c r="C194" s="5"/>
      <c r="D194" s="5"/>
      <c r="E194" s="9"/>
      <c r="F194" s="9"/>
      <c r="G194" s="10"/>
      <c r="H194" s="11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7"/>
      <c r="B195" s="7"/>
      <c r="C195" s="5"/>
      <c r="D195" s="5"/>
      <c r="E195" s="9"/>
      <c r="F195" s="9"/>
      <c r="G195" s="10"/>
      <c r="H195" s="11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7"/>
      <c r="B196" s="7"/>
      <c r="C196" s="5"/>
      <c r="D196" s="5"/>
      <c r="E196" s="9"/>
      <c r="F196" s="9"/>
      <c r="G196" s="10"/>
      <c r="H196" s="11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7"/>
      <c r="B197" s="7"/>
      <c r="C197" s="5"/>
      <c r="D197" s="5"/>
      <c r="E197" s="9"/>
      <c r="F197" s="9"/>
      <c r="G197" s="10"/>
      <c r="H197" s="11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7"/>
      <c r="B198" s="7"/>
      <c r="C198" s="5"/>
      <c r="D198" s="5"/>
      <c r="E198" s="9"/>
      <c r="F198" s="9"/>
      <c r="G198" s="10"/>
      <c r="H198" s="11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7"/>
      <c r="B199" s="7"/>
      <c r="C199" s="5"/>
      <c r="D199" s="5"/>
      <c r="E199" s="9"/>
      <c r="F199" s="9"/>
      <c r="G199" s="10"/>
      <c r="H199" s="11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7"/>
      <c r="B200" s="7"/>
      <c r="C200" s="5"/>
      <c r="D200" s="5"/>
      <c r="E200" s="9"/>
      <c r="F200" s="9"/>
      <c r="G200" s="10"/>
      <c r="H200" s="11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7"/>
      <c r="B201" s="7"/>
      <c r="C201" s="5"/>
      <c r="D201" s="5"/>
      <c r="E201" s="9"/>
      <c r="F201" s="9"/>
      <c r="G201" s="10"/>
      <c r="H201" s="11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7"/>
      <c r="B202" s="7"/>
      <c r="C202" s="5"/>
      <c r="D202" s="5"/>
      <c r="E202" s="9"/>
      <c r="F202" s="9"/>
      <c r="G202" s="10"/>
      <c r="H202" s="11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7"/>
      <c r="B203" s="7"/>
      <c r="C203" s="5"/>
      <c r="D203" s="5"/>
      <c r="E203" s="9"/>
      <c r="F203" s="9"/>
      <c r="G203" s="10"/>
      <c r="H203" s="11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7"/>
      <c r="B204" s="7"/>
      <c r="C204" s="5"/>
      <c r="D204" s="5"/>
      <c r="E204" s="9"/>
      <c r="F204" s="9"/>
      <c r="G204" s="10"/>
      <c r="H204" s="11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7"/>
      <c r="B205" s="7"/>
      <c r="C205" s="5"/>
      <c r="D205" s="5"/>
      <c r="E205" s="9"/>
      <c r="F205" s="9"/>
      <c r="G205" s="10"/>
      <c r="H205" s="11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7"/>
      <c r="B206" s="7"/>
      <c r="C206" s="5"/>
      <c r="D206" s="5"/>
      <c r="E206" s="9"/>
      <c r="F206" s="9"/>
      <c r="G206" s="10"/>
      <c r="H206" s="11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7"/>
      <c r="B207" s="7"/>
      <c r="C207" s="5"/>
      <c r="D207" s="5"/>
      <c r="E207" s="9"/>
      <c r="F207" s="9"/>
      <c r="G207" s="10"/>
      <c r="H207" s="11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7"/>
      <c r="B208" s="7"/>
      <c r="C208" s="5"/>
      <c r="D208" s="5"/>
      <c r="E208" s="9"/>
      <c r="F208" s="9"/>
      <c r="G208" s="10"/>
      <c r="H208" s="11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7"/>
      <c r="B209" s="7"/>
      <c r="C209" s="5"/>
      <c r="D209" s="5"/>
      <c r="E209" s="9"/>
      <c r="F209" s="9"/>
      <c r="G209" s="10"/>
      <c r="H209" s="11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7"/>
      <c r="B210" s="7"/>
      <c r="C210" s="5"/>
      <c r="D210" s="5"/>
      <c r="E210" s="9"/>
      <c r="F210" s="9"/>
      <c r="G210" s="10"/>
      <c r="H210" s="11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7"/>
      <c r="B211" s="7"/>
      <c r="C211" s="5"/>
      <c r="D211" s="5"/>
      <c r="E211" s="9"/>
      <c r="F211" s="9"/>
      <c r="G211" s="10"/>
      <c r="H211" s="11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7"/>
      <c r="B212" s="7"/>
      <c r="C212" s="5"/>
      <c r="D212" s="5"/>
      <c r="E212" s="9"/>
      <c r="F212" s="9"/>
      <c r="G212" s="10"/>
      <c r="H212" s="11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7"/>
      <c r="B213" s="7"/>
      <c r="C213" s="5"/>
      <c r="D213" s="5"/>
      <c r="E213" s="9"/>
      <c r="F213" s="9"/>
      <c r="G213" s="10"/>
      <c r="H213" s="11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7"/>
      <c r="B214" s="7"/>
      <c r="C214" s="5"/>
      <c r="D214" s="5"/>
      <c r="E214" s="9"/>
      <c r="F214" s="9"/>
      <c r="G214" s="10"/>
      <c r="H214" s="11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7"/>
      <c r="B215" s="7"/>
      <c r="C215" s="5"/>
      <c r="D215" s="5"/>
      <c r="E215" s="9"/>
      <c r="F215" s="9"/>
      <c r="G215" s="10"/>
      <c r="H215" s="11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7"/>
      <c r="B216" s="7"/>
      <c r="C216" s="5"/>
      <c r="D216" s="5"/>
      <c r="E216" s="9"/>
      <c r="F216" s="9"/>
      <c r="G216" s="10"/>
      <c r="H216" s="11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7"/>
      <c r="B217" s="7"/>
      <c r="C217" s="5"/>
      <c r="D217" s="5"/>
      <c r="E217" s="9"/>
      <c r="F217" s="9"/>
      <c r="G217" s="10"/>
      <c r="H217" s="11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7"/>
      <c r="B218" s="7"/>
      <c r="C218" s="5"/>
      <c r="D218" s="5"/>
      <c r="E218" s="9"/>
      <c r="F218" s="9"/>
      <c r="G218" s="10"/>
      <c r="H218" s="11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7"/>
      <c r="B219" s="7"/>
      <c r="C219" s="5"/>
      <c r="D219" s="5"/>
      <c r="E219" s="9"/>
      <c r="F219" s="9"/>
      <c r="G219" s="10"/>
      <c r="H219" s="11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7"/>
      <c r="B220" s="7"/>
      <c r="C220" s="5"/>
      <c r="D220" s="5"/>
      <c r="E220" s="9"/>
      <c r="F220" s="9"/>
      <c r="G220" s="10"/>
      <c r="H220" s="11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7"/>
      <c r="B221" s="7"/>
      <c r="C221" s="5"/>
      <c r="D221" s="5"/>
      <c r="E221" s="9"/>
      <c r="F221" s="9"/>
      <c r="G221" s="10"/>
      <c r="H221" s="11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7"/>
      <c r="B222" s="7"/>
      <c r="C222" s="5"/>
      <c r="D222" s="5"/>
      <c r="E222" s="9"/>
      <c r="F222" s="9"/>
      <c r="G222" s="10"/>
      <c r="H222" s="11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7"/>
      <c r="B223" s="7"/>
      <c r="C223" s="5"/>
      <c r="D223" s="5"/>
      <c r="E223" s="9"/>
      <c r="F223" s="9"/>
      <c r="G223" s="10"/>
      <c r="H223" s="11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7"/>
      <c r="B224" s="7"/>
      <c r="C224" s="5"/>
      <c r="D224" s="5"/>
      <c r="E224" s="9"/>
      <c r="F224" s="9"/>
      <c r="G224" s="10"/>
      <c r="H224" s="11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7"/>
      <c r="B225" s="7"/>
      <c r="C225" s="5"/>
      <c r="D225" s="5"/>
      <c r="E225" s="9"/>
      <c r="F225" s="9"/>
      <c r="G225" s="10"/>
      <c r="H225" s="11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7"/>
      <c r="B226" s="7"/>
      <c r="C226" s="5"/>
      <c r="D226" s="5"/>
      <c r="E226" s="9"/>
      <c r="F226" s="9"/>
      <c r="G226" s="10"/>
      <c r="H226" s="11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7"/>
      <c r="B227" s="7"/>
      <c r="C227" s="5"/>
      <c r="D227" s="5"/>
      <c r="E227" s="9"/>
      <c r="F227" s="9"/>
      <c r="G227" s="10"/>
      <c r="H227" s="11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7"/>
      <c r="B228" s="7"/>
      <c r="C228" s="5"/>
      <c r="D228" s="5"/>
      <c r="E228" s="9"/>
      <c r="F228" s="9"/>
      <c r="G228" s="10"/>
      <c r="H228" s="11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7"/>
      <c r="B229" s="7"/>
      <c r="C229" s="5"/>
      <c r="D229" s="5"/>
      <c r="E229" s="9"/>
      <c r="F229" s="9"/>
      <c r="G229" s="10"/>
      <c r="H229" s="11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7"/>
      <c r="B230" s="7"/>
      <c r="C230" s="5"/>
      <c r="D230" s="5"/>
      <c r="E230" s="9"/>
      <c r="F230" s="9"/>
      <c r="G230" s="10"/>
      <c r="H230" s="11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7"/>
      <c r="B231" s="7"/>
      <c r="C231" s="5"/>
      <c r="D231" s="5"/>
      <c r="E231" s="9"/>
      <c r="F231" s="9"/>
      <c r="G231" s="10"/>
      <c r="H231" s="11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7"/>
      <c r="B232" s="7"/>
      <c r="C232" s="5"/>
      <c r="D232" s="5"/>
      <c r="E232" s="9"/>
      <c r="F232" s="9"/>
      <c r="G232" s="10"/>
      <c r="H232" s="11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7"/>
      <c r="B233" s="7"/>
      <c r="C233" s="5"/>
      <c r="D233" s="5"/>
      <c r="E233" s="9"/>
      <c r="F233" s="9"/>
      <c r="G233" s="10"/>
      <c r="H233" s="11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7"/>
      <c r="B234" s="7"/>
      <c r="C234" s="5"/>
      <c r="D234" s="5"/>
      <c r="E234" s="9"/>
      <c r="F234" s="9"/>
      <c r="G234" s="10"/>
      <c r="H234" s="11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7"/>
      <c r="B235" s="7"/>
      <c r="C235" s="5"/>
      <c r="D235" s="5"/>
      <c r="E235" s="9"/>
      <c r="F235" s="9"/>
      <c r="G235" s="10"/>
      <c r="H235" s="11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7"/>
      <c r="B236" s="7"/>
      <c r="C236" s="5"/>
      <c r="D236" s="5"/>
      <c r="E236" s="9"/>
      <c r="F236" s="9"/>
      <c r="G236" s="10"/>
      <c r="H236" s="11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7"/>
      <c r="B237" s="7"/>
      <c r="C237" s="5"/>
      <c r="D237" s="5"/>
      <c r="E237" s="9"/>
      <c r="F237" s="9"/>
      <c r="G237" s="10"/>
      <c r="H237" s="11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7"/>
      <c r="B238" s="7"/>
      <c r="C238" s="5"/>
      <c r="D238" s="5"/>
      <c r="E238" s="9"/>
      <c r="F238" s="9"/>
      <c r="G238" s="10"/>
      <c r="H238" s="11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7"/>
      <c r="B239" s="7"/>
      <c r="C239" s="5"/>
      <c r="D239" s="5"/>
      <c r="E239" s="9"/>
      <c r="F239" s="9"/>
      <c r="G239" s="10"/>
      <c r="H239" s="11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7"/>
      <c r="B240" s="7"/>
      <c r="C240" s="5"/>
      <c r="D240" s="5"/>
      <c r="E240" s="9"/>
      <c r="F240" s="9"/>
      <c r="G240" s="10"/>
      <c r="H240" s="11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7"/>
      <c r="B241" s="7"/>
      <c r="C241" s="5"/>
      <c r="D241" s="5"/>
      <c r="E241" s="9"/>
      <c r="F241" s="9"/>
      <c r="G241" s="10"/>
      <c r="H241" s="11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7"/>
      <c r="B242" s="7"/>
      <c r="C242" s="5"/>
      <c r="D242" s="5"/>
      <c r="E242" s="9"/>
      <c r="F242" s="9"/>
      <c r="G242" s="10"/>
      <c r="H242" s="11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7"/>
      <c r="B243" s="7"/>
      <c r="C243" s="5"/>
      <c r="D243" s="5"/>
      <c r="E243" s="9"/>
      <c r="F243" s="9"/>
      <c r="G243" s="10"/>
      <c r="H243" s="11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7"/>
      <c r="B244" s="7"/>
      <c r="C244" s="5"/>
      <c r="D244" s="5"/>
      <c r="E244" s="9"/>
      <c r="F244" s="9"/>
      <c r="G244" s="10"/>
      <c r="H244" s="11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7"/>
      <c r="B245" s="7"/>
      <c r="C245" s="5"/>
      <c r="D245" s="5"/>
      <c r="E245" s="9"/>
      <c r="F245" s="9"/>
      <c r="G245" s="10"/>
      <c r="H245" s="11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7"/>
      <c r="B246" s="7"/>
      <c r="C246" s="5"/>
      <c r="D246" s="5"/>
      <c r="E246" s="9"/>
      <c r="F246" s="9"/>
      <c r="G246" s="10"/>
      <c r="H246" s="11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7"/>
      <c r="B247" s="7"/>
      <c r="C247" s="5"/>
      <c r="D247" s="5"/>
      <c r="E247" s="9"/>
      <c r="F247" s="9"/>
      <c r="G247" s="10"/>
      <c r="H247" s="11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7"/>
      <c r="B248" s="7"/>
      <c r="C248" s="5"/>
      <c r="D248" s="5"/>
      <c r="E248" s="9"/>
      <c r="F248" s="9"/>
      <c r="G248" s="10"/>
      <c r="H248" s="11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7"/>
      <c r="B249" s="7"/>
      <c r="C249" s="5"/>
      <c r="D249" s="5"/>
      <c r="E249" s="9"/>
      <c r="F249" s="9"/>
      <c r="G249" s="10"/>
      <c r="H249" s="11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7"/>
      <c r="B250" s="7"/>
      <c r="C250" s="5"/>
      <c r="D250" s="5"/>
      <c r="E250" s="9"/>
      <c r="F250" s="9"/>
      <c r="G250" s="10"/>
      <c r="H250" s="11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7"/>
      <c r="B251" s="7"/>
      <c r="C251" s="5"/>
      <c r="D251" s="5"/>
      <c r="E251" s="9"/>
      <c r="F251" s="9"/>
      <c r="G251" s="10"/>
      <c r="H251" s="11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7"/>
      <c r="B252" s="7"/>
      <c r="C252" s="5"/>
      <c r="D252" s="5"/>
      <c r="E252" s="9"/>
      <c r="F252" s="9"/>
      <c r="G252" s="10"/>
      <c r="H252" s="11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7"/>
      <c r="B253" s="7"/>
      <c r="C253" s="5"/>
      <c r="D253" s="5"/>
      <c r="E253" s="9"/>
      <c r="F253" s="9"/>
      <c r="G253" s="10"/>
      <c r="H253" s="11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7"/>
      <c r="B254" s="7"/>
      <c r="C254" s="5"/>
      <c r="D254" s="5"/>
      <c r="E254" s="9"/>
      <c r="F254" s="9"/>
      <c r="G254" s="10"/>
      <c r="H254" s="11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7"/>
      <c r="B255" s="7"/>
      <c r="C255" s="5"/>
      <c r="D255" s="5"/>
      <c r="E255" s="9"/>
      <c r="F255" s="9"/>
      <c r="G255" s="10"/>
      <c r="H255" s="11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7"/>
      <c r="B256" s="7"/>
      <c r="C256" s="5"/>
      <c r="D256" s="5"/>
      <c r="E256" s="9"/>
      <c r="F256" s="9"/>
      <c r="G256" s="10"/>
      <c r="H256" s="11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7"/>
      <c r="B257" s="7"/>
      <c r="C257" s="5"/>
      <c r="D257" s="5"/>
      <c r="E257" s="9"/>
      <c r="F257" s="9"/>
      <c r="G257" s="10"/>
      <c r="H257" s="11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7"/>
      <c r="B258" s="7"/>
      <c r="C258" s="5"/>
      <c r="D258" s="5"/>
      <c r="E258" s="9"/>
      <c r="F258" s="9"/>
      <c r="G258" s="10"/>
      <c r="H258" s="11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7"/>
      <c r="B259" s="7"/>
      <c r="C259" s="5"/>
      <c r="D259" s="5"/>
      <c r="E259" s="9"/>
      <c r="F259" s="9"/>
      <c r="G259" s="10"/>
      <c r="H259" s="11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7"/>
      <c r="B260" s="7"/>
      <c r="C260" s="5"/>
      <c r="D260" s="5"/>
      <c r="E260" s="9"/>
      <c r="F260" s="9"/>
      <c r="G260" s="10"/>
      <c r="H260" s="11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7"/>
      <c r="B261" s="7"/>
      <c r="C261" s="5"/>
      <c r="D261" s="5"/>
      <c r="E261" s="9"/>
      <c r="F261" s="9"/>
      <c r="G261" s="10"/>
      <c r="H261" s="11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7"/>
      <c r="B262" s="7"/>
      <c r="C262" s="5"/>
      <c r="D262" s="5"/>
      <c r="E262" s="9"/>
      <c r="F262" s="9"/>
      <c r="G262" s="10"/>
      <c r="H262" s="11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7"/>
      <c r="B263" s="7"/>
      <c r="C263" s="5"/>
      <c r="D263" s="5"/>
      <c r="E263" s="9"/>
      <c r="F263" s="9"/>
      <c r="G263" s="10"/>
      <c r="H263" s="11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7"/>
      <c r="B264" s="7"/>
      <c r="C264" s="5"/>
      <c r="D264" s="5"/>
      <c r="E264" s="9"/>
      <c r="F264" s="9"/>
      <c r="G264" s="10"/>
      <c r="H264" s="11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7"/>
      <c r="B265" s="7"/>
      <c r="C265" s="5"/>
      <c r="D265" s="5"/>
      <c r="E265" s="9"/>
      <c r="F265" s="9"/>
      <c r="G265" s="10"/>
      <c r="H265" s="11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7"/>
      <c r="B266" s="7"/>
      <c r="C266" s="5"/>
      <c r="D266" s="5"/>
      <c r="E266" s="9"/>
      <c r="F266" s="9"/>
      <c r="G266" s="10"/>
      <c r="H266" s="11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7"/>
      <c r="B267" s="7"/>
      <c r="C267" s="5"/>
      <c r="D267" s="5"/>
      <c r="E267" s="9"/>
      <c r="F267" s="9"/>
      <c r="G267" s="10"/>
      <c r="H267" s="11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7"/>
      <c r="B268" s="7"/>
      <c r="C268" s="5"/>
      <c r="D268" s="5"/>
      <c r="E268" s="9"/>
      <c r="F268" s="9"/>
      <c r="G268" s="10"/>
      <c r="H268" s="11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7"/>
      <c r="B269" s="7"/>
      <c r="C269" s="5"/>
      <c r="D269" s="5"/>
      <c r="E269" s="9"/>
      <c r="F269" s="9"/>
      <c r="G269" s="10"/>
      <c r="H269" s="11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7"/>
      <c r="B270" s="7"/>
      <c r="C270" s="5"/>
      <c r="D270" s="5"/>
      <c r="E270" s="9"/>
      <c r="F270" s="9"/>
      <c r="G270" s="10"/>
      <c r="H270" s="11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7"/>
      <c r="B271" s="7"/>
      <c r="C271" s="5"/>
      <c r="D271" s="5"/>
      <c r="E271" s="9"/>
      <c r="F271" s="9"/>
      <c r="G271" s="10"/>
      <c r="H271" s="11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7"/>
      <c r="B272" s="7"/>
      <c r="C272" s="5"/>
      <c r="D272" s="5"/>
      <c r="E272" s="9"/>
      <c r="F272" s="9"/>
      <c r="G272" s="10"/>
      <c r="H272" s="11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7"/>
      <c r="B273" s="7"/>
      <c r="C273" s="5"/>
      <c r="D273" s="5"/>
      <c r="E273" s="9"/>
      <c r="F273" s="9"/>
      <c r="G273" s="10"/>
      <c r="H273" s="11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7"/>
      <c r="B274" s="7"/>
      <c r="C274" s="5"/>
      <c r="D274" s="5"/>
      <c r="E274" s="9"/>
      <c r="F274" s="9"/>
      <c r="G274" s="10"/>
      <c r="H274" s="11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7"/>
      <c r="B275" s="7"/>
      <c r="C275" s="5"/>
      <c r="D275" s="5"/>
      <c r="E275" s="9"/>
      <c r="F275" s="9"/>
      <c r="G275" s="10"/>
      <c r="H275" s="11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7"/>
      <c r="B276" s="7"/>
      <c r="C276" s="5"/>
      <c r="D276" s="5"/>
      <c r="E276" s="9"/>
      <c r="F276" s="9"/>
      <c r="G276" s="10"/>
      <c r="H276" s="11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7"/>
      <c r="B277" s="7"/>
      <c r="C277" s="5"/>
      <c r="D277" s="5"/>
      <c r="E277" s="9"/>
      <c r="F277" s="9"/>
      <c r="G277" s="10"/>
      <c r="H277" s="11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7"/>
      <c r="B278" s="7"/>
      <c r="C278" s="5"/>
      <c r="D278" s="5"/>
      <c r="E278" s="9"/>
      <c r="F278" s="9"/>
      <c r="G278" s="10"/>
      <c r="H278" s="11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7"/>
      <c r="B279" s="7"/>
      <c r="C279" s="5"/>
      <c r="D279" s="5"/>
      <c r="E279" s="9"/>
      <c r="F279" s="9"/>
      <c r="G279" s="10"/>
      <c r="H279" s="11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7"/>
      <c r="B280" s="7"/>
      <c r="C280" s="5"/>
      <c r="D280" s="5"/>
      <c r="E280" s="9"/>
      <c r="F280" s="9"/>
      <c r="G280" s="10"/>
      <c r="H280" s="11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7"/>
      <c r="B281" s="7"/>
      <c r="C281" s="5"/>
      <c r="D281" s="5"/>
      <c r="E281" s="9"/>
      <c r="F281" s="9"/>
      <c r="G281" s="10"/>
      <c r="H281" s="11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7"/>
      <c r="B282" s="7"/>
      <c r="C282" s="5"/>
      <c r="D282" s="5"/>
      <c r="E282" s="9"/>
      <c r="F282" s="9"/>
      <c r="G282" s="10"/>
      <c r="H282" s="11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7"/>
      <c r="B283" s="7"/>
      <c r="C283" s="5"/>
      <c r="D283" s="5"/>
      <c r="E283" s="9"/>
      <c r="F283" s="9"/>
      <c r="G283" s="10"/>
      <c r="H283" s="11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7"/>
      <c r="B284" s="7"/>
      <c r="C284" s="5"/>
      <c r="D284" s="5"/>
      <c r="E284" s="9"/>
      <c r="F284" s="9"/>
      <c r="G284" s="10"/>
      <c r="H284" s="11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7"/>
      <c r="B285" s="7"/>
      <c r="C285" s="5"/>
      <c r="D285" s="5"/>
      <c r="E285" s="9"/>
      <c r="F285" s="9"/>
      <c r="G285" s="10"/>
      <c r="H285" s="11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7"/>
      <c r="B286" s="7"/>
      <c r="C286" s="5"/>
      <c r="D286" s="5"/>
      <c r="E286" s="9"/>
      <c r="F286" s="9"/>
      <c r="G286" s="10"/>
      <c r="H286" s="11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7"/>
      <c r="B287" s="7"/>
      <c r="C287" s="5"/>
      <c r="D287" s="5"/>
      <c r="E287" s="9"/>
      <c r="F287" s="9"/>
      <c r="G287" s="10"/>
      <c r="H287" s="11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7"/>
      <c r="B288" s="7"/>
      <c r="C288" s="5"/>
      <c r="D288" s="5"/>
      <c r="E288" s="9"/>
      <c r="F288" s="9"/>
      <c r="G288" s="10"/>
      <c r="H288" s="11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7"/>
      <c r="B289" s="7"/>
      <c r="C289" s="5"/>
      <c r="D289" s="5"/>
      <c r="E289" s="9"/>
      <c r="F289" s="9"/>
      <c r="G289" s="10"/>
      <c r="H289" s="11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7"/>
      <c r="B290" s="7"/>
      <c r="C290" s="5"/>
      <c r="D290" s="5"/>
      <c r="E290" s="9"/>
      <c r="F290" s="9"/>
      <c r="G290" s="10"/>
      <c r="H290" s="11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7"/>
      <c r="B291" s="7"/>
      <c r="C291" s="5"/>
      <c r="D291" s="5"/>
      <c r="E291" s="9"/>
      <c r="F291" s="9"/>
      <c r="G291" s="10"/>
      <c r="H291" s="11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7"/>
      <c r="B292" s="7"/>
      <c r="C292" s="5"/>
      <c r="D292" s="5"/>
      <c r="E292" s="9"/>
      <c r="F292" s="9"/>
      <c r="G292" s="10"/>
      <c r="H292" s="11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7"/>
      <c r="B293" s="7"/>
      <c r="C293" s="5"/>
      <c r="D293" s="5"/>
      <c r="E293" s="9"/>
      <c r="F293" s="9"/>
      <c r="G293" s="10"/>
      <c r="H293" s="11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7"/>
      <c r="B294" s="7"/>
      <c r="C294" s="5"/>
      <c r="D294" s="5"/>
      <c r="E294" s="9"/>
      <c r="F294" s="9"/>
      <c r="G294" s="10"/>
      <c r="H294" s="11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7"/>
      <c r="B295" s="7"/>
      <c r="C295" s="5"/>
      <c r="D295" s="5"/>
      <c r="E295" s="9"/>
      <c r="F295" s="9"/>
      <c r="G295" s="10"/>
      <c r="H295" s="11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7"/>
      <c r="B296" s="7"/>
      <c r="C296" s="5"/>
      <c r="D296" s="5"/>
      <c r="E296" s="9"/>
      <c r="F296" s="9"/>
      <c r="G296" s="10"/>
      <c r="H296" s="11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7"/>
      <c r="B297" s="7"/>
      <c r="C297" s="5"/>
      <c r="D297" s="5"/>
      <c r="E297" s="9"/>
      <c r="F297" s="9"/>
      <c r="G297" s="10"/>
      <c r="H297" s="11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7"/>
      <c r="B298" s="7"/>
      <c r="C298" s="5"/>
      <c r="D298" s="5"/>
      <c r="E298" s="9"/>
      <c r="F298" s="9"/>
      <c r="G298" s="10"/>
      <c r="H298" s="11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7"/>
      <c r="B299" s="7"/>
      <c r="C299" s="5"/>
      <c r="D299" s="5"/>
      <c r="E299" s="9"/>
      <c r="F299" s="9"/>
      <c r="G299" s="10"/>
      <c r="H299" s="11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7"/>
      <c r="B300" s="7"/>
      <c r="C300" s="5"/>
      <c r="D300" s="5"/>
      <c r="E300" s="9"/>
      <c r="F300" s="9"/>
      <c r="G300" s="10"/>
      <c r="H300" s="11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7"/>
      <c r="B301" s="7"/>
      <c r="C301" s="5"/>
      <c r="D301" s="5"/>
      <c r="E301" s="9"/>
      <c r="F301" s="9"/>
      <c r="G301" s="10"/>
      <c r="H301" s="11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7"/>
      <c r="B302" s="7"/>
      <c r="C302" s="5"/>
      <c r="D302" s="5"/>
      <c r="E302" s="9"/>
      <c r="F302" s="9"/>
      <c r="G302" s="10"/>
      <c r="H302" s="11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7"/>
      <c r="B303" s="7"/>
      <c r="C303" s="5"/>
      <c r="D303" s="5"/>
      <c r="E303" s="9"/>
      <c r="F303" s="9"/>
      <c r="G303" s="10"/>
      <c r="H303" s="11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7"/>
      <c r="B304" s="7"/>
      <c r="C304" s="5"/>
      <c r="D304" s="5"/>
      <c r="E304" s="9"/>
      <c r="F304" s="9"/>
      <c r="G304" s="10"/>
      <c r="H304" s="11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7"/>
      <c r="B305" s="7"/>
      <c r="C305" s="5"/>
      <c r="D305" s="5"/>
      <c r="E305" s="9"/>
      <c r="F305" s="9"/>
      <c r="G305" s="10"/>
      <c r="H305" s="11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7"/>
      <c r="B306" s="7"/>
      <c r="C306" s="5"/>
      <c r="D306" s="5"/>
      <c r="E306" s="9"/>
      <c r="F306" s="9"/>
      <c r="G306" s="10"/>
      <c r="H306" s="11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7"/>
      <c r="B307" s="7"/>
      <c r="C307" s="5"/>
      <c r="D307" s="5"/>
      <c r="E307" s="9"/>
      <c r="F307" s="9"/>
      <c r="G307" s="10"/>
      <c r="H307" s="11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7"/>
      <c r="B308" s="7"/>
      <c r="C308" s="5"/>
      <c r="D308" s="5"/>
      <c r="E308" s="9"/>
      <c r="F308" s="9"/>
      <c r="G308" s="10"/>
      <c r="H308" s="11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7"/>
      <c r="B309" s="7"/>
      <c r="C309" s="5"/>
      <c r="D309" s="5"/>
      <c r="E309" s="9"/>
      <c r="F309" s="9"/>
      <c r="G309" s="10"/>
      <c r="H309" s="11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7"/>
      <c r="B310" s="7"/>
      <c r="C310" s="5"/>
      <c r="D310" s="5"/>
      <c r="E310" s="9"/>
      <c r="F310" s="9"/>
      <c r="G310" s="10"/>
      <c r="H310" s="11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7"/>
      <c r="B311" s="7"/>
      <c r="C311" s="5"/>
      <c r="D311" s="5"/>
      <c r="E311" s="9"/>
      <c r="F311" s="9"/>
      <c r="G311" s="10"/>
      <c r="H311" s="11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7"/>
      <c r="B312" s="7"/>
      <c r="C312" s="5"/>
      <c r="D312" s="5"/>
      <c r="E312" s="9"/>
      <c r="F312" s="9"/>
      <c r="G312" s="10"/>
      <c r="H312" s="11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7"/>
      <c r="B313" s="7"/>
      <c r="C313" s="5"/>
      <c r="D313" s="5"/>
      <c r="E313" s="9"/>
      <c r="F313" s="9"/>
      <c r="G313" s="10"/>
      <c r="H313" s="11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7"/>
      <c r="B314" s="7"/>
      <c r="C314" s="5"/>
      <c r="D314" s="5"/>
      <c r="E314" s="9"/>
      <c r="F314" s="9"/>
      <c r="G314" s="10"/>
      <c r="H314" s="11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7"/>
      <c r="B315" s="7"/>
      <c r="C315" s="5"/>
      <c r="D315" s="5"/>
      <c r="E315" s="9"/>
      <c r="F315" s="9"/>
      <c r="G315" s="10"/>
      <c r="H315" s="11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7"/>
      <c r="B316" s="7"/>
      <c r="C316" s="5"/>
      <c r="D316" s="5"/>
      <c r="E316" s="9"/>
      <c r="F316" s="9"/>
      <c r="G316" s="10"/>
      <c r="H316" s="11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7"/>
      <c r="B317" s="7"/>
      <c r="C317" s="5"/>
      <c r="D317" s="5"/>
      <c r="E317" s="9"/>
      <c r="F317" s="9"/>
      <c r="G317" s="10"/>
      <c r="H317" s="11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7"/>
      <c r="B318" s="7"/>
      <c r="C318" s="5"/>
      <c r="D318" s="5"/>
      <c r="E318" s="9"/>
      <c r="F318" s="9"/>
      <c r="G318" s="10"/>
      <c r="H318" s="11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7"/>
      <c r="B319" s="7"/>
      <c r="C319" s="5"/>
      <c r="D319" s="5"/>
      <c r="E319" s="9"/>
      <c r="F319" s="9"/>
      <c r="G319" s="10"/>
      <c r="H319" s="11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7"/>
      <c r="B320" s="7"/>
      <c r="C320" s="5"/>
      <c r="D320" s="5"/>
      <c r="E320" s="9"/>
      <c r="F320" s="9"/>
      <c r="G320" s="10"/>
      <c r="H320" s="11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7"/>
      <c r="B321" s="7"/>
      <c r="C321" s="5"/>
      <c r="D321" s="5"/>
      <c r="E321" s="9"/>
      <c r="F321" s="9"/>
      <c r="G321" s="10"/>
      <c r="H321" s="11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7"/>
      <c r="B322" s="7"/>
      <c r="C322" s="5"/>
      <c r="D322" s="5"/>
      <c r="E322" s="9"/>
      <c r="F322" s="9"/>
      <c r="G322" s="10"/>
      <c r="H322" s="11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7"/>
      <c r="B323" s="7"/>
      <c r="C323" s="5"/>
      <c r="D323" s="5"/>
      <c r="E323" s="9"/>
      <c r="F323" s="9"/>
      <c r="G323" s="10"/>
      <c r="H323" s="11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7"/>
      <c r="B324" s="7"/>
      <c r="C324" s="5"/>
      <c r="D324" s="5"/>
      <c r="E324" s="9"/>
      <c r="F324" s="9"/>
      <c r="G324" s="10"/>
      <c r="H324" s="11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7"/>
      <c r="B325" s="7"/>
      <c r="C325" s="5"/>
      <c r="D325" s="5"/>
      <c r="E325" s="9"/>
      <c r="F325" s="9"/>
      <c r="G325" s="10"/>
      <c r="H325" s="11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7"/>
      <c r="B326" s="7"/>
      <c r="C326" s="5"/>
      <c r="D326" s="5"/>
      <c r="E326" s="9"/>
      <c r="F326" s="9"/>
      <c r="G326" s="10"/>
      <c r="H326" s="11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7"/>
      <c r="B327" s="7"/>
      <c r="C327" s="5"/>
      <c r="D327" s="5"/>
      <c r="E327" s="9"/>
      <c r="F327" s="9"/>
      <c r="G327" s="10"/>
      <c r="H327" s="11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7"/>
      <c r="B328" s="7"/>
      <c r="C328" s="5"/>
      <c r="D328" s="5"/>
      <c r="E328" s="9"/>
      <c r="F328" s="9"/>
      <c r="G328" s="10"/>
      <c r="H328" s="11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7"/>
      <c r="B329" s="7"/>
      <c r="C329" s="5"/>
      <c r="D329" s="5"/>
      <c r="E329" s="9"/>
      <c r="F329" s="9"/>
      <c r="G329" s="10"/>
      <c r="H329" s="11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7"/>
      <c r="B330" s="7"/>
      <c r="C330" s="5"/>
      <c r="D330" s="5"/>
      <c r="E330" s="9"/>
      <c r="F330" s="9"/>
      <c r="G330" s="10"/>
      <c r="H330" s="11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7"/>
      <c r="B331" s="7"/>
      <c r="C331" s="5"/>
      <c r="D331" s="5"/>
      <c r="E331" s="9"/>
      <c r="F331" s="9"/>
      <c r="G331" s="10"/>
      <c r="H331" s="11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7"/>
      <c r="B332" s="7"/>
      <c r="C332" s="5"/>
      <c r="D332" s="5"/>
      <c r="E332" s="9"/>
      <c r="F332" s="9"/>
      <c r="G332" s="10"/>
      <c r="H332" s="11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7"/>
      <c r="B333" s="7"/>
      <c r="C333" s="5"/>
      <c r="D333" s="5"/>
      <c r="E333" s="9"/>
      <c r="F333" s="9"/>
      <c r="G333" s="10"/>
      <c r="H333" s="11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7"/>
      <c r="B334" s="7"/>
      <c r="C334" s="5"/>
      <c r="D334" s="5"/>
      <c r="E334" s="9"/>
      <c r="F334" s="9"/>
      <c r="G334" s="10"/>
      <c r="H334" s="11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7"/>
      <c r="B335" s="7"/>
      <c r="C335" s="5"/>
      <c r="D335" s="5"/>
      <c r="E335" s="9"/>
      <c r="F335" s="9"/>
      <c r="G335" s="10"/>
      <c r="H335" s="11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7"/>
      <c r="B336" s="7"/>
      <c r="C336" s="5"/>
      <c r="D336" s="5"/>
      <c r="E336" s="9"/>
      <c r="F336" s="9"/>
      <c r="G336" s="10"/>
      <c r="H336" s="11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7"/>
      <c r="B337" s="7"/>
      <c r="C337" s="5"/>
      <c r="D337" s="5"/>
      <c r="E337" s="9"/>
      <c r="F337" s="9"/>
      <c r="G337" s="10"/>
      <c r="H337" s="11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7"/>
      <c r="B338" s="7"/>
      <c r="C338" s="5"/>
      <c r="D338" s="5"/>
      <c r="E338" s="9"/>
      <c r="F338" s="9"/>
      <c r="G338" s="10"/>
      <c r="H338" s="11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7"/>
      <c r="B339" s="7"/>
      <c r="C339" s="5"/>
      <c r="D339" s="5"/>
      <c r="E339" s="9"/>
      <c r="F339" s="9"/>
      <c r="G339" s="10"/>
      <c r="H339" s="11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7"/>
      <c r="B340" s="7"/>
      <c r="C340" s="5"/>
      <c r="D340" s="5"/>
      <c r="E340" s="9"/>
      <c r="F340" s="9"/>
      <c r="G340" s="10"/>
      <c r="H340" s="11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7"/>
      <c r="B341" s="7"/>
      <c r="C341" s="5"/>
      <c r="D341" s="5"/>
      <c r="E341" s="9"/>
      <c r="F341" s="9"/>
      <c r="G341" s="10"/>
      <c r="H341" s="11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7"/>
      <c r="B342" s="7"/>
      <c r="C342" s="5"/>
      <c r="D342" s="5"/>
      <c r="E342" s="9"/>
      <c r="F342" s="9"/>
      <c r="G342" s="10"/>
      <c r="H342" s="11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7"/>
      <c r="B343" s="7"/>
      <c r="C343" s="5"/>
      <c r="D343" s="5"/>
      <c r="E343" s="9"/>
      <c r="F343" s="9"/>
      <c r="G343" s="10"/>
      <c r="H343" s="11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7"/>
      <c r="B344" s="7"/>
      <c r="C344" s="5"/>
      <c r="D344" s="5"/>
      <c r="E344" s="9"/>
      <c r="F344" s="9"/>
      <c r="G344" s="10"/>
      <c r="H344" s="11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7"/>
      <c r="B345" s="7"/>
      <c r="C345" s="5"/>
      <c r="D345" s="5"/>
      <c r="E345" s="9"/>
      <c r="F345" s="9"/>
      <c r="G345" s="10"/>
      <c r="H345" s="11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7"/>
      <c r="B346" s="7"/>
      <c r="C346" s="5"/>
      <c r="D346" s="5"/>
      <c r="E346" s="9"/>
      <c r="F346" s="9"/>
      <c r="G346" s="10"/>
      <c r="H346" s="11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7"/>
      <c r="B347" s="7"/>
      <c r="C347" s="5"/>
      <c r="D347" s="5"/>
      <c r="E347" s="9"/>
      <c r="F347" s="9"/>
      <c r="G347" s="10"/>
      <c r="H347" s="11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7"/>
      <c r="B348" s="7"/>
      <c r="C348" s="5"/>
      <c r="D348" s="5"/>
      <c r="E348" s="9"/>
      <c r="F348" s="9"/>
      <c r="G348" s="10"/>
      <c r="H348" s="11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7"/>
      <c r="B349" s="7"/>
      <c r="C349" s="5"/>
      <c r="D349" s="5"/>
      <c r="E349" s="9"/>
      <c r="F349" s="9"/>
      <c r="G349" s="10"/>
      <c r="H349" s="11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7"/>
      <c r="B350" s="7"/>
      <c r="C350" s="5"/>
      <c r="D350" s="5"/>
      <c r="E350" s="9"/>
      <c r="F350" s="9"/>
      <c r="G350" s="10"/>
      <c r="H350" s="11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7"/>
      <c r="B351" s="7"/>
      <c r="C351" s="5"/>
      <c r="D351" s="5"/>
      <c r="E351" s="9"/>
      <c r="F351" s="9"/>
      <c r="G351" s="10"/>
      <c r="H351" s="11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7"/>
      <c r="B352" s="7"/>
      <c r="C352" s="5"/>
      <c r="D352" s="5"/>
      <c r="E352" s="9"/>
      <c r="F352" s="9"/>
      <c r="G352" s="10"/>
      <c r="H352" s="11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7"/>
      <c r="B353" s="7"/>
      <c r="C353" s="5"/>
      <c r="D353" s="5"/>
      <c r="E353" s="9"/>
      <c r="F353" s="9"/>
      <c r="G353" s="10"/>
      <c r="H353" s="11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7"/>
      <c r="B354" s="7"/>
      <c r="C354" s="5"/>
      <c r="D354" s="5"/>
      <c r="E354" s="9"/>
      <c r="F354" s="9"/>
      <c r="G354" s="10"/>
      <c r="H354" s="11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7"/>
      <c r="B355" s="7"/>
      <c r="C355" s="5"/>
      <c r="D355" s="5"/>
      <c r="E355" s="9"/>
      <c r="F355" s="9"/>
      <c r="G355" s="10"/>
      <c r="H355" s="11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7"/>
      <c r="B356" s="7"/>
      <c r="C356" s="5"/>
      <c r="D356" s="5"/>
      <c r="E356" s="9"/>
      <c r="F356" s="9"/>
      <c r="G356" s="10"/>
      <c r="H356" s="11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7"/>
      <c r="B357" s="7"/>
      <c r="C357" s="5"/>
      <c r="D357" s="5"/>
      <c r="E357" s="9"/>
      <c r="F357" s="9"/>
      <c r="G357" s="10"/>
      <c r="H357" s="11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7"/>
      <c r="B358" s="7"/>
      <c r="C358" s="5"/>
      <c r="D358" s="5"/>
      <c r="E358" s="9"/>
      <c r="F358" s="9"/>
      <c r="G358" s="10"/>
      <c r="H358" s="11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7"/>
      <c r="B359" s="7"/>
      <c r="C359" s="5"/>
      <c r="D359" s="5"/>
      <c r="E359" s="9"/>
      <c r="F359" s="9"/>
      <c r="G359" s="10"/>
      <c r="H359" s="11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7"/>
      <c r="B360" s="7"/>
      <c r="C360" s="5"/>
      <c r="D360" s="5"/>
      <c r="E360" s="9"/>
      <c r="F360" s="9"/>
      <c r="G360" s="10"/>
      <c r="H360" s="11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7"/>
      <c r="B361" s="7"/>
      <c r="C361" s="5"/>
      <c r="D361" s="5"/>
      <c r="E361" s="9"/>
      <c r="F361" s="9"/>
      <c r="G361" s="10"/>
      <c r="H361" s="11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7"/>
      <c r="B362" s="7"/>
      <c r="C362" s="5"/>
      <c r="D362" s="5"/>
      <c r="E362" s="9"/>
      <c r="F362" s="9"/>
      <c r="G362" s="10"/>
      <c r="H362" s="11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7"/>
      <c r="B363" s="7"/>
      <c r="C363" s="5"/>
      <c r="D363" s="5"/>
      <c r="E363" s="9"/>
      <c r="F363" s="9"/>
      <c r="G363" s="10"/>
      <c r="H363" s="11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7"/>
      <c r="B364" s="7"/>
      <c r="C364" s="5"/>
      <c r="D364" s="5"/>
      <c r="E364" s="9"/>
      <c r="F364" s="9"/>
      <c r="G364" s="10"/>
      <c r="H364" s="11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7"/>
      <c r="B365" s="7"/>
      <c r="C365" s="5"/>
      <c r="D365" s="5"/>
      <c r="E365" s="9"/>
      <c r="F365" s="9"/>
      <c r="G365" s="10"/>
      <c r="H365" s="11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7"/>
      <c r="B366" s="7"/>
      <c r="C366" s="5"/>
      <c r="D366" s="5"/>
      <c r="E366" s="9"/>
      <c r="F366" s="9"/>
      <c r="G366" s="10"/>
      <c r="H366" s="11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7"/>
      <c r="B367" s="7"/>
      <c r="C367" s="5"/>
      <c r="D367" s="5"/>
      <c r="E367" s="9"/>
      <c r="F367" s="9"/>
      <c r="G367" s="10"/>
      <c r="H367" s="11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7"/>
      <c r="B368" s="7"/>
      <c r="C368" s="5"/>
      <c r="D368" s="5"/>
      <c r="E368" s="9"/>
      <c r="F368" s="9"/>
      <c r="G368" s="10"/>
      <c r="H368" s="11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7"/>
      <c r="B369" s="7"/>
      <c r="C369" s="5"/>
      <c r="D369" s="5"/>
      <c r="E369" s="9"/>
      <c r="F369" s="9"/>
      <c r="G369" s="10"/>
      <c r="H369" s="11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7"/>
      <c r="B370" s="7"/>
      <c r="C370" s="5"/>
      <c r="D370" s="5"/>
      <c r="E370" s="9"/>
      <c r="F370" s="9"/>
      <c r="G370" s="10"/>
      <c r="H370" s="11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7"/>
      <c r="B371" s="7"/>
      <c r="C371" s="5"/>
      <c r="D371" s="5"/>
      <c r="E371" s="9"/>
      <c r="F371" s="9"/>
      <c r="G371" s="10"/>
      <c r="H371" s="11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7"/>
      <c r="B372" s="7"/>
      <c r="C372" s="5"/>
      <c r="D372" s="5"/>
      <c r="E372" s="9"/>
      <c r="F372" s="9"/>
      <c r="G372" s="10"/>
      <c r="H372" s="11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7"/>
      <c r="B373" s="7"/>
      <c r="C373" s="5"/>
      <c r="D373" s="5"/>
      <c r="E373" s="9"/>
      <c r="F373" s="9"/>
      <c r="G373" s="10"/>
      <c r="H373" s="11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7"/>
      <c r="B374" s="7"/>
      <c r="C374" s="5"/>
      <c r="D374" s="5"/>
      <c r="E374" s="9"/>
      <c r="F374" s="9"/>
      <c r="G374" s="10"/>
      <c r="H374" s="11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7"/>
      <c r="B375" s="7"/>
      <c r="C375" s="5"/>
      <c r="D375" s="5"/>
      <c r="E375" s="9"/>
      <c r="F375" s="9"/>
      <c r="G375" s="10"/>
      <c r="H375" s="11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7"/>
      <c r="B376" s="7"/>
      <c r="C376" s="5"/>
      <c r="D376" s="5"/>
      <c r="E376" s="9"/>
      <c r="F376" s="9"/>
      <c r="G376" s="10"/>
      <c r="H376" s="11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7"/>
      <c r="B377" s="7"/>
      <c r="C377" s="5"/>
      <c r="D377" s="5"/>
      <c r="E377" s="9"/>
      <c r="F377" s="9"/>
      <c r="G377" s="10"/>
      <c r="H377" s="11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7"/>
      <c r="B378" s="7"/>
      <c r="C378" s="5"/>
      <c r="D378" s="5"/>
      <c r="E378" s="9"/>
      <c r="F378" s="9"/>
      <c r="G378" s="10"/>
      <c r="H378" s="11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7"/>
      <c r="B379" s="7"/>
      <c r="C379" s="5"/>
      <c r="D379" s="5"/>
      <c r="E379" s="9"/>
      <c r="F379" s="9"/>
      <c r="G379" s="10"/>
      <c r="H379" s="11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7"/>
      <c r="B380" s="7"/>
      <c r="C380" s="5"/>
      <c r="D380" s="5"/>
      <c r="E380" s="9"/>
      <c r="F380" s="9"/>
      <c r="G380" s="10"/>
      <c r="H380" s="11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7"/>
      <c r="B381" s="7"/>
      <c r="C381" s="5"/>
      <c r="D381" s="5"/>
      <c r="E381" s="9"/>
      <c r="F381" s="9"/>
      <c r="G381" s="10"/>
      <c r="H381" s="11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7"/>
      <c r="B382" s="7"/>
      <c r="C382" s="5"/>
      <c r="D382" s="5"/>
      <c r="E382" s="9"/>
      <c r="F382" s="9"/>
      <c r="G382" s="10"/>
      <c r="H382" s="11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7"/>
      <c r="B383" s="7"/>
      <c r="C383" s="5"/>
      <c r="D383" s="5"/>
      <c r="E383" s="9"/>
      <c r="F383" s="9"/>
      <c r="G383" s="10"/>
      <c r="H383" s="11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7"/>
      <c r="B384" s="7"/>
      <c r="C384" s="5"/>
      <c r="D384" s="5"/>
      <c r="E384" s="9"/>
      <c r="F384" s="9"/>
      <c r="G384" s="10"/>
      <c r="H384" s="11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7"/>
      <c r="B385" s="7"/>
      <c r="C385" s="5"/>
      <c r="D385" s="5"/>
      <c r="E385" s="9"/>
      <c r="F385" s="9"/>
      <c r="G385" s="10"/>
      <c r="H385" s="11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7"/>
      <c r="B386" s="7"/>
      <c r="C386" s="5"/>
      <c r="D386" s="5"/>
      <c r="E386" s="9"/>
      <c r="F386" s="9"/>
      <c r="G386" s="10"/>
      <c r="H386" s="11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7"/>
      <c r="B387" s="7"/>
      <c r="C387" s="5"/>
      <c r="D387" s="5"/>
      <c r="E387" s="9"/>
      <c r="F387" s="9"/>
      <c r="G387" s="10"/>
      <c r="H387" s="11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7"/>
      <c r="B388" s="7"/>
      <c r="C388" s="5"/>
      <c r="D388" s="5"/>
      <c r="E388" s="9"/>
      <c r="F388" s="9"/>
      <c r="G388" s="10"/>
      <c r="H388" s="11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7"/>
      <c r="B389" s="7"/>
      <c r="C389" s="5"/>
      <c r="D389" s="5"/>
      <c r="E389" s="9"/>
      <c r="F389" s="9"/>
      <c r="G389" s="10"/>
      <c r="H389" s="11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7"/>
      <c r="B390" s="7"/>
      <c r="C390" s="5"/>
      <c r="D390" s="5"/>
      <c r="E390" s="9"/>
      <c r="F390" s="9"/>
      <c r="G390" s="10"/>
      <c r="H390" s="11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7"/>
      <c r="B391" s="7"/>
      <c r="C391" s="5"/>
      <c r="D391" s="5"/>
      <c r="E391" s="9"/>
      <c r="F391" s="9"/>
      <c r="G391" s="10"/>
      <c r="H391" s="11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7"/>
      <c r="B392" s="7"/>
      <c r="C392" s="5"/>
      <c r="D392" s="5"/>
      <c r="E392" s="9"/>
      <c r="F392" s="9"/>
      <c r="G392" s="10"/>
      <c r="H392" s="11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7"/>
      <c r="B393" s="7"/>
      <c r="C393" s="5"/>
      <c r="D393" s="5"/>
      <c r="E393" s="9"/>
      <c r="F393" s="9"/>
      <c r="G393" s="10"/>
      <c r="H393" s="11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7"/>
      <c r="B394" s="7"/>
      <c r="C394" s="5"/>
      <c r="D394" s="5"/>
      <c r="E394" s="9"/>
      <c r="F394" s="9"/>
      <c r="G394" s="10"/>
      <c r="H394" s="11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7"/>
      <c r="B395" s="7"/>
      <c r="C395" s="5"/>
      <c r="D395" s="5"/>
      <c r="E395" s="9"/>
      <c r="F395" s="9"/>
      <c r="G395" s="10"/>
      <c r="H395" s="11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7"/>
      <c r="B396" s="7"/>
      <c r="C396" s="5"/>
      <c r="D396" s="5"/>
      <c r="E396" s="9"/>
      <c r="F396" s="9"/>
      <c r="G396" s="10"/>
      <c r="H396" s="11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7"/>
      <c r="B397" s="7"/>
      <c r="C397" s="5"/>
      <c r="D397" s="5"/>
      <c r="E397" s="9"/>
      <c r="F397" s="9"/>
      <c r="G397" s="10"/>
      <c r="H397" s="11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7"/>
      <c r="B398" s="7"/>
      <c r="C398" s="5"/>
      <c r="D398" s="5"/>
      <c r="E398" s="9"/>
      <c r="F398" s="9"/>
      <c r="G398" s="10"/>
      <c r="H398" s="11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7"/>
      <c r="B399" s="7"/>
      <c r="C399" s="5"/>
      <c r="D399" s="5"/>
      <c r="E399" s="9"/>
      <c r="F399" s="9"/>
      <c r="G399" s="10"/>
      <c r="H399" s="11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7"/>
      <c r="B400" s="7"/>
      <c r="C400" s="5"/>
      <c r="D400" s="5"/>
      <c r="E400" s="9"/>
      <c r="F400" s="9"/>
      <c r="G400" s="10"/>
      <c r="H400" s="11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7"/>
      <c r="B401" s="7"/>
      <c r="C401" s="5"/>
      <c r="D401" s="5"/>
      <c r="E401" s="9"/>
      <c r="F401" s="9"/>
      <c r="G401" s="10"/>
      <c r="H401" s="11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7"/>
      <c r="B402" s="7"/>
      <c r="C402" s="5"/>
      <c r="D402" s="5"/>
      <c r="E402" s="9"/>
      <c r="F402" s="9"/>
      <c r="G402" s="10"/>
      <c r="H402" s="11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7"/>
      <c r="B403" s="7"/>
      <c r="C403" s="5"/>
      <c r="D403" s="5"/>
      <c r="E403" s="9"/>
      <c r="F403" s="9"/>
      <c r="G403" s="10"/>
      <c r="H403" s="11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7"/>
      <c r="B404" s="7"/>
      <c r="C404" s="5"/>
      <c r="D404" s="5"/>
      <c r="E404" s="9"/>
      <c r="F404" s="9"/>
      <c r="G404" s="10"/>
      <c r="H404" s="11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7"/>
      <c r="B405" s="7"/>
      <c r="C405" s="5"/>
      <c r="D405" s="5"/>
      <c r="E405" s="9"/>
      <c r="F405" s="9"/>
      <c r="G405" s="10"/>
      <c r="H405" s="11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7"/>
      <c r="B406" s="7"/>
      <c r="C406" s="5"/>
      <c r="D406" s="5"/>
      <c r="E406" s="9"/>
      <c r="F406" s="9"/>
      <c r="G406" s="10"/>
      <c r="H406" s="11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7"/>
      <c r="B407" s="7"/>
      <c r="C407" s="5"/>
      <c r="D407" s="5"/>
      <c r="E407" s="9"/>
      <c r="F407" s="9"/>
      <c r="G407" s="10"/>
      <c r="H407" s="11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7"/>
      <c r="B408" s="7"/>
      <c r="C408" s="5"/>
      <c r="D408" s="5"/>
      <c r="E408" s="9"/>
      <c r="F408" s="9"/>
      <c r="G408" s="10"/>
      <c r="H408" s="11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7"/>
      <c r="B409" s="7"/>
      <c r="C409" s="5"/>
      <c r="D409" s="5"/>
      <c r="E409" s="9"/>
      <c r="F409" s="9"/>
      <c r="G409" s="10"/>
      <c r="H409" s="11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7"/>
      <c r="B410" s="7"/>
      <c r="C410" s="5"/>
      <c r="D410" s="5"/>
      <c r="E410" s="9"/>
      <c r="F410" s="9"/>
      <c r="G410" s="10"/>
      <c r="H410" s="11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7"/>
      <c r="B411" s="7"/>
      <c r="C411" s="5"/>
      <c r="D411" s="5"/>
      <c r="E411" s="9"/>
      <c r="F411" s="9"/>
      <c r="G411" s="10"/>
      <c r="H411" s="11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7"/>
      <c r="B412" s="7"/>
      <c r="C412" s="5"/>
      <c r="D412" s="5"/>
      <c r="E412" s="9"/>
      <c r="F412" s="9"/>
      <c r="G412" s="10"/>
      <c r="H412" s="11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7"/>
      <c r="B413" s="7"/>
      <c r="C413" s="5"/>
      <c r="D413" s="5"/>
      <c r="E413" s="9"/>
      <c r="F413" s="9"/>
      <c r="G413" s="10"/>
      <c r="H413" s="11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7"/>
      <c r="B414" s="7"/>
      <c r="C414" s="5"/>
      <c r="D414" s="5"/>
      <c r="E414" s="9"/>
      <c r="F414" s="9"/>
      <c r="G414" s="10"/>
      <c r="H414" s="11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7"/>
      <c r="B415" s="7"/>
      <c r="C415" s="5"/>
      <c r="D415" s="5"/>
      <c r="E415" s="9"/>
      <c r="F415" s="9"/>
      <c r="G415" s="10"/>
      <c r="H415" s="11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7"/>
      <c r="B416" s="7"/>
      <c r="C416" s="5"/>
      <c r="D416" s="5"/>
      <c r="E416" s="9"/>
      <c r="F416" s="9"/>
      <c r="G416" s="10"/>
      <c r="H416" s="11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7"/>
      <c r="B417" s="7"/>
      <c r="C417" s="5"/>
      <c r="D417" s="5"/>
      <c r="E417" s="9"/>
      <c r="F417" s="9"/>
      <c r="G417" s="10"/>
      <c r="H417" s="11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7"/>
      <c r="B418" s="7"/>
      <c r="C418" s="5"/>
      <c r="D418" s="5"/>
      <c r="E418" s="9"/>
      <c r="F418" s="9"/>
      <c r="G418" s="10"/>
      <c r="H418" s="11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7"/>
      <c r="B419" s="7"/>
      <c r="C419" s="5"/>
      <c r="D419" s="5"/>
      <c r="E419" s="9"/>
      <c r="F419" s="9"/>
      <c r="G419" s="10"/>
      <c r="H419" s="11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7"/>
      <c r="B420" s="7"/>
      <c r="C420" s="5"/>
      <c r="D420" s="5"/>
      <c r="E420" s="9"/>
      <c r="F420" s="9"/>
      <c r="G420" s="10"/>
      <c r="H420" s="11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7"/>
      <c r="B421" s="7"/>
      <c r="C421" s="5"/>
      <c r="D421" s="5"/>
      <c r="E421" s="9"/>
      <c r="F421" s="9"/>
      <c r="G421" s="10"/>
      <c r="H421" s="11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7"/>
      <c r="B422" s="7"/>
      <c r="C422" s="5"/>
      <c r="D422" s="5"/>
      <c r="E422" s="9"/>
      <c r="F422" s="9"/>
      <c r="G422" s="10"/>
      <c r="H422" s="11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7"/>
      <c r="B423" s="7"/>
      <c r="C423" s="5"/>
      <c r="D423" s="5"/>
      <c r="E423" s="9"/>
      <c r="F423" s="9"/>
      <c r="G423" s="10"/>
      <c r="H423" s="11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7"/>
      <c r="B424" s="7"/>
      <c r="C424" s="5"/>
      <c r="D424" s="5"/>
      <c r="E424" s="9"/>
      <c r="F424" s="9"/>
      <c r="G424" s="10"/>
      <c r="H424" s="11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7"/>
      <c r="B425" s="7"/>
      <c r="C425" s="5"/>
      <c r="D425" s="5"/>
      <c r="E425" s="9"/>
      <c r="F425" s="9"/>
      <c r="G425" s="10"/>
      <c r="H425" s="11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7"/>
      <c r="B426" s="7"/>
      <c r="C426" s="5"/>
      <c r="D426" s="5"/>
      <c r="E426" s="9"/>
      <c r="F426" s="9"/>
      <c r="G426" s="10"/>
      <c r="H426" s="11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7"/>
      <c r="B427" s="7"/>
      <c r="C427" s="5"/>
      <c r="D427" s="5"/>
      <c r="E427" s="9"/>
      <c r="F427" s="9"/>
      <c r="G427" s="10"/>
      <c r="H427" s="11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7"/>
      <c r="B428" s="7"/>
      <c r="C428" s="5"/>
      <c r="D428" s="5"/>
      <c r="E428" s="9"/>
      <c r="F428" s="9"/>
      <c r="G428" s="10"/>
      <c r="H428" s="11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7"/>
      <c r="B429" s="7"/>
      <c r="C429" s="5"/>
      <c r="D429" s="5"/>
      <c r="E429" s="9"/>
      <c r="F429" s="9"/>
      <c r="G429" s="10"/>
      <c r="H429" s="11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7"/>
      <c r="B430" s="7"/>
      <c r="C430" s="5"/>
      <c r="D430" s="5"/>
      <c r="E430" s="9"/>
      <c r="F430" s="9"/>
      <c r="G430" s="10"/>
      <c r="H430" s="11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7"/>
      <c r="B431" s="7"/>
      <c r="C431" s="5"/>
      <c r="D431" s="5"/>
      <c r="E431" s="9"/>
      <c r="F431" s="9"/>
      <c r="G431" s="10"/>
      <c r="H431" s="11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7"/>
      <c r="B432" s="7"/>
      <c r="C432" s="5"/>
      <c r="D432" s="5"/>
      <c r="E432" s="9"/>
      <c r="F432" s="9"/>
      <c r="G432" s="10"/>
      <c r="H432" s="11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7"/>
      <c r="B433" s="7"/>
      <c r="C433" s="5"/>
      <c r="D433" s="5"/>
      <c r="E433" s="9"/>
      <c r="F433" s="9"/>
      <c r="G433" s="10"/>
      <c r="H433" s="11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7"/>
      <c r="B434" s="7"/>
      <c r="C434" s="5"/>
      <c r="D434" s="5"/>
      <c r="E434" s="9"/>
      <c r="F434" s="9"/>
      <c r="G434" s="10"/>
      <c r="H434" s="11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7"/>
      <c r="B435" s="7"/>
      <c r="C435" s="5"/>
      <c r="D435" s="5"/>
      <c r="E435" s="9"/>
      <c r="F435" s="9"/>
      <c r="G435" s="10"/>
      <c r="H435" s="11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7"/>
      <c r="B436" s="7"/>
      <c r="C436" s="5"/>
      <c r="D436" s="5"/>
      <c r="E436" s="9"/>
      <c r="F436" s="9"/>
      <c r="G436" s="10"/>
      <c r="H436" s="11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7"/>
      <c r="B437" s="7"/>
      <c r="C437" s="5"/>
      <c r="D437" s="5"/>
      <c r="E437" s="9"/>
      <c r="F437" s="9"/>
      <c r="G437" s="10"/>
      <c r="H437" s="11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7"/>
      <c r="B438" s="7"/>
      <c r="C438" s="5"/>
      <c r="D438" s="5"/>
      <c r="E438" s="9"/>
      <c r="F438" s="9"/>
      <c r="G438" s="10"/>
      <c r="H438" s="11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7"/>
      <c r="B439" s="7"/>
      <c r="C439" s="5"/>
      <c r="D439" s="5"/>
      <c r="E439" s="9"/>
      <c r="F439" s="9"/>
      <c r="G439" s="10"/>
      <c r="H439" s="11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7"/>
      <c r="B440" s="7"/>
      <c r="C440" s="5"/>
      <c r="D440" s="5"/>
      <c r="E440" s="9"/>
      <c r="F440" s="9"/>
      <c r="G440" s="10"/>
      <c r="H440" s="11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7"/>
      <c r="B441" s="7"/>
      <c r="C441" s="5"/>
      <c r="D441" s="5"/>
      <c r="E441" s="9"/>
      <c r="F441" s="9"/>
      <c r="G441" s="10"/>
      <c r="H441" s="11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7"/>
      <c r="B442" s="7"/>
      <c r="C442" s="5"/>
      <c r="D442" s="5"/>
      <c r="E442" s="9"/>
      <c r="F442" s="9"/>
      <c r="G442" s="10"/>
      <c r="H442" s="11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7"/>
      <c r="B443" s="7"/>
      <c r="C443" s="5"/>
      <c r="D443" s="5"/>
      <c r="E443" s="9"/>
      <c r="F443" s="9"/>
      <c r="G443" s="10"/>
      <c r="H443" s="11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7"/>
      <c r="B444" s="7"/>
      <c r="C444" s="5"/>
      <c r="D444" s="5"/>
      <c r="E444" s="9"/>
      <c r="F444" s="9"/>
      <c r="G444" s="10"/>
      <c r="H444" s="11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7"/>
      <c r="B445" s="7"/>
      <c r="C445" s="5"/>
      <c r="D445" s="5"/>
      <c r="E445" s="9"/>
      <c r="F445" s="9"/>
      <c r="G445" s="10"/>
      <c r="H445" s="11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7"/>
      <c r="B446" s="7"/>
      <c r="C446" s="5"/>
      <c r="D446" s="5"/>
      <c r="E446" s="9"/>
      <c r="F446" s="9"/>
      <c r="G446" s="10"/>
      <c r="H446" s="11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7"/>
      <c r="B447" s="7"/>
      <c r="C447" s="5"/>
      <c r="D447" s="5"/>
      <c r="E447" s="9"/>
      <c r="F447" s="9"/>
      <c r="G447" s="10"/>
      <c r="H447" s="11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7"/>
      <c r="B448" s="7"/>
      <c r="C448" s="5"/>
      <c r="D448" s="5"/>
      <c r="E448" s="9"/>
      <c r="F448" s="9"/>
      <c r="G448" s="10"/>
      <c r="H448" s="11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7"/>
      <c r="B449" s="7"/>
      <c r="C449" s="5"/>
      <c r="D449" s="5"/>
      <c r="E449" s="9"/>
      <c r="F449" s="9"/>
      <c r="G449" s="10"/>
      <c r="H449" s="11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7"/>
      <c r="B450" s="7"/>
      <c r="C450" s="5"/>
      <c r="D450" s="5"/>
      <c r="E450" s="9"/>
      <c r="F450" s="9"/>
      <c r="G450" s="10"/>
      <c r="H450" s="11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7"/>
      <c r="B451" s="7"/>
      <c r="C451" s="5"/>
      <c r="D451" s="5"/>
      <c r="E451" s="9"/>
      <c r="F451" s="9"/>
      <c r="G451" s="10"/>
      <c r="H451" s="11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7"/>
      <c r="B452" s="7"/>
      <c r="C452" s="5"/>
      <c r="D452" s="5"/>
      <c r="E452" s="9"/>
      <c r="F452" s="9"/>
      <c r="G452" s="10"/>
      <c r="H452" s="11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7"/>
      <c r="B453" s="7"/>
      <c r="C453" s="5"/>
      <c r="D453" s="5"/>
      <c r="E453" s="9"/>
      <c r="F453" s="9"/>
      <c r="G453" s="10"/>
      <c r="H453" s="11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7"/>
      <c r="B454" s="7"/>
      <c r="C454" s="5"/>
      <c r="D454" s="5"/>
      <c r="E454" s="9"/>
      <c r="F454" s="9"/>
      <c r="G454" s="10"/>
      <c r="H454" s="11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7"/>
      <c r="B455" s="7"/>
      <c r="C455" s="5"/>
      <c r="D455" s="5"/>
      <c r="E455" s="9"/>
      <c r="F455" s="9"/>
      <c r="G455" s="10"/>
      <c r="H455" s="11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7"/>
      <c r="B456" s="7"/>
      <c r="C456" s="5"/>
      <c r="D456" s="5"/>
      <c r="E456" s="9"/>
      <c r="F456" s="9"/>
      <c r="G456" s="10"/>
      <c r="H456" s="11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7"/>
      <c r="B457" s="7"/>
      <c r="C457" s="5"/>
      <c r="D457" s="5"/>
      <c r="E457" s="9"/>
      <c r="F457" s="9"/>
      <c r="G457" s="10"/>
      <c r="H457" s="11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7"/>
      <c r="B458" s="7"/>
      <c r="C458" s="5"/>
      <c r="D458" s="5"/>
      <c r="E458" s="9"/>
      <c r="F458" s="9"/>
      <c r="G458" s="10"/>
      <c r="H458" s="11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7"/>
      <c r="B459" s="7"/>
      <c r="C459" s="5"/>
      <c r="D459" s="5"/>
      <c r="E459" s="9"/>
      <c r="F459" s="9"/>
      <c r="G459" s="10"/>
      <c r="H459" s="11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7"/>
      <c r="B460" s="7"/>
      <c r="C460" s="5"/>
      <c r="D460" s="5"/>
      <c r="E460" s="9"/>
      <c r="F460" s="9"/>
      <c r="G460" s="10"/>
      <c r="H460" s="11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7"/>
      <c r="B461" s="7"/>
      <c r="C461" s="5"/>
      <c r="D461" s="5"/>
      <c r="E461" s="9"/>
      <c r="F461" s="9"/>
      <c r="G461" s="10"/>
      <c r="H461" s="11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7"/>
      <c r="B462" s="7"/>
      <c r="C462" s="5"/>
      <c r="D462" s="5"/>
      <c r="E462" s="9"/>
      <c r="F462" s="9"/>
      <c r="G462" s="10"/>
      <c r="H462" s="11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7"/>
      <c r="B463" s="7"/>
      <c r="C463" s="5"/>
      <c r="D463" s="5"/>
      <c r="E463" s="9"/>
      <c r="F463" s="9"/>
      <c r="G463" s="10"/>
      <c r="H463" s="11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7"/>
      <c r="B464" s="7"/>
      <c r="C464" s="5"/>
      <c r="D464" s="5"/>
      <c r="E464" s="9"/>
      <c r="F464" s="9"/>
      <c r="G464" s="10"/>
      <c r="H464" s="11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7"/>
      <c r="B465" s="7"/>
      <c r="C465" s="5"/>
      <c r="D465" s="5"/>
      <c r="E465" s="9"/>
      <c r="F465" s="9"/>
      <c r="G465" s="10"/>
      <c r="H465" s="11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7"/>
      <c r="B466" s="7"/>
      <c r="C466" s="5"/>
      <c r="D466" s="5"/>
      <c r="E466" s="9"/>
      <c r="F466" s="9"/>
      <c r="G466" s="10"/>
      <c r="H466" s="11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7"/>
      <c r="B467" s="7"/>
      <c r="C467" s="5"/>
      <c r="D467" s="5"/>
      <c r="E467" s="9"/>
      <c r="F467" s="9"/>
      <c r="G467" s="10"/>
      <c r="H467" s="11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7"/>
      <c r="B468" s="7"/>
      <c r="C468" s="5"/>
      <c r="D468" s="5"/>
      <c r="E468" s="9"/>
      <c r="F468" s="9"/>
      <c r="G468" s="10"/>
      <c r="H468" s="11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7"/>
      <c r="B469" s="7"/>
      <c r="C469" s="5"/>
      <c r="D469" s="5"/>
      <c r="E469" s="9"/>
      <c r="F469" s="9"/>
      <c r="G469" s="10"/>
      <c r="H469" s="11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7"/>
      <c r="B470" s="7"/>
      <c r="C470" s="5"/>
      <c r="D470" s="5"/>
      <c r="E470" s="9"/>
      <c r="F470" s="9"/>
      <c r="G470" s="10"/>
      <c r="H470" s="11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7"/>
      <c r="B471" s="7"/>
      <c r="C471" s="5"/>
      <c r="D471" s="5"/>
      <c r="E471" s="9"/>
      <c r="F471" s="9"/>
      <c r="G471" s="10"/>
      <c r="H471" s="11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7"/>
      <c r="B472" s="7"/>
      <c r="C472" s="5"/>
      <c r="D472" s="5"/>
      <c r="E472" s="9"/>
      <c r="F472" s="9"/>
      <c r="G472" s="10"/>
      <c r="H472" s="11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7"/>
      <c r="B473" s="7"/>
      <c r="C473" s="5"/>
      <c r="D473" s="5"/>
      <c r="E473" s="9"/>
      <c r="F473" s="9"/>
      <c r="G473" s="10"/>
      <c r="H473" s="11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7"/>
      <c r="B474" s="7"/>
      <c r="C474" s="5"/>
      <c r="D474" s="5"/>
      <c r="E474" s="9"/>
      <c r="F474" s="9"/>
      <c r="G474" s="10"/>
      <c r="H474" s="11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7"/>
      <c r="B475" s="7"/>
      <c r="C475" s="5"/>
      <c r="D475" s="5"/>
      <c r="E475" s="9"/>
      <c r="F475" s="9"/>
      <c r="G475" s="10"/>
      <c r="H475" s="11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7"/>
      <c r="B476" s="7"/>
      <c r="C476" s="5"/>
      <c r="D476" s="5"/>
      <c r="E476" s="9"/>
      <c r="F476" s="9"/>
      <c r="G476" s="10"/>
      <c r="H476" s="11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7"/>
      <c r="B477" s="7"/>
      <c r="C477" s="5"/>
      <c r="D477" s="5"/>
      <c r="E477" s="9"/>
      <c r="F477" s="9"/>
      <c r="G477" s="10"/>
      <c r="H477" s="11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7"/>
      <c r="B478" s="7"/>
      <c r="C478" s="5"/>
      <c r="D478" s="5"/>
      <c r="E478" s="9"/>
      <c r="F478" s="9"/>
      <c r="G478" s="10"/>
      <c r="H478" s="11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7"/>
      <c r="B479" s="7"/>
      <c r="C479" s="5"/>
      <c r="D479" s="5"/>
      <c r="E479" s="9"/>
      <c r="F479" s="9"/>
      <c r="G479" s="10"/>
      <c r="H479" s="11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7"/>
      <c r="B480" s="7"/>
      <c r="C480" s="5"/>
      <c r="D480" s="5"/>
      <c r="E480" s="9"/>
      <c r="F480" s="9"/>
      <c r="G480" s="10"/>
      <c r="H480" s="11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7"/>
      <c r="B481" s="7"/>
      <c r="C481" s="5"/>
      <c r="D481" s="5"/>
      <c r="E481" s="9"/>
      <c r="F481" s="9"/>
      <c r="G481" s="10"/>
      <c r="H481" s="11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7"/>
      <c r="B482" s="7"/>
      <c r="C482" s="5"/>
      <c r="D482" s="5"/>
      <c r="E482" s="9"/>
      <c r="F482" s="9"/>
      <c r="G482" s="10"/>
      <c r="H482" s="11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7"/>
      <c r="B483" s="7"/>
      <c r="C483" s="5"/>
      <c r="D483" s="5"/>
      <c r="E483" s="9"/>
      <c r="F483" s="9"/>
      <c r="G483" s="10"/>
      <c r="H483" s="11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7"/>
      <c r="B484" s="7"/>
      <c r="C484" s="5"/>
      <c r="D484" s="5"/>
      <c r="E484" s="9"/>
      <c r="F484" s="9"/>
      <c r="G484" s="10"/>
      <c r="H484" s="11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7"/>
      <c r="B485" s="7"/>
      <c r="C485" s="5"/>
      <c r="D485" s="5"/>
      <c r="E485" s="9"/>
      <c r="F485" s="9"/>
      <c r="G485" s="10"/>
      <c r="H485" s="11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7"/>
      <c r="B486" s="7"/>
      <c r="C486" s="5"/>
      <c r="D486" s="5"/>
      <c r="E486" s="9"/>
      <c r="F486" s="9"/>
      <c r="G486" s="10"/>
      <c r="H486" s="11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7"/>
      <c r="B487" s="7"/>
      <c r="C487" s="5"/>
      <c r="D487" s="5"/>
      <c r="E487" s="9"/>
      <c r="F487" s="9"/>
      <c r="G487" s="10"/>
      <c r="H487" s="11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7"/>
      <c r="B488" s="7"/>
      <c r="C488" s="5"/>
      <c r="D488" s="5"/>
      <c r="E488" s="9"/>
      <c r="F488" s="9"/>
      <c r="G488" s="10"/>
      <c r="H488" s="11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7"/>
      <c r="B489" s="7"/>
      <c r="C489" s="5"/>
      <c r="D489" s="5"/>
      <c r="E489" s="9"/>
      <c r="F489" s="9"/>
      <c r="G489" s="10"/>
      <c r="H489" s="11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7"/>
      <c r="B490" s="7"/>
      <c r="C490" s="5"/>
      <c r="D490" s="5"/>
      <c r="E490" s="9"/>
      <c r="F490" s="9"/>
      <c r="G490" s="10"/>
      <c r="H490" s="11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7"/>
      <c r="B491" s="7"/>
      <c r="C491" s="5"/>
      <c r="D491" s="5"/>
      <c r="E491" s="9"/>
      <c r="F491" s="9"/>
      <c r="G491" s="10"/>
      <c r="H491" s="11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7"/>
      <c r="B492" s="7"/>
      <c r="C492" s="5"/>
      <c r="D492" s="5"/>
      <c r="E492" s="9"/>
      <c r="F492" s="9"/>
      <c r="G492" s="10"/>
      <c r="H492" s="11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7"/>
      <c r="B493" s="7"/>
      <c r="C493" s="5"/>
      <c r="D493" s="5"/>
      <c r="E493" s="9"/>
      <c r="F493" s="9"/>
      <c r="G493" s="10"/>
      <c r="H493" s="11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7"/>
      <c r="B494" s="7"/>
      <c r="C494" s="5"/>
      <c r="D494" s="5"/>
      <c r="E494" s="9"/>
      <c r="F494" s="9"/>
      <c r="G494" s="10"/>
      <c r="H494" s="11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7"/>
      <c r="B495" s="7"/>
      <c r="C495" s="5"/>
      <c r="D495" s="5"/>
      <c r="E495" s="9"/>
      <c r="F495" s="9"/>
      <c r="G495" s="10"/>
      <c r="H495" s="11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7"/>
      <c r="B496" s="7"/>
      <c r="C496" s="5"/>
      <c r="D496" s="5"/>
      <c r="E496" s="9"/>
      <c r="F496" s="9"/>
      <c r="G496" s="10"/>
      <c r="H496" s="11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7"/>
      <c r="B497" s="7"/>
      <c r="C497" s="5"/>
      <c r="D497" s="5"/>
      <c r="E497" s="9"/>
      <c r="F497" s="9"/>
      <c r="G497" s="10"/>
      <c r="H497" s="11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7"/>
      <c r="B498" s="7"/>
      <c r="C498" s="5"/>
      <c r="D498" s="5"/>
      <c r="E498" s="9"/>
      <c r="F498" s="9"/>
      <c r="G498" s="10"/>
      <c r="H498" s="11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7"/>
      <c r="B499" s="7"/>
      <c r="C499" s="5"/>
      <c r="D499" s="5"/>
      <c r="E499" s="9"/>
      <c r="F499" s="9"/>
      <c r="G499" s="10"/>
      <c r="H499" s="11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7"/>
      <c r="B500" s="7"/>
      <c r="C500" s="5"/>
      <c r="D500" s="5"/>
      <c r="E500" s="9"/>
      <c r="F500" s="9"/>
      <c r="G500" s="10"/>
      <c r="H500" s="11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7"/>
      <c r="B501" s="7"/>
      <c r="C501" s="5"/>
      <c r="D501" s="5"/>
      <c r="E501" s="9"/>
      <c r="F501" s="9"/>
      <c r="G501" s="10"/>
      <c r="H501" s="11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7"/>
      <c r="B502" s="7"/>
      <c r="C502" s="5"/>
      <c r="D502" s="5"/>
      <c r="E502" s="9"/>
      <c r="F502" s="9"/>
      <c r="G502" s="10"/>
      <c r="H502" s="11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7"/>
      <c r="B503" s="7"/>
      <c r="C503" s="5"/>
      <c r="D503" s="5"/>
      <c r="E503" s="9"/>
      <c r="F503" s="9"/>
      <c r="G503" s="10"/>
      <c r="H503" s="11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7"/>
      <c r="B504" s="7"/>
      <c r="C504" s="5"/>
      <c r="D504" s="5"/>
      <c r="E504" s="9"/>
      <c r="F504" s="9"/>
      <c r="G504" s="10"/>
      <c r="H504" s="11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7"/>
      <c r="B505" s="7"/>
      <c r="C505" s="5"/>
      <c r="D505" s="5"/>
      <c r="E505" s="9"/>
      <c r="F505" s="9"/>
      <c r="G505" s="10"/>
      <c r="H505" s="11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7"/>
      <c r="B506" s="7"/>
      <c r="C506" s="5"/>
      <c r="D506" s="5"/>
      <c r="E506" s="9"/>
      <c r="F506" s="9"/>
      <c r="G506" s="10"/>
      <c r="H506" s="11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7"/>
      <c r="B507" s="7"/>
      <c r="C507" s="5"/>
      <c r="D507" s="5"/>
      <c r="E507" s="9"/>
      <c r="F507" s="9"/>
      <c r="G507" s="10"/>
      <c r="H507" s="11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7"/>
      <c r="B508" s="7"/>
      <c r="C508" s="5"/>
      <c r="D508" s="5"/>
      <c r="E508" s="9"/>
      <c r="F508" s="9"/>
      <c r="G508" s="10"/>
      <c r="H508" s="11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7"/>
      <c r="B509" s="7"/>
      <c r="C509" s="5"/>
      <c r="D509" s="5"/>
      <c r="E509" s="9"/>
      <c r="F509" s="9"/>
      <c r="G509" s="10"/>
      <c r="H509" s="11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7"/>
      <c r="B510" s="7"/>
      <c r="C510" s="5"/>
      <c r="D510" s="5"/>
      <c r="E510" s="9"/>
      <c r="F510" s="9"/>
      <c r="G510" s="10"/>
      <c r="H510" s="11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7"/>
      <c r="B511" s="7"/>
      <c r="C511" s="5"/>
      <c r="D511" s="5"/>
      <c r="E511" s="9"/>
      <c r="F511" s="9"/>
      <c r="G511" s="10"/>
      <c r="H511" s="11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7"/>
      <c r="B512" s="7"/>
      <c r="C512" s="5"/>
      <c r="D512" s="5"/>
      <c r="E512" s="9"/>
      <c r="F512" s="9"/>
      <c r="G512" s="10"/>
      <c r="H512" s="11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7"/>
      <c r="B513" s="7"/>
      <c r="C513" s="5"/>
      <c r="D513" s="5"/>
      <c r="E513" s="9"/>
      <c r="F513" s="9"/>
      <c r="G513" s="10"/>
      <c r="H513" s="11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7"/>
      <c r="B514" s="7"/>
      <c r="C514" s="5"/>
      <c r="D514" s="5"/>
      <c r="E514" s="9"/>
      <c r="F514" s="9"/>
      <c r="G514" s="10"/>
      <c r="H514" s="11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7"/>
      <c r="B515" s="7"/>
      <c r="C515" s="5"/>
      <c r="D515" s="5"/>
      <c r="E515" s="9"/>
      <c r="F515" s="9"/>
      <c r="G515" s="10"/>
      <c r="H515" s="11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7"/>
      <c r="B516" s="7"/>
      <c r="C516" s="5"/>
      <c r="D516" s="5"/>
      <c r="E516" s="9"/>
      <c r="F516" s="9"/>
      <c r="G516" s="10"/>
      <c r="H516" s="11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7"/>
      <c r="B517" s="7"/>
      <c r="C517" s="5"/>
      <c r="D517" s="5"/>
      <c r="E517" s="9"/>
      <c r="F517" s="9"/>
      <c r="G517" s="10"/>
      <c r="H517" s="11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7"/>
      <c r="B518" s="7"/>
      <c r="C518" s="5"/>
      <c r="D518" s="5"/>
      <c r="E518" s="9"/>
      <c r="F518" s="9"/>
      <c r="G518" s="10"/>
      <c r="H518" s="11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7"/>
      <c r="B519" s="7"/>
      <c r="C519" s="5"/>
      <c r="D519" s="5"/>
      <c r="E519" s="9"/>
      <c r="F519" s="9"/>
      <c r="G519" s="10"/>
      <c r="H519" s="11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7"/>
      <c r="B520" s="7"/>
      <c r="C520" s="5"/>
      <c r="D520" s="5"/>
      <c r="E520" s="9"/>
      <c r="F520" s="9"/>
      <c r="G520" s="10"/>
      <c r="H520" s="11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7"/>
      <c r="B521" s="7"/>
      <c r="C521" s="5"/>
      <c r="D521" s="5"/>
      <c r="E521" s="9"/>
      <c r="F521" s="9"/>
      <c r="G521" s="10"/>
      <c r="H521" s="11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7"/>
      <c r="B522" s="7"/>
      <c r="C522" s="5"/>
      <c r="D522" s="5"/>
      <c r="E522" s="9"/>
      <c r="F522" s="9"/>
      <c r="G522" s="10"/>
      <c r="H522" s="11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7"/>
      <c r="B523" s="7"/>
      <c r="C523" s="5"/>
      <c r="D523" s="5"/>
      <c r="E523" s="9"/>
      <c r="F523" s="9"/>
      <c r="G523" s="10"/>
      <c r="H523" s="11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7"/>
      <c r="B524" s="7"/>
      <c r="C524" s="5"/>
      <c r="D524" s="5"/>
      <c r="E524" s="9"/>
      <c r="F524" s="9"/>
      <c r="G524" s="10"/>
      <c r="H524" s="11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7"/>
      <c r="B525" s="7"/>
      <c r="C525" s="5"/>
      <c r="D525" s="5"/>
      <c r="E525" s="9"/>
      <c r="F525" s="9"/>
      <c r="G525" s="10"/>
      <c r="H525" s="11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7"/>
      <c r="B526" s="7"/>
      <c r="C526" s="5"/>
      <c r="D526" s="5"/>
      <c r="E526" s="9"/>
      <c r="F526" s="9"/>
      <c r="G526" s="10"/>
      <c r="H526" s="11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7"/>
      <c r="B527" s="7"/>
      <c r="C527" s="5"/>
      <c r="D527" s="5"/>
      <c r="E527" s="9"/>
      <c r="F527" s="9"/>
      <c r="G527" s="10"/>
      <c r="H527" s="11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7"/>
      <c r="B528" s="7"/>
      <c r="C528" s="5"/>
      <c r="D528" s="5"/>
      <c r="E528" s="9"/>
      <c r="F528" s="9"/>
      <c r="G528" s="10"/>
      <c r="H528" s="11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7"/>
      <c r="B529" s="7"/>
      <c r="C529" s="5"/>
      <c r="D529" s="5"/>
      <c r="E529" s="9"/>
      <c r="F529" s="9"/>
      <c r="G529" s="10"/>
      <c r="H529" s="11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7"/>
      <c r="B530" s="7"/>
      <c r="C530" s="5"/>
      <c r="D530" s="5"/>
      <c r="E530" s="9"/>
      <c r="F530" s="9"/>
      <c r="G530" s="10"/>
      <c r="H530" s="11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7"/>
      <c r="B531" s="7"/>
      <c r="C531" s="5"/>
      <c r="D531" s="5"/>
      <c r="E531" s="9"/>
      <c r="F531" s="9"/>
      <c r="G531" s="10"/>
      <c r="H531" s="11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7"/>
      <c r="B532" s="7"/>
      <c r="C532" s="5"/>
      <c r="D532" s="5"/>
      <c r="E532" s="9"/>
      <c r="F532" s="9"/>
      <c r="G532" s="10"/>
      <c r="H532" s="11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7"/>
      <c r="B533" s="7"/>
      <c r="C533" s="5"/>
      <c r="D533" s="5"/>
      <c r="E533" s="9"/>
      <c r="F533" s="9"/>
      <c r="G533" s="10"/>
      <c r="H533" s="11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7"/>
      <c r="B534" s="7"/>
      <c r="C534" s="5"/>
      <c r="D534" s="5"/>
      <c r="E534" s="9"/>
      <c r="F534" s="9"/>
      <c r="G534" s="10"/>
      <c r="H534" s="11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7"/>
      <c r="B535" s="7"/>
      <c r="C535" s="5"/>
      <c r="D535" s="5"/>
      <c r="E535" s="9"/>
      <c r="F535" s="9"/>
      <c r="G535" s="10"/>
      <c r="H535" s="11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7"/>
      <c r="B536" s="7"/>
      <c r="C536" s="5"/>
      <c r="D536" s="5"/>
      <c r="E536" s="9"/>
      <c r="F536" s="9"/>
      <c r="G536" s="10"/>
      <c r="H536" s="11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7"/>
      <c r="B537" s="7"/>
      <c r="C537" s="5"/>
      <c r="D537" s="5"/>
      <c r="E537" s="9"/>
      <c r="F537" s="9"/>
      <c r="G537" s="10"/>
      <c r="H537" s="11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7"/>
      <c r="B538" s="7"/>
      <c r="C538" s="5"/>
      <c r="D538" s="5"/>
      <c r="E538" s="9"/>
      <c r="F538" s="9"/>
      <c r="G538" s="10"/>
      <c r="H538" s="11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7"/>
      <c r="B539" s="7"/>
      <c r="C539" s="5"/>
      <c r="D539" s="5"/>
      <c r="E539" s="9"/>
      <c r="F539" s="9"/>
      <c r="G539" s="10"/>
      <c r="H539" s="11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7"/>
      <c r="B540" s="7"/>
      <c r="C540" s="5"/>
      <c r="D540" s="5"/>
      <c r="E540" s="9"/>
      <c r="F540" s="9"/>
      <c r="G540" s="10"/>
      <c r="H540" s="11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7"/>
      <c r="B541" s="7"/>
      <c r="C541" s="5"/>
      <c r="D541" s="5"/>
      <c r="E541" s="9"/>
      <c r="F541" s="9"/>
      <c r="G541" s="10"/>
      <c r="H541" s="11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7"/>
      <c r="B542" s="7"/>
      <c r="C542" s="5"/>
      <c r="D542" s="5"/>
      <c r="E542" s="9"/>
      <c r="F542" s="9"/>
      <c r="G542" s="10"/>
      <c r="H542" s="11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7"/>
      <c r="B543" s="7"/>
      <c r="C543" s="5"/>
      <c r="D543" s="5"/>
      <c r="E543" s="9"/>
      <c r="F543" s="9"/>
      <c r="G543" s="10"/>
      <c r="H543" s="11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7"/>
      <c r="B544" s="7"/>
      <c r="C544" s="5"/>
      <c r="D544" s="5"/>
      <c r="E544" s="9"/>
      <c r="F544" s="9"/>
      <c r="G544" s="10"/>
      <c r="H544" s="11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7"/>
      <c r="B545" s="7"/>
      <c r="C545" s="5"/>
      <c r="D545" s="5"/>
      <c r="E545" s="9"/>
      <c r="F545" s="9"/>
      <c r="G545" s="10"/>
      <c r="H545" s="11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7"/>
      <c r="B546" s="7"/>
      <c r="C546" s="5"/>
      <c r="D546" s="5"/>
      <c r="E546" s="9"/>
      <c r="F546" s="9"/>
      <c r="G546" s="10"/>
      <c r="H546" s="11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7"/>
      <c r="B547" s="7"/>
      <c r="C547" s="5"/>
      <c r="D547" s="5"/>
      <c r="E547" s="9"/>
      <c r="F547" s="9"/>
      <c r="G547" s="10"/>
      <c r="H547" s="11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7"/>
      <c r="B548" s="7"/>
      <c r="C548" s="5"/>
      <c r="D548" s="5"/>
      <c r="E548" s="9"/>
      <c r="F548" s="9"/>
      <c r="G548" s="10"/>
      <c r="H548" s="11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7"/>
      <c r="B549" s="7"/>
      <c r="C549" s="5"/>
      <c r="D549" s="5"/>
      <c r="E549" s="9"/>
      <c r="F549" s="9"/>
      <c r="G549" s="10"/>
      <c r="H549" s="11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7"/>
      <c r="B550" s="7"/>
      <c r="C550" s="5"/>
      <c r="D550" s="5"/>
      <c r="E550" s="9"/>
      <c r="F550" s="9"/>
      <c r="G550" s="10"/>
      <c r="H550" s="11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7"/>
      <c r="B551" s="7"/>
      <c r="C551" s="5"/>
      <c r="D551" s="5"/>
      <c r="E551" s="9"/>
      <c r="F551" s="9"/>
      <c r="G551" s="10"/>
      <c r="H551" s="11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7"/>
      <c r="B552" s="7"/>
      <c r="C552" s="5"/>
      <c r="D552" s="5"/>
      <c r="E552" s="9"/>
      <c r="F552" s="9"/>
      <c r="G552" s="10"/>
      <c r="H552" s="11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7"/>
      <c r="B553" s="7"/>
      <c r="C553" s="5"/>
      <c r="D553" s="5"/>
      <c r="E553" s="9"/>
      <c r="F553" s="9"/>
      <c r="G553" s="10"/>
      <c r="H553" s="11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7"/>
      <c r="B554" s="7"/>
      <c r="C554" s="5"/>
      <c r="D554" s="5"/>
      <c r="E554" s="9"/>
      <c r="F554" s="9"/>
      <c r="G554" s="10"/>
      <c r="H554" s="11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7"/>
      <c r="B555" s="7"/>
      <c r="C555" s="5"/>
      <c r="D555" s="5"/>
      <c r="E555" s="9"/>
      <c r="F555" s="9"/>
      <c r="G555" s="10"/>
      <c r="H555" s="11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7"/>
      <c r="B556" s="7"/>
      <c r="C556" s="5"/>
      <c r="D556" s="5"/>
      <c r="E556" s="9"/>
      <c r="F556" s="9"/>
      <c r="G556" s="10"/>
      <c r="H556" s="11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7"/>
      <c r="B557" s="7"/>
      <c r="C557" s="5"/>
      <c r="D557" s="5"/>
      <c r="E557" s="9"/>
      <c r="F557" s="9"/>
      <c r="G557" s="10"/>
      <c r="H557" s="11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7"/>
      <c r="B558" s="7"/>
      <c r="C558" s="5"/>
      <c r="D558" s="5"/>
      <c r="E558" s="9"/>
      <c r="F558" s="9"/>
      <c r="G558" s="10"/>
      <c r="H558" s="11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7"/>
      <c r="B559" s="7"/>
      <c r="C559" s="5"/>
      <c r="D559" s="5"/>
      <c r="E559" s="9"/>
      <c r="F559" s="9"/>
      <c r="G559" s="10"/>
      <c r="H559" s="11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7"/>
      <c r="B560" s="7"/>
      <c r="C560" s="5"/>
      <c r="D560" s="5"/>
      <c r="E560" s="9"/>
      <c r="F560" s="9"/>
      <c r="G560" s="10"/>
      <c r="H560" s="11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7"/>
      <c r="B561" s="7"/>
      <c r="C561" s="5"/>
      <c r="D561" s="5"/>
      <c r="E561" s="9"/>
      <c r="F561" s="9"/>
      <c r="G561" s="10"/>
      <c r="H561" s="11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7"/>
      <c r="B562" s="7"/>
      <c r="C562" s="5"/>
      <c r="D562" s="5"/>
      <c r="E562" s="9"/>
      <c r="F562" s="9"/>
      <c r="G562" s="10"/>
      <c r="H562" s="11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7"/>
      <c r="B563" s="7"/>
      <c r="C563" s="5"/>
      <c r="D563" s="5"/>
      <c r="E563" s="9"/>
      <c r="F563" s="9"/>
      <c r="G563" s="10"/>
      <c r="H563" s="11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7"/>
      <c r="B564" s="7"/>
      <c r="C564" s="5"/>
      <c r="D564" s="5"/>
      <c r="E564" s="9"/>
      <c r="F564" s="9"/>
      <c r="G564" s="10"/>
      <c r="H564" s="11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7"/>
      <c r="B565" s="7"/>
      <c r="C565" s="5"/>
      <c r="D565" s="5"/>
      <c r="E565" s="9"/>
      <c r="F565" s="9"/>
      <c r="G565" s="10"/>
      <c r="H565" s="11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7"/>
      <c r="B566" s="7"/>
      <c r="C566" s="5"/>
      <c r="D566" s="5"/>
      <c r="E566" s="9"/>
      <c r="F566" s="9"/>
      <c r="G566" s="10"/>
      <c r="H566" s="11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7"/>
      <c r="B567" s="7"/>
      <c r="C567" s="5"/>
      <c r="D567" s="5"/>
      <c r="E567" s="9"/>
      <c r="F567" s="9"/>
      <c r="G567" s="10"/>
      <c r="H567" s="11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7"/>
      <c r="B568" s="7"/>
      <c r="C568" s="5"/>
      <c r="D568" s="5"/>
      <c r="E568" s="9"/>
      <c r="F568" s="9"/>
      <c r="G568" s="10"/>
      <c r="H568" s="11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7"/>
      <c r="B569" s="7"/>
      <c r="C569" s="5"/>
      <c r="D569" s="5"/>
      <c r="E569" s="9"/>
      <c r="F569" s="9"/>
      <c r="G569" s="10"/>
      <c r="H569" s="11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7"/>
      <c r="B570" s="7"/>
      <c r="C570" s="5"/>
      <c r="D570" s="5"/>
      <c r="E570" s="9"/>
      <c r="F570" s="9"/>
      <c r="G570" s="10"/>
      <c r="H570" s="11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7"/>
      <c r="B571" s="7"/>
      <c r="C571" s="5"/>
      <c r="D571" s="5"/>
      <c r="E571" s="9"/>
      <c r="F571" s="9"/>
      <c r="G571" s="10"/>
      <c r="H571" s="11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7"/>
      <c r="B572" s="7"/>
      <c r="C572" s="5"/>
      <c r="D572" s="5"/>
      <c r="E572" s="9"/>
      <c r="F572" s="9"/>
      <c r="G572" s="10"/>
      <c r="H572" s="11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7"/>
      <c r="B573" s="7"/>
      <c r="C573" s="5"/>
      <c r="D573" s="5"/>
      <c r="E573" s="9"/>
      <c r="F573" s="9"/>
      <c r="G573" s="10"/>
      <c r="H573" s="11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7"/>
      <c r="B574" s="7"/>
      <c r="C574" s="5"/>
      <c r="D574" s="5"/>
      <c r="E574" s="9"/>
      <c r="F574" s="9"/>
      <c r="G574" s="10"/>
      <c r="H574" s="11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7"/>
      <c r="B575" s="7"/>
      <c r="C575" s="5"/>
      <c r="D575" s="5"/>
      <c r="E575" s="9"/>
      <c r="F575" s="9"/>
      <c r="G575" s="10"/>
      <c r="H575" s="11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7"/>
      <c r="B576" s="7"/>
      <c r="C576" s="5"/>
      <c r="D576" s="5"/>
      <c r="E576" s="9"/>
      <c r="F576" s="9"/>
      <c r="G576" s="10"/>
      <c r="H576" s="11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7"/>
      <c r="B577" s="7"/>
      <c r="C577" s="5"/>
      <c r="D577" s="5"/>
      <c r="E577" s="9"/>
      <c r="F577" s="9"/>
      <c r="G577" s="10"/>
      <c r="H577" s="11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7"/>
      <c r="B578" s="7"/>
      <c r="C578" s="5"/>
      <c r="D578" s="5"/>
      <c r="E578" s="9"/>
      <c r="F578" s="9"/>
      <c r="G578" s="10"/>
      <c r="H578" s="11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7"/>
      <c r="B579" s="7"/>
      <c r="C579" s="5"/>
      <c r="D579" s="5"/>
      <c r="E579" s="9"/>
      <c r="F579" s="9"/>
      <c r="G579" s="10"/>
      <c r="H579" s="11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7"/>
      <c r="B580" s="7"/>
      <c r="C580" s="5"/>
      <c r="D580" s="5"/>
      <c r="E580" s="9"/>
      <c r="F580" s="9"/>
      <c r="G580" s="10"/>
      <c r="H580" s="11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7"/>
      <c r="B581" s="7"/>
      <c r="C581" s="5"/>
      <c r="D581" s="5"/>
      <c r="E581" s="9"/>
      <c r="F581" s="9"/>
      <c r="G581" s="10"/>
      <c r="H581" s="11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7"/>
      <c r="B582" s="7"/>
      <c r="C582" s="5"/>
      <c r="D582" s="5"/>
      <c r="E582" s="9"/>
      <c r="F582" s="9"/>
      <c r="G582" s="10"/>
      <c r="H582" s="11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7"/>
      <c r="B583" s="7"/>
      <c r="C583" s="5"/>
      <c r="D583" s="5"/>
      <c r="E583" s="9"/>
      <c r="F583" s="9"/>
      <c r="G583" s="10"/>
      <c r="H583" s="11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7"/>
      <c r="B584" s="7"/>
      <c r="C584" s="5"/>
      <c r="D584" s="5"/>
      <c r="E584" s="9"/>
      <c r="F584" s="9"/>
      <c r="G584" s="10"/>
      <c r="H584" s="11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7"/>
      <c r="B585" s="7"/>
      <c r="C585" s="5"/>
      <c r="D585" s="5"/>
      <c r="E585" s="9"/>
      <c r="F585" s="9"/>
      <c r="G585" s="10"/>
      <c r="H585" s="11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7"/>
      <c r="B586" s="7"/>
      <c r="C586" s="5"/>
      <c r="D586" s="5"/>
      <c r="E586" s="9"/>
      <c r="F586" s="9"/>
      <c r="G586" s="10"/>
      <c r="H586" s="11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7"/>
      <c r="B587" s="7"/>
      <c r="C587" s="5"/>
      <c r="D587" s="5"/>
      <c r="E587" s="9"/>
      <c r="F587" s="9"/>
      <c r="G587" s="10"/>
      <c r="H587" s="11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7"/>
      <c r="B588" s="7"/>
      <c r="C588" s="5"/>
      <c r="D588" s="5"/>
      <c r="E588" s="9"/>
      <c r="F588" s="9"/>
      <c r="G588" s="10"/>
      <c r="H588" s="11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7"/>
      <c r="B589" s="7"/>
      <c r="C589" s="5"/>
      <c r="D589" s="5"/>
      <c r="E589" s="9"/>
      <c r="F589" s="9"/>
      <c r="G589" s="10"/>
      <c r="H589" s="11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7"/>
      <c r="B590" s="7"/>
      <c r="C590" s="5"/>
      <c r="D590" s="5"/>
      <c r="E590" s="9"/>
      <c r="F590" s="9"/>
      <c r="G590" s="10"/>
      <c r="H590" s="11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7"/>
      <c r="B591" s="7"/>
      <c r="C591" s="5"/>
      <c r="D591" s="5"/>
      <c r="E591" s="9"/>
      <c r="F591" s="9"/>
      <c r="G591" s="10"/>
      <c r="H591" s="11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7"/>
      <c r="B592" s="7"/>
      <c r="C592" s="5"/>
      <c r="D592" s="5"/>
      <c r="E592" s="9"/>
      <c r="F592" s="9"/>
      <c r="G592" s="10"/>
      <c r="H592" s="11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7"/>
      <c r="B593" s="7"/>
      <c r="C593" s="5"/>
      <c r="D593" s="5"/>
      <c r="E593" s="9"/>
      <c r="F593" s="9"/>
      <c r="G593" s="10"/>
      <c r="H593" s="11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7"/>
      <c r="B594" s="7"/>
      <c r="C594" s="5"/>
      <c r="D594" s="5"/>
      <c r="E594" s="9"/>
      <c r="F594" s="9"/>
      <c r="G594" s="10"/>
      <c r="H594" s="11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7"/>
      <c r="B595" s="7"/>
      <c r="C595" s="5"/>
      <c r="D595" s="5"/>
      <c r="E595" s="9"/>
      <c r="F595" s="9"/>
      <c r="G595" s="10"/>
      <c r="H595" s="11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7"/>
      <c r="B596" s="7"/>
      <c r="C596" s="5"/>
      <c r="D596" s="5"/>
      <c r="E596" s="9"/>
      <c r="F596" s="9"/>
      <c r="G596" s="10"/>
      <c r="H596" s="11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7"/>
      <c r="B597" s="7"/>
      <c r="C597" s="5"/>
      <c r="D597" s="5"/>
      <c r="E597" s="9"/>
      <c r="F597" s="9"/>
      <c r="G597" s="10"/>
      <c r="H597" s="11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7"/>
      <c r="B598" s="7"/>
      <c r="C598" s="5"/>
      <c r="D598" s="5"/>
      <c r="E598" s="9"/>
      <c r="F598" s="9"/>
      <c r="G598" s="10"/>
      <c r="H598" s="11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7"/>
      <c r="B599" s="7"/>
      <c r="C599" s="5"/>
      <c r="D599" s="5"/>
      <c r="E599" s="9"/>
      <c r="F599" s="9"/>
      <c r="G599" s="10"/>
      <c r="H599" s="11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7"/>
      <c r="B600" s="7"/>
      <c r="C600" s="5"/>
      <c r="D600" s="5"/>
      <c r="E600" s="9"/>
      <c r="F600" s="9"/>
      <c r="G600" s="10"/>
      <c r="H600" s="11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7"/>
      <c r="B601" s="7"/>
      <c r="C601" s="5"/>
      <c r="D601" s="5"/>
      <c r="E601" s="9"/>
      <c r="F601" s="9"/>
      <c r="G601" s="10"/>
      <c r="H601" s="11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7"/>
      <c r="B602" s="7"/>
      <c r="C602" s="5"/>
      <c r="D602" s="5"/>
      <c r="E602" s="9"/>
      <c r="F602" s="9"/>
      <c r="G602" s="10"/>
      <c r="H602" s="11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7"/>
      <c r="B603" s="7"/>
      <c r="C603" s="5"/>
      <c r="D603" s="5"/>
      <c r="E603" s="9"/>
      <c r="F603" s="9"/>
      <c r="G603" s="10"/>
      <c r="H603" s="11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7"/>
      <c r="B604" s="7"/>
      <c r="C604" s="5"/>
      <c r="D604" s="5"/>
      <c r="E604" s="9"/>
      <c r="F604" s="9"/>
      <c r="G604" s="10"/>
      <c r="H604" s="11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7"/>
      <c r="B605" s="7"/>
      <c r="C605" s="5"/>
      <c r="D605" s="5"/>
      <c r="E605" s="9"/>
      <c r="F605" s="9"/>
      <c r="G605" s="10"/>
      <c r="H605" s="11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7"/>
      <c r="B606" s="7"/>
      <c r="C606" s="5"/>
      <c r="D606" s="5"/>
      <c r="E606" s="9"/>
      <c r="F606" s="9"/>
      <c r="G606" s="10"/>
      <c r="H606" s="11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7"/>
      <c r="B607" s="7"/>
      <c r="C607" s="5"/>
      <c r="D607" s="5"/>
      <c r="E607" s="9"/>
      <c r="F607" s="9"/>
      <c r="G607" s="10"/>
      <c r="H607" s="11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7"/>
      <c r="B608" s="7"/>
      <c r="C608" s="5"/>
      <c r="D608" s="5"/>
      <c r="E608" s="9"/>
      <c r="F608" s="9"/>
      <c r="G608" s="10"/>
      <c r="H608" s="11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7"/>
      <c r="B609" s="7"/>
      <c r="C609" s="5"/>
      <c r="D609" s="5"/>
      <c r="E609" s="9"/>
      <c r="F609" s="9"/>
      <c r="G609" s="10"/>
      <c r="H609" s="11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7"/>
      <c r="B610" s="7"/>
      <c r="C610" s="5"/>
      <c r="D610" s="5"/>
      <c r="E610" s="9"/>
      <c r="F610" s="9"/>
      <c r="G610" s="10"/>
      <c r="H610" s="11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7"/>
      <c r="B611" s="7"/>
      <c r="C611" s="5"/>
      <c r="D611" s="5"/>
      <c r="E611" s="9"/>
      <c r="F611" s="9"/>
      <c r="G611" s="10"/>
      <c r="H611" s="11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7"/>
      <c r="B612" s="7"/>
      <c r="C612" s="5"/>
      <c r="D612" s="5"/>
      <c r="E612" s="9"/>
      <c r="F612" s="9"/>
      <c r="G612" s="10"/>
      <c r="H612" s="11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7"/>
      <c r="B613" s="7"/>
      <c r="C613" s="5"/>
      <c r="D613" s="5"/>
      <c r="E613" s="9"/>
      <c r="F613" s="9"/>
      <c r="G613" s="10"/>
      <c r="H613" s="11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7"/>
      <c r="B614" s="7"/>
      <c r="C614" s="5"/>
      <c r="D614" s="5"/>
      <c r="E614" s="9"/>
      <c r="F614" s="9"/>
      <c r="G614" s="10"/>
      <c r="H614" s="11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7"/>
      <c r="B615" s="7"/>
      <c r="C615" s="5"/>
      <c r="D615" s="5"/>
      <c r="E615" s="9"/>
      <c r="F615" s="9"/>
      <c r="G615" s="10"/>
      <c r="H615" s="11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7"/>
      <c r="B616" s="7"/>
      <c r="C616" s="5"/>
      <c r="D616" s="5"/>
      <c r="E616" s="9"/>
      <c r="F616" s="9"/>
      <c r="G616" s="10"/>
      <c r="H616" s="11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7"/>
      <c r="B617" s="7"/>
      <c r="C617" s="5"/>
      <c r="D617" s="5"/>
      <c r="E617" s="9"/>
      <c r="F617" s="9"/>
      <c r="G617" s="10"/>
      <c r="H617" s="11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7"/>
      <c r="B618" s="7"/>
      <c r="C618" s="5"/>
      <c r="D618" s="5"/>
      <c r="E618" s="9"/>
      <c r="F618" s="9"/>
      <c r="G618" s="10"/>
      <c r="H618" s="11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7"/>
      <c r="B619" s="7"/>
      <c r="C619" s="5"/>
      <c r="D619" s="5"/>
      <c r="E619" s="9"/>
      <c r="F619" s="9"/>
      <c r="G619" s="10"/>
      <c r="H619" s="11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7"/>
      <c r="B620" s="7"/>
      <c r="C620" s="5"/>
      <c r="D620" s="5"/>
      <c r="E620" s="9"/>
      <c r="F620" s="9"/>
      <c r="G620" s="10"/>
      <c r="H620" s="11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7"/>
      <c r="B621" s="7"/>
      <c r="C621" s="5"/>
      <c r="D621" s="5"/>
      <c r="E621" s="9"/>
      <c r="F621" s="9"/>
      <c r="G621" s="10"/>
      <c r="H621" s="11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7"/>
      <c r="B622" s="7"/>
      <c r="C622" s="5"/>
      <c r="D622" s="5"/>
      <c r="E622" s="9"/>
      <c r="F622" s="9"/>
      <c r="G622" s="10"/>
      <c r="H622" s="11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7"/>
      <c r="B623" s="7"/>
      <c r="C623" s="5"/>
      <c r="D623" s="5"/>
      <c r="E623" s="9"/>
      <c r="F623" s="9"/>
      <c r="G623" s="10"/>
      <c r="H623" s="11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7"/>
      <c r="B624" s="7"/>
      <c r="C624" s="5"/>
      <c r="D624" s="5"/>
      <c r="E624" s="9"/>
      <c r="F624" s="9"/>
      <c r="G624" s="10"/>
      <c r="H624" s="11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7"/>
      <c r="B625" s="7"/>
      <c r="C625" s="5"/>
      <c r="D625" s="5"/>
      <c r="E625" s="9"/>
      <c r="F625" s="9"/>
      <c r="G625" s="10"/>
      <c r="H625" s="11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7"/>
      <c r="B626" s="7"/>
      <c r="C626" s="5"/>
      <c r="D626" s="5"/>
      <c r="E626" s="9"/>
      <c r="F626" s="9"/>
      <c r="G626" s="10"/>
      <c r="H626" s="11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7"/>
      <c r="B627" s="7"/>
      <c r="C627" s="5"/>
      <c r="D627" s="5"/>
      <c r="E627" s="9"/>
      <c r="F627" s="9"/>
      <c r="G627" s="10"/>
      <c r="H627" s="11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7"/>
      <c r="B628" s="7"/>
      <c r="C628" s="5"/>
      <c r="D628" s="5"/>
      <c r="E628" s="9"/>
      <c r="F628" s="9"/>
      <c r="G628" s="10"/>
      <c r="H628" s="11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7"/>
      <c r="B629" s="7"/>
      <c r="C629" s="5"/>
      <c r="D629" s="5"/>
      <c r="E629" s="9"/>
      <c r="F629" s="9"/>
      <c r="G629" s="10"/>
      <c r="H629" s="11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7"/>
      <c r="B630" s="7"/>
      <c r="C630" s="5"/>
      <c r="D630" s="5"/>
      <c r="E630" s="9"/>
      <c r="F630" s="9"/>
      <c r="G630" s="10"/>
      <c r="H630" s="11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7"/>
      <c r="B631" s="7"/>
      <c r="C631" s="5"/>
      <c r="D631" s="5"/>
      <c r="E631" s="9"/>
      <c r="F631" s="9"/>
      <c r="G631" s="10"/>
      <c r="H631" s="11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7"/>
      <c r="B632" s="7"/>
      <c r="C632" s="5"/>
      <c r="D632" s="5"/>
      <c r="E632" s="9"/>
      <c r="F632" s="9"/>
      <c r="G632" s="10"/>
      <c r="H632" s="11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7"/>
      <c r="B633" s="7"/>
      <c r="C633" s="5"/>
      <c r="D633" s="5"/>
      <c r="E633" s="9"/>
      <c r="F633" s="9"/>
      <c r="G633" s="10"/>
      <c r="H633" s="11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7"/>
      <c r="B634" s="7"/>
      <c r="C634" s="5"/>
      <c r="D634" s="5"/>
      <c r="E634" s="9"/>
      <c r="F634" s="9"/>
      <c r="G634" s="10"/>
      <c r="H634" s="11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7"/>
      <c r="B635" s="7"/>
      <c r="C635" s="5"/>
      <c r="D635" s="5"/>
      <c r="E635" s="9"/>
      <c r="F635" s="9"/>
      <c r="G635" s="10"/>
      <c r="H635" s="11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7"/>
      <c r="B636" s="7"/>
      <c r="C636" s="5"/>
      <c r="D636" s="5"/>
      <c r="E636" s="9"/>
      <c r="F636" s="9"/>
      <c r="G636" s="10"/>
      <c r="H636" s="11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7"/>
      <c r="B637" s="7"/>
      <c r="C637" s="5"/>
      <c r="D637" s="5"/>
      <c r="E637" s="9"/>
      <c r="F637" s="9"/>
      <c r="G637" s="10"/>
      <c r="H637" s="11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7"/>
      <c r="B638" s="7"/>
      <c r="C638" s="5"/>
      <c r="D638" s="5"/>
      <c r="E638" s="9"/>
      <c r="F638" s="9"/>
      <c r="G638" s="10"/>
      <c r="H638" s="11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7"/>
      <c r="B639" s="7"/>
      <c r="C639" s="5"/>
      <c r="D639" s="5"/>
      <c r="E639" s="9"/>
      <c r="F639" s="9"/>
      <c r="G639" s="10"/>
      <c r="H639" s="11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7"/>
      <c r="B640" s="7"/>
      <c r="C640" s="5"/>
      <c r="D640" s="5"/>
      <c r="E640" s="9"/>
      <c r="F640" s="9"/>
      <c r="G640" s="10"/>
      <c r="H640" s="11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7"/>
      <c r="B641" s="7"/>
      <c r="C641" s="5"/>
      <c r="D641" s="5"/>
      <c r="E641" s="9"/>
      <c r="F641" s="9"/>
      <c r="G641" s="10"/>
      <c r="H641" s="11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7"/>
      <c r="B642" s="7"/>
      <c r="C642" s="5"/>
      <c r="D642" s="5"/>
      <c r="E642" s="9"/>
      <c r="F642" s="9"/>
      <c r="G642" s="10"/>
      <c r="H642" s="11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7"/>
      <c r="B643" s="7"/>
      <c r="C643" s="5"/>
      <c r="D643" s="5"/>
      <c r="E643" s="9"/>
      <c r="F643" s="9"/>
      <c r="G643" s="10"/>
      <c r="H643" s="11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7"/>
      <c r="B644" s="7"/>
      <c r="C644" s="5"/>
      <c r="D644" s="5"/>
      <c r="E644" s="9"/>
      <c r="F644" s="9"/>
      <c r="G644" s="10"/>
      <c r="H644" s="11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7"/>
      <c r="B645" s="7"/>
      <c r="C645" s="5"/>
      <c r="D645" s="5"/>
      <c r="E645" s="9"/>
      <c r="F645" s="9"/>
      <c r="G645" s="10"/>
      <c r="H645" s="11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7"/>
      <c r="B646" s="7"/>
      <c r="C646" s="5"/>
      <c r="D646" s="5"/>
      <c r="E646" s="9"/>
      <c r="F646" s="9"/>
      <c r="G646" s="10"/>
      <c r="H646" s="11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7"/>
      <c r="B647" s="7"/>
      <c r="C647" s="5"/>
      <c r="D647" s="5"/>
      <c r="E647" s="9"/>
      <c r="F647" s="9"/>
      <c r="G647" s="10"/>
      <c r="H647" s="11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7"/>
      <c r="B648" s="7"/>
      <c r="C648" s="5"/>
      <c r="D648" s="5"/>
      <c r="E648" s="9"/>
      <c r="F648" s="9"/>
      <c r="G648" s="10"/>
      <c r="H648" s="11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7"/>
      <c r="B649" s="7"/>
      <c r="C649" s="5"/>
      <c r="D649" s="5"/>
      <c r="E649" s="9"/>
      <c r="F649" s="9"/>
      <c r="G649" s="10"/>
      <c r="H649" s="11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7"/>
      <c r="B650" s="7"/>
      <c r="C650" s="5"/>
      <c r="D650" s="5"/>
      <c r="E650" s="9"/>
      <c r="F650" s="9"/>
      <c r="G650" s="10"/>
      <c r="H650" s="11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7"/>
      <c r="B651" s="7"/>
      <c r="C651" s="5"/>
      <c r="D651" s="5"/>
      <c r="E651" s="9"/>
      <c r="F651" s="9"/>
      <c r="G651" s="10"/>
      <c r="H651" s="11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7"/>
      <c r="B652" s="7"/>
      <c r="C652" s="5"/>
      <c r="D652" s="5"/>
      <c r="E652" s="9"/>
      <c r="F652" s="9"/>
      <c r="G652" s="10"/>
      <c r="H652" s="11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7"/>
      <c r="B653" s="7"/>
      <c r="C653" s="5"/>
      <c r="D653" s="5"/>
      <c r="E653" s="9"/>
      <c r="F653" s="9"/>
      <c r="G653" s="10"/>
      <c r="H653" s="11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7"/>
      <c r="B654" s="7"/>
      <c r="C654" s="5"/>
      <c r="D654" s="5"/>
      <c r="E654" s="9"/>
      <c r="F654" s="9"/>
      <c r="G654" s="10"/>
      <c r="H654" s="11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7"/>
      <c r="B655" s="7"/>
      <c r="C655" s="5"/>
      <c r="D655" s="5"/>
      <c r="E655" s="9"/>
      <c r="F655" s="9"/>
      <c r="G655" s="10"/>
      <c r="H655" s="11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7"/>
      <c r="B656" s="7"/>
      <c r="C656" s="5"/>
      <c r="D656" s="5"/>
      <c r="E656" s="9"/>
      <c r="F656" s="9"/>
      <c r="G656" s="10"/>
      <c r="H656" s="11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7"/>
      <c r="B657" s="7"/>
      <c r="C657" s="5"/>
      <c r="D657" s="5"/>
      <c r="E657" s="9"/>
      <c r="F657" s="9"/>
      <c r="G657" s="10"/>
      <c r="H657" s="11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7"/>
      <c r="B658" s="7"/>
      <c r="C658" s="5"/>
      <c r="D658" s="5"/>
      <c r="E658" s="9"/>
      <c r="F658" s="9"/>
      <c r="G658" s="10"/>
      <c r="H658" s="11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7"/>
      <c r="B659" s="7"/>
      <c r="C659" s="5"/>
      <c r="D659" s="5"/>
      <c r="E659" s="9"/>
      <c r="F659" s="9"/>
      <c r="G659" s="10"/>
      <c r="H659" s="11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7"/>
      <c r="B660" s="7"/>
      <c r="C660" s="5"/>
      <c r="D660" s="5"/>
      <c r="E660" s="9"/>
      <c r="F660" s="9"/>
      <c r="G660" s="10"/>
      <c r="H660" s="11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7"/>
      <c r="B661" s="7"/>
      <c r="C661" s="5"/>
      <c r="D661" s="5"/>
      <c r="E661" s="9"/>
      <c r="F661" s="9"/>
      <c r="G661" s="10"/>
      <c r="H661" s="11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7"/>
      <c r="B662" s="7"/>
      <c r="C662" s="5"/>
      <c r="D662" s="5"/>
      <c r="E662" s="9"/>
      <c r="F662" s="9"/>
      <c r="G662" s="10"/>
      <c r="H662" s="11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7"/>
      <c r="B663" s="7"/>
      <c r="C663" s="5"/>
      <c r="D663" s="5"/>
      <c r="E663" s="9"/>
      <c r="F663" s="9"/>
      <c r="G663" s="10"/>
      <c r="H663" s="11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7"/>
      <c r="B664" s="7"/>
      <c r="C664" s="5"/>
      <c r="D664" s="5"/>
      <c r="E664" s="9"/>
      <c r="F664" s="9"/>
      <c r="G664" s="10"/>
      <c r="H664" s="11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7"/>
      <c r="B665" s="7"/>
      <c r="C665" s="5"/>
      <c r="D665" s="5"/>
      <c r="E665" s="9"/>
      <c r="F665" s="9"/>
      <c r="G665" s="10"/>
      <c r="H665" s="11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7"/>
      <c r="B666" s="7"/>
      <c r="C666" s="5"/>
      <c r="D666" s="5"/>
      <c r="E666" s="9"/>
      <c r="F666" s="9"/>
      <c r="G666" s="10"/>
      <c r="H666" s="11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7"/>
      <c r="B667" s="7"/>
      <c r="C667" s="5"/>
      <c r="D667" s="5"/>
      <c r="E667" s="9"/>
      <c r="F667" s="9"/>
      <c r="G667" s="10"/>
      <c r="H667" s="11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7"/>
      <c r="B668" s="7"/>
      <c r="C668" s="5"/>
      <c r="D668" s="5"/>
      <c r="E668" s="9"/>
      <c r="F668" s="9"/>
      <c r="G668" s="10"/>
      <c r="H668" s="11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7"/>
      <c r="B669" s="7"/>
      <c r="C669" s="5"/>
      <c r="D669" s="5"/>
      <c r="E669" s="9"/>
      <c r="F669" s="9"/>
      <c r="G669" s="10"/>
      <c r="H669" s="11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7"/>
      <c r="B670" s="7"/>
      <c r="C670" s="5"/>
      <c r="D670" s="5"/>
      <c r="E670" s="9"/>
      <c r="F670" s="9"/>
      <c r="G670" s="10"/>
      <c r="H670" s="11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7"/>
      <c r="B671" s="7"/>
      <c r="C671" s="5"/>
      <c r="D671" s="5"/>
      <c r="E671" s="9"/>
      <c r="F671" s="9"/>
      <c r="G671" s="10"/>
      <c r="H671" s="11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7"/>
      <c r="B672" s="7"/>
      <c r="C672" s="5"/>
      <c r="D672" s="5"/>
      <c r="E672" s="9"/>
      <c r="F672" s="9"/>
      <c r="G672" s="10"/>
      <c r="H672" s="11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7"/>
      <c r="B673" s="7"/>
      <c r="C673" s="5"/>
      <c r="D673" s="5"/>
      <c r="E673" s="9"/>
      <c r="F673" s="9"/>
      <c r="G673" s="10"/>
      <c r="H673" s="11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7"/>
      <c r="B674" s="7"/>
      <c r="C674" s="5"/>
      <c r="D674" s="5"/>
      <c r="E674" s="9"/>
      <c r="F674" s="9"/>
      <c r="G674" s="10"/>
      <c r="H674" s="11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7"/>
      <c r="B675" s="7"/>
      <c r="C675" s="5"/>
      <c r="D675" s="5"/>
      <c r="E675" s="9"/>
      <c r="F675" s="9"/>
      <c r="G675" s="10"/>
      <c r="H675" s="11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7"/>
      <c r="B676" s="7"/>
      <c r="C676" s="5"/>
      <c r="D676" s="5"/>
      <c r="E676" s="9"/>
      <c r="F676" s="9"/>
      <c r="G676" s="10"/>
      <c r="H676" s="11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7"/>
      <c r="B677" s="7"/>
      <c r="C677" s="5"/>
      <c r="D677" s="5"/>
      <c r="E677" s="9"/>
      <c r="F677" s="9"/>
      <c r="G677" s="10"/>
      <c r="H677" s="11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7"/>
      <c r="B678" s="7"/>
      <c r="C678" s="5"/>
      <c r="D678" s="5"/>
      <c r="E678" s="9"/>
      <c r="F678" s="9"/>
      <c r="G678" s="10"/>
      <c r="H678" s="11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7"/>
      <c r="B679" s="7"/>
      <c r="C679" s="5"/>
      <c r="D679" s="5"/>
      <c r="E679" s="9"/>
      <c r="F679" s="9"/>
      <c r="G679" s="10"/>
      <c r="H679" s="11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7"/>
      <c r="B680" s="7"/>
      <c r="C680" s="5"/>
      <c r="D680" s="5"/>
      <c r="E680" s="9"/>
      <c r="F680" s="9"/>
      <c r="G680" s="10"/>
      <c r="H680" s="11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7"/>
      <c r="B681" s="7"/>
      <c r="C681" s="5"/>
      <c r="D681" s="5"/>
      <c r="E681" s="9"/>
      <c r="F681" s="9"/>
      <c r="G681" s="10"/>
      <c r="H681" s="11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7"/>
      <c r="B682" s="7"/>
      <c r="C682" s="5"/>
      <c r="D682" s="5"/>
      <c r="E682" s="9"/>
      <c r="F682" s="9"/>
      <c r="G682" s="10"/>
      <c r="H682" s="11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7"/>
      <c r="B683" s="7"/>
      <c r="C683" s="5"/>
      <c r="D683" s="5"/>
      <c r="E683" s="9"/>
      <c r="F683" s="9"/>
      <c r="G683" s="10"/>
      <c r="H683" s="11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7"/>
      <c r="B684" s="7"/>
      <c r="C684" s="5"/>
      <c r="D684" s="5"/>
      <c r="E684" s="9"/>
      <c r="F684" s="9"/>
      <c r="G684" s="10"/>
      <c r="H684" s="11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7"/>
      <c r="B685" s="7"/>
      <c r="C685" s="5"/>
      <c r="D685" s="5"/>
      <c r="E685" s="9"/>
      <c r="F685" s="9"/>
      <c r="G685" s="10"/>
      <c r="H685" s="11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7"/>
      <c r="B686" s="7"/>
      <c r="C686" s="5"/>
      <c r="D686" s="5"/>
      <c r="E686" s="9"/>
      <c r="F686" s="9"/>
      <c r="G686" s="10"/>
      <c r="H686" s="11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7"/>
      <c r="B687" s="7"/>
      <c r="C687" s="5"/>
      <c r="D687" s="5"/>
      <c r="E687" s="9"/>
      <c r="F687" s="9"/>
      <c r="G687" s="10"/>
      <c r="H687" s="11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7"/>
      <c r="B688" s="7"/>
      <c r="C688" s="5"/>
      <c r="D688" s="5"/>
      <c r="E688" s="9"/>
      <c r="F688" s="9"/>
      <c r="G688" s="10"/>
      <c r="H688" s="11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7"/>
      <c r="B689" s="7"/>
      <c r="C689" s="5"/>
      <c r="D689" s="5"/>
      <c r="E689" s="9"/>
      <c r="F689" s="9"/>
      <c r="G689" s="10"/>
      <c r="H689" s="11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7"/>
      <c r="B690" s="7"/>
      <c r="C690" s="5"/>
      <c r="D690" s="5"/>
      <c r="E690" s="9"/>
      <c r="F690" s="9"/>
      <c r="G690" s="10"/>
      <c r="H690" s="11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7"/>
      <c r="B691" s="7"/>
      <c r="C691" s="5"/>
      <c r="D691" s="5"/>
      <c r="E691" s="9"/>
      <c r="F691" s="9"/>
      <c r="G691" s="10"/>
      <c r="H691" s="11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7"/>
      <c r="B692" s="7"/>
      <c r="C692" s="5"/>
      <c r="D692" s="5"/>
      <c r="E692" s="9"/>
      <c r="F692" s="9"/>
      <c r="G692" s="10"/>
      <c r="H692" s="11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7"/>
      <c r="B693" s="7"/>
      <c r="C693" s="5"/>
      <c r="D693" s="5"/>
      <c r="E693" s="9"/>
      <c r="F693" s="9"/>
      <c r="G693" s="10"/>
      <c r="H693" s="11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7"/>
      <c r="B694" s="7"/>
      <c r="C694" s="5"/>
      <c r="D694" s="5"/>
      <c r="E694" s="9"/>
      <c r="F694" s="9"/>
      <c r="G694" s="10"/>
      <c r="H694" s="11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7"/>
      <c r="B695" s="7"/>
      <c r="C695" s="5"/>
      <c r="D695" s="5"/>
      <c r="E695" s="9"/>
      <c r="F695" s="9"/>
      <c r="G695" s="10"/>
      <c r="H695" s="11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7"/>
      <c r="B696" s="7"/>
      <c r="C696" s="5"/>
      <c r="D696" s="5"/>
      <c r="E696" s="9"/>
      <c r="F696" s="9"/>
      <c r="G696" s="10"/>
      <c r="H696" s="11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7"/>
      <c r="B697" s="7"/>
      <c r="C697" s="5"/>
      <c r="D697" s="5"/>
      <c r="E697" s="9"/>
      <c r="F697" s="9"/>
      <c r="G697" s="10"/>
      <c r="H697" s="11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7"/>
      <c r="B698" s="7"/>
      <c r="C698" s="5"/>
      <c r="D698" s="5"/>
      <c r="E698" s="9"/>
      <c r="F698" s="9"/>
      <c r="G698" s="10"/>
      <c r="H698" s="11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7"/>
      <c r="B699" s="7"/>
      <c r="C699" s="5"/>
      <c r="D699" s="5"/>
      <c r="E699" s="9"/>
      <c r="F699" s="9"/>
      <c r="G699" s="10"/>
      <c r="H699" s="11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7"/>
      <c r="B700" s="7"/>
      <c r="C700" s="5"/>
      <c r="D700" s="5"/>
      <c r="E700" s="9"/>
      <c r="F700" s="9"/>
      <c r="G700" s="10"/>
      <c r="H700" s="11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7"/>
      <c r="B701" s="7"/>
      <c r="C701" s="5"/>
      <c r="D701" s="5"/>
      <c r="E701" s="9"/>
      <c r="F701" s="9"/>
      <c r="G701" s="10"/>
      <c r="H701" s="11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7"/>
      <c r="B702" s="7"/>
      <c r="C702" s="5"/>
      <c r="D702" s="5"/>
      <c r="E702" s="9"/>
      <c r="F702" s="9"/>
      <c r="G702" s="10"/>
      <c r="H702" s="11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7"/>
      <c r="B703" s="7"/>
      <c r="C703" s="5"/>
      <c r="D703" s="5"/>
      <c r="E703" s="9"/>
      <c r="F703" s="9"/>
      <c r="G703" s="10"/>
      <c r="H703" s="11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7"/>
      <c r="B704" s="7"/>
      <c r="C704" s="5"/>
      <c r="D704" s="5"/>
      <c r="E704" s="9"/>
      <c r="F704" s="9"/>
      <c r="G704" s="10"/>
      <c r="H704" s="11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7"/>
      <c r="B705" s="7"/>
      <c r="C705" s="5"/>
      <c r="D705" s="5"/>
      <c r="E705" s="9"/>
      <c r="F705" s="9"/>
      <c r="G705" s="10"/>
      <c r="H705" s="11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7"/>
      <c r="B706" s="7"/>
      <c r="C706" s="5"/>
      <c r="D706" s="5"/>
      <c r="E706" s="9"/>
      <c r="F706" s="9"/>
      <c r="G706" s="10"/>
      <c r="H706" s="11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7"/>
      <c r="B707" s="7"/>
      <c r="C707" s="5"/>
      <c r="D707" s="5"/>
      <c r="E707" s="9"/>
      <c r="F707" s="9"/>
      <c r="G707" s="10"/>
      <c r="H707" s="11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7"/>
      <c r="B708" s="7"/>
      <c r="C708" s="5"/>
      <c r="D708" s="5"/>
      <c r="E708" s="9"/>
      <c r="F708" s="9"/>
      <c r="G708" s="10"/>
      <c r="H708" s="11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7"/>
      <c r="B709" s="7"/>
      <c r="C709" s="5"/>
      <c r="D709" s="5"/>
      <c r="E709" s="9"/>
      <c r="F709" s="9"/>
      <c r="G709" s="10"/>
      <c r="H709" s="11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7"/>
      <c r="B710" s="7"/>
      <c r="C710" s="5"/>
      <c r="D710" s="5"/>
      <c r="E710" s="9"/>
      <c r="F710" s="9"/>
      <c r="G710" s="10"/>
      <c r="H710" s="11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7"/>
      <c r="B711" s="7"/>
      <c r="C711" s="5"/>
      <c r="D711" s="5"/>
      <c r="E711" s="9"/>
      <c r="F711" s="9"/>
      <c r="G711" s="10"/>
      <c r="H711" s="11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7"/>
      <c r="B712" s="7"/>
      <c r="C712" s="5"/>
      <c r="D712" s="5"/>
      <c r="E712" s="9"/>
      <c r="F712" s="9"/>
      <c r="G712" s="10"/>
      <c r="H712" s="11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7"/>
      <c r="B713" s="7"/>
      <c r="C713" s="5"/>
      <c r="D713" s="5"/>
      <c r="E713" s="9"/>
      <c r="F713" s="9"/>
      <c r="G713" s="10"/>
      <c r="H713" s="11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7"/>
      <c r="B714" s="7"/>
      <c r="C714" s="5"/>
      <c r="D714" s="5"/>
      <c r="E714" s="9"/>
      <c r="F714" s="9"/>
      <c r="G714" s="10"/>
      <c r="H714" s="11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7"/>
      <c r="B715" s="7"/>
      <c r="C715" s="5"/>
      <c r="D715" s="5"/>
      <c r="E715" s="9"/>
      <c r="F715" s="9"/>
      <c r="G715" s="10"/>
      <c r="H715" s="11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7"/>
      <c r="B716" s="7"/>
      <c r="C716" s="5"/>
      <c r="D716" s="5"/>
      <c r="E716" s="9"/>
      <c r="F716" s="9"/>
      <c r="G716" s="10"/>
      <c r="H716" s="11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7"/>
      <c r="B717" s="7"/>
      <c r="C717" s="5"/>
      <c r="D717" s="5"/>
      <c r="E717" s="9"/>
      <c r="F717" s="9"/>
      <c r="G717" s="10"/>
      <c r="H717" s="11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7"/>
      <c r="B718" s="7"/>
      <c r="C718" s="5"/>
      <c r="D718" s="5"/>
      <c r="E718" s="9"/>
      <c r="F718" s="9"/>
      <c r="G718" s="10"/>
      <c r="H718" s="11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7"/>
      <c r="B719" s="7"/>
      <c r="C719" s="5"/>
      <c r="D719" s="5"/>
      <c r="E719" s="9"/>
      <c r="F719" s="9"/>
      <c r="G719" s="10"/>
      <c r="H719" s="11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7"/>
      <c r="B720" s="7"/>
      <c r="C720" s="5"/>
      <c r="D720" s="5"/>
      <c r="E720" s="9"/>
      <c r="F720" s="9"/>
      <c r="G720" s="10"/>
      <c r="H720" s="11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7"/>
      <c r="B721" s="7"/>
      <c r="C721" s="5"/>
      <c r="D721" s="5"/>
      <c r="E721" s="9"/>
      <c r="F721" s="9"/>
      <c r="G721" s="10"/>
      <c r="H721" s="11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7"/>
      <c r="B722" s="7"/>
      <c r="C722" s="5"/>
      <c r="D722" s="5"/>
      <c r="E722" s="9"/>
      <c r="F722" s="9"/>
      <c r="G722" s="10"/>
      <c r="H722" s="11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7"/>
      <c r="B723" s="7"/>
      <c r="C723" s="5"/>
      <c r="D723" s="5"/>
      <c r="E723" s="9"/>
      <c r="F723" s="9"/>
      <c r="G723" s="10"/>
      <c r="H723" s="11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7"/>
      <c r="B724" s="7"/>
      <c r="C724" s="5"/>
      <c r="D724" s="5"/>
      <c r="E724" s="9"/>
      <c r="F724" s="9"/>
      <c r="G724" s="10"/>
      <c r="H724" s="11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7"/>
      <c r="B725" s="7"/>
      <c r="C725" s="5"/>
      <c r="D725" s="5"/>
      <c r="E725" s="9"/>
      <c r="F725" s="9"/>
      <c r="G725" s="10"/>
      <c r="H725" s="11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7"/>
      <c r="B726" s="7"/>
      <c r="C726" s="5"/>
      <c r="D726" s="5"/>
      <c r="E726" s="9"/>
      <c r="F726" s="9"/>
      <c r="G726" s="10"/>
      <c r="H726" s="11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7"/>
      <c r="B727" s="7"/>
      <c r="C727" s="5"/>
      <c r="D727" s="5"/>
      <c r="E727" s="9"/>
      <c r="F727" s="9"/>
      <c r="G727" s="10"/>
      <c r="H727" s="11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7"/>
      <c r="B728" s="7"/>
      <c r="C728" s="5"/>
      <c r="D728" s="5"/>
      <c r="E728" s="9"/>
      <c r="F728" s="9"/>
      <c r="G728" s="10"/>
      <c r="H728" s="11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7"/>
      <c r="B729" s="7"/>
      <c r="C729" s="5"/>
      <c r="D729" s="5"/>
      <c r="E729" s="9"/>
      <c r="F729" s="9"/>
      <c r="G729" s="10"/>
      <c r="H729" s="11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7"/>
      <c r="B730" s="7"/>
      <c r="C730" s="5"/>
      <c r="D730" s="5"/>
      <c r="E730" s="9"/>
      <c r="F730" s="9"/>
      <c r="G730" s="10"/>
      <c r="H730" s="11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7"/>
      <c r="B731" s="7"/>
      <c r="C731" s="5"/>
      <c r="D731" s="5"/>
      <c r="E731" s="9"/>
      <c r="F731" s="9"/>
      <c r="G731" s="10"/>
      <c r="H731" s="11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7"/>
      <c r="B732" s="7"/>
      <c r="C732" s="5"/>
      <c r="D732" s="5"/>
      <c r="E732" s="9"/>
      <c r="F732" s="9"/>
      <c r="G732" s="10"/>
      <c r="H732" s="11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7"/>
      <c r="B733" s="7"/>
      <c r="C733" s="5"/>
      <c r="D733" s="5"/>
      <c r="E733" s="9"/>
      <c r="F733" s="9"/>
      <c r="G733" s="10"/>
      <c r="H733" s="11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7"/>
      <c r="B734" s="7"/>
      <c r="C734" s="5"/>
      <c r="D734" s="5"/>
      <c r="E734" s="9"/>
      <c r="F734" s="9"/>
      <c r="G734" s="10"/>
      <c r="H734" s="11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7"/>
      <c r="B735" s="7"/>
      <c r="C735" s="5"/>
      <c r="D735" s="5"/>
      <c r="E735" s="9"/>
      <c r="F735" s="9"/>
      <c r="G735" s="10"/>
      <c r="H735" s="11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7"/>
      <c r="B736" s="7"/>
      <c r="C736" s="5"/>
      <c r="D736" s="5"/>
      <c r="E736" s="9"/>
      <c r="F736" s="9"/>
      <c r="G736" s="10"/>
      <c r="H736" s="11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7"/>
      <c r="B737" s="7"/>
      <c r="C737" s="5"/>
      <c r="D737" s="5"/>
      <c r="E737" s="9"/>
      <c r="F737" s="9"/>
      <c r="G737" s="10"/>
      <c r="H737" s="11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7"/>
      <c r="B738" s="7"/>
      <c r="C738" s="5"/>
      <c r="D738" s="5"/>
      <c r="E738" s="9"/>
      <c r="F738" s="9"/>
      <c r="G738" s="10"/>
      <c r="H738" s="11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7"/>
      <c r="B739" s="7"/>
      <c r="C739" s="5"/>
      <c r="D739" s="5"/>
      <c r="E739" s="9"/>
      <c r="F739" s="9"/>
      <c r="G739" s="10"/>
      <c r="H739" s="11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7"/>
      <c r="B740" s="7"/>
      <c r="C740" s="5"/>
      <c r="D740" s="5"/>
      <c r="E740" s="9"/>
      <c r="F740" s="9"/>
      <c r="G740" s="10"/>
      <c r="H740" s="11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7"/>
      <c r="B741" s="7"/>
      <c r="C741" s="5"/>
      <c r="D741" s="5"/>
      <c r="E741" s="9"/>
      <c r="F741" s="9"/>
      <c r="G741" s="10"/>
      <c r="H741" s="11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7"/>
      <c r="B742" s="7"/>
      <c r="C742" s="5"/>
      <c r="D742" s="5"/>
      <c r="E742" s="9"/>
      <c r="F742" s="9"/>
      <c r="G742" s="10"/>
      <c r="H742" s="11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7"/>
      <c r="B743" s="7"/>
      <c r="C743" s="5"/>
      <c r="D743" s="5"/>
      <c r="E743" s="9"/>
      <c r="F743" s="9"/>
      <c r="G743" s="10"/>
      <c r="H743" s="11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7"/>
      <c r="B744" s="7"/>
      <c r="C744" s="5"/>
      <c r="D744" s="5"/>
      <c r="E744" s="9"/>
      <c r="F744" s="9"/>
      <c r="G744" s="10"/>
      <c r="H744" s="11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7"/>
      <c r="B745" s="7"/>
      <c r="C745" s="5"/>
      <c r="D745" s="5"/>
      <c r="E745" s="9"/>
      <c r="F745" s="9"/>
      <c r="G745" s="10"/>
      <c r="H745" s="11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7"/>
      <c r="B746" s="7"/>
      <c r="C746" s="5"/>
      <c r="D746" s="5"/>
      <c r="E746" s="9"/>
      <c r="F746" s="9"/>
      <c r="G746" s="10"/>
      <c r="H746" s="11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7"/>
      <c r="B747" s="7"/>
      <c r="C747" s="5"/>
      <c r="D747" s="5"/>
      <c r="E747" s="9"/>
      <c r="F747" s="9"/>
      <c r="G747" s="10"/>
      <c r="H747" s="11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7"/>
      <c r="B748" s="7"/>
      <c r="C748" s="5"/>
      <c r="D748" s="5"/>
      <c r="E748" s="9"/>
      <c r="F748" s="9"/>
      <c r="G748" s="10"/>
      <c r="H748" s="11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7"/>
      <c r="B749" s="7"/>
      <c r="C749" s="5"/>
      <c r="D749" s="5"/>
      <c r="E749" s="9"/>
      <c r="F749" s="9"/>
      <c r="G749" s="10"/>
      <c r="H749" s="11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7"/>
      <c r="B750" s="7"/>
      <c r="C750" s="5"/>
      <c r="D750" s="5"/>
      <c r="E750" s="9"/>
      <c r="F750" s="9"/>
      <c r="G750" s="10"/>
      <c r="H750" s="11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7"/>
      <c r="B751" s="7"/>
      <c r="C751" s="5"/>
      <c r="D751" s="5"/>
      <c r="E751" s="9"/>
      <c r="F751" s="9"/>
      <c r="G751" s="10"/>
      <c r="H751" s="11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7"/>
      <c r="B752" s="7"/>
      <c r="C752" s="5"/>
      <c r="D752" s="5"/>
      <c r="E752" s="9"/>
      <c r="F752" s="9"/>
      <c r="G752" s="10"/>
      <c r="H752" s="11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7"/>
      <c r="B753" s="7"/>
      <c r="C753" s="5"/>
      <c r="D753" s="5"/>
      <c r="E753" s="9"/>
      <c r="F753" s="9"/>
      <c r="G753" s="10"/>
      <c r="H753" s="11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7"/>
      <c r="B754" s="7"/>
      <c r="C754" s="5"/>
      <c r="D754" s="5"/>
      <c r="E754" s="9"/>
      <c r="F754" s="9"/>
      <c r="G754" s="10"/>
      <c r="H754" s="11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7"/>
      <c r="B755" s="7"/>
      <c r="C755" s="5"/>
      <c r="D755" s="5"/>
      <c r="E755" s="9"/>
      <c r="F755" s="9"/>
      <c r="G755" s="10"/>
      <c r="H755" s="11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7"/>
      <c r="B756" s="7"/>
      <c r="C756" s="5"/>
      <c r="D756" s="5"/>
      <c r="E756" s="9"/>
      <c r="F756" s="9"/>
      <c r="G756" s="10"/>
      <c r="H756" s="11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7"/>
      <c r="B757" s="7"/>
      <c r="C757" s="5"/>
      <c r="D757" s="5"/>
      <c r="E757" s="9"/>
      <c r="F757" s="9"/>
      <c r="G757" s="10"/>
      <c r="H757" s="11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7"/>
      <c r="B758" s="7"/>
      <c r="C758" s="5"/>
      <c r="D758" s="5"/>
      <c r="E758" s="9"/>
      <c r="F758" s="9"/>
      <c r="G758" s="10"/>
      <c r="H758" s="11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7"/>
      <c r="B759" s="7"/>
      <c r="C759" s="5"/>
      <c r="D759" s="5"/>
      <c r="E759" s="9"/>
      <c r="F759" s="9"/>
      <c r="G759" s="10"/>
      <c r="H759" s="11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7"/>
      <c r="B760" s="7"/>
      <c r="C760" s="5"/>
      <c r="D760" s="5"/>
      <c r="E760" s="9"/>
      <c r="F760" s="9"/>
      <c r="G760" s="10"/>
      <c r="H760" s="11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7"/>
      <c r="B761" s="7"/>
      <c r="C761" s="5"/>
      <c r="D761" s="5"/>
      <c r="E761" s="9"/>
      <c r="F761" s="9"/>
      <c r="G761" s="10"/>
      <c r="H761" s="11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7"/>
      <c r="B762" s="7"/>
      <c r="C762" s="5"/>
      <c r="D762" s="5"/>
      <c r="E762" s="9"/>
      <c r="F762" s="9"/>
      <c r="G762" s="10"/>
      <c r="H762" s="11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7"/>
      <c r="B763" s="7"/>
      <c r="C763" s="5"/>
      <c r="D763" s="5"/>
      <c r="E763" s="9"/>
      <c r="F763" s="9"/>
      <c r="G763" s="10"/>
      <c r="H763" s="11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7"/>
      <c r="B764" s="7"/>
      <c r="C764" s="5"/>
      <c r="D764" s="5"/>
      <c r="E764" s="9"/>
      <c r="F764" s="9"/>
      <c r="G764" s="10"/>
      <c r="H764" s="11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7"/>
      <c r="B765" s="7"/>
      <c r="C765" s="5"/>
      <c r="D765" s="5"/>
      <c r="E765" s="9"/>
      <c r="F765" s="9"/>
      <c r="G765" s="10"/>
      <c r="H765" s="11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7"/>
      <c r="B766" s="7"/>
      <c r="C766" s="5"/>
      <c r="D766" s="5"/>
      <c r="E766" s="9"/>
      <c r="F766" s="9"/>
      <c r="G766" s="10"/>
      <c r="H766" s="11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7"/>
      <c r="B767" s="7"/>
      <c r="C767" s="5"/>
      <c r="D767" s="5"/>
      <c r="E767" s="9"/>
      <c r="F767" s="9"/>
      <c r="G767" s="10"/>
      <c r="H767" s="11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7"/>
      <c r="B768" s="7"/>
      <c r="C768" s="5"/>
      <c r="D768" s="5"/>
      <c r="E768" s="9"/>
      <c r="F768" s="9"/>
      <c r="G768" s="10"/>
      <c r="H768" s="11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7"/>
      <c r="B769" s="7"/>
      <c r="C769" s="5"/>
      <c r="D769" s="5"/>
      <c r="E769" s="9"/>
      <c r="F769" s="9"/>
      <c r="G769" s="10"/>
      <c r="H769" s="11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7"/>
      <c r="B770" s="7"/>
      <c r="C770" s="5"/>
      <c r="D770" s="5"/>
      <c r="E770" s="9"/>
      <c r="F770" s="9"/>
      <c r="G770" s="10"/>
      <c r="H770" s="11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7"/>
      <c r="B771" s="7"/>
      <c r="C771" s="5"/>
      <c r="D771" s="5"/>
      <c r="E771" s="9"/>
      <c r="F771" s="9"/>
      <c r="G771" s="10"/>
      <c r="H771" s="11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7"/>
      <c r="B772" s="7"/>
      <c r="C772" s="5"/>
      <c r="D772" s="5"/>
      <c r="E772" s="9"/>
      <c r="F772" s="9"/>
      <c r="G772" s="10"/>
      <c r="H772" s="11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7"/>
      <c r="B773" s="7"/>
      <c r="C773" s="5"/>
      <c r="D773" s="5"/>
      <c r="E773" s="9"/>
      <c r="F773" s="9"/>
      <c r="G773" s="10"/>
      <c r="H773" s="11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7"/>
      <c r="B774" s="7"/>
      <c r="C774" s="5"/>
      <c r="D774" s="5"/>
      <c r="E774" s="9"/>
      <c r="F774" s="9"/>
      <c r="G774" s="10"/>
      <c r="H774" s="11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7"/>
      <c r="B775" s="7"/>
      <c r="C775" s="5"/>
      <c r="D775" s="5"/>
      <c r="E775" s="9"/>
      <c r="F775" s="9"/>
      <c r="G775" s="10"/>
      <c r="H775" s="11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7"/>
      <c r="B776" s="7"/>
      <c r="C776" s="5"/>
      <c r="D776" s="5"/>
      <c r="E776" s="9"/>
      <c r="F776" s="9"/>
      <c r="G776" s="10"/>
      <c r="H776" s="11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7"/>
      <c r="B777" s="7"/>
      <c r="C777" s="5"/>
      <c r="D777" s="5"/>
      <c r="E777" s="9"/>
      <c r="F777" s="9"/>
      <c r="G777" s="10"/>
      <c r="H777" s="11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7"/>
      <c r="B778" s="7"/>
      <c r="C778" s="5"/>
      <c r="D778" s="5"/>
      <c r="E778" s="9"/>
      <c r="F778" s="9"/>
      <c r="G778" s="10"/>
      <c r="H778" s="11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7"/>
      <c r="B779" s="7"/>
      <c r="C779" s="5"/>
      <c r="D779" s="5"/>
      <c r="E779" s="9"/>
      <c r="F779" s="9"/>
      <c r="G779" s="10"/>
      <c r="H779" s="11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7"/>
      <c r="B780" s="7"/>
      <c r="C780" s="5"/>
      <c r="D780" s="5"/>
      <c r="E780" s="9"/>
      <c r="F780" s="9"/>
      <c r="G780" s="10"/>
      <c r="H780" s="11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7"/>
      <c r="B781" s="7"/>
      <c r="C781" s="5"/>
      <c r="D781" s="5"/>
      <c r="E781" s="9"/>
      <c r="F781" s="9"/>
      <c r="G781" s="10"/>
      <c r="H781" s="11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7"/>
      <c r="B782" s="7"/>
      <c r="C782" s="5"/>
      <c r="D782" s="5"/>
      <c r="E782" s="9"/>
      <c r="F782" s="9"/>
      <c r="G782" s="10"/>
      <c r="H782" s="11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7"/>
      <c r="B783" s="7"/>
      <c r="C783" s="5"/>
      <c r="D783" s="5"/>
      <c r="E783" s="9"/>
      <c r="F783" s="9"/>
      <c r="G783" s="10"/>
      <c r="H783" s="11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7"/>
      <c r="B784" s="7"/>
      <c r="C784" s="5"/>
      <c r="D784" s="5"/>
      <c r="E784" s="9"/>
      <c r="F784" s="9"/>
      <c r="G784" s="10"/>
      <c r="H784" s="11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7"/>
      <c r="B785" s="7"/>
      <c r="C785" s="5"/>
      <c r="D785" s="5"/>
      <c r="E785" s="9"/>
      <c r="F785" s="9"/>
      <c r="G785" s="10"/>
      <c r="H785" s="11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7"/>
      <c r="B786" s="7"/>
      <c r="C786" s="5"/>
      <c r="D786" s="5"/>
      <c r="E786" s="9"/>
      <c r="F786" s="9"/>
      <c r="G786" s="10"/>
      <c r="H786" s="11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7"/>
      <c r="B787" s="7"/>
      <c r="C787" s="5"/>
      <c r="D787" s="5"/>
      <c r="E787" s="9"/>
      <c r="F787" s="9"/>
      <c r="G787" s="10"/>
      <c r="H787" s="11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7"/>
      <c r="B788" s="7"/>
      <c r="C788" s="5"/>
      <c r="D788" s="5"/>
      <c r="E788" s="9"/>
      <c r="F788" s="9"/>
      <c r="G788" s="10"/>
      <c r="H788" s="11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7"/>
      <c r="B789" s="7"/>
      <c r="C789" s="5"/>
      <c r="D789" s="5"/>
      <c r="E789" s="9"/>
      <c r="F789" s="9"/>
      <c r="G789" s="10"/>
      <c r="H789" s="11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7"/>
      <c r="B790" s="7"/>
      <c r="C790" s="5"/>
      <c r="D790" s="5"/>
      <c r="E790" s="9"/>
      <c r="F790" s="9"/>
      <c r="G790" s="10"/>
      <c r="H790" s="11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7"/>
      <c r="B791" s="7"/>
      <c r="C791" s="5"/>
      <c r="D791" s="5"/>
      <c r="E791" s="9"/>
      <c r="F791" s="9"/>
      <c r="G791" s="10"/>
      <c r="H791" s="11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7"/>
      <c r="B792" s="7"/>
      <c r="C792" s="5"/>
      <c r="D792" s="5"/>
      <c r="E792" s="9"/>
      <c r="F792" s="9"/>
      <c r="G792" s="10"/>
      <c r="H792" s="11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7"/>
      <c r="B793" s="7"/>
      <c r="C793" s="5"/>
      <c r="D793" s="5"/>
      <c r="E793" s="9"/>
      <c r="F793" s="9"/>
      <c r="G793" s="10"/>
      <c r="H793" s="11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7"/>
      <c r="B794" s="7"/>
      <c r="C794" s="5"/>
      <c r="D794" s="5"/>
      <c r="E794" s="9"/>
      <c r="F794" s="9"/>
      <c r="G794" s="10"/>
      <c r="H794" s="11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7"/>
      <c r="B795" s="7"/>
      <c r="C795" s="5"/>
      <c r="D795" s="5"/>
      <c r="E795" s="9"/>
      <c r="F795" s="9"/>
      <c r="G795" s="10"/>
      <c r="H795" s="11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7"/>
      <c r="B796" s="7"/>
      <c r="C796" s="5"/>
      <c r="D796" s="5"/>
      <c r="E796" s="9"/>
      <c r="F796" s="9"/>
      <c r="G796" s="10"/>
      <c r="H796" s="11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7"/>
      <c r="B797" s="7"/>
      <c r="C797" s="5"/>
      <c r="D797" s="5"/>
      <c r="E797" s="9"/>
      <c r="F797" s="9"/>
      <c r="G797" s="10"/>
      <c r="H797" s="11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7"/>
      <c r="B798" s="7"/>
      <c r="C798" s="5"/>
      <c r="D798" s="5"/>
      <c r="E798" s="9"/>
      <c r="F798" s="9"/>
      <c r="G798" s="10"/>
      <c r="H798" s="11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7"/>
      <c r="B799" s="7"/>
      <c r="C799" s="5"/>
      <c r="D799" s="5"/>
      <c r="E799" s="9"/>
      <c r="F799" s="9"/>
      <c r="G799" s="10"/>
      <c r="H799" s="11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7"/>
      <c r="B800" s="7"/>
      <c r="C800" s="5"/>
      <c r="D800" s="5"/>
      <c r="E800" s="9"/>
      <c r="F800" s="9"/>
      <c r="G800" s="10"/>
      <c r="H800" s="11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7"/>
      <c r="B801" s="7"/>
      <c r="C801" s="5"/>
      <c r="D801" s="5"/>
      <c r="E801" s="9"/>
      <c r="F801" s="9"/>
      <c r="G801" s="10"/>
      <c r="H801" s="11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7"/>
      <c r="B802" s="7"/>
      <c r="C802" s="5"/>
      <c r="D802" s="5"/>
      <c r="E802" s="9"/>
      <c r="F802" s="9"/>
      <c r="G802" s="10"/>
      <c r="H802" s="11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7"/>
      <c r="B803" s="7"/>
      <c r="C803" s="5"/>
      <c r="D803" s="5"/>
      <c r="E803" s="9"/>
      <c r="F803" s="9"/>
      <c r="G803" s="10"/>
      <c r="H803" s="11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7"/>
      <c r="B804" s="7"/>
      <c r="C804" s="5"/>
      <c r="D804" s="5"/>
      <c r="E804" s="9"/>
      <c r="F804" s="9"/>
      <c r="G804" s="10"/>
      <c r="H804" s="11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7"/>
      <c r="B805" s="7"/>
      <c r="C805" s="5"/>
      <c r="D805" s="5"/>
      <c r="E805" s="9"/>
      <c r="F805" s="9"/>
      <c r="G805" s="10"/>
      <c r="H805" s="11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7"/>
      <c r="B806" s="7"/>
      <c r="C806" s="5"/>
      <c r="D806" s="5"/>
      <c r="E806" s="9"/>
      <c r="F806" s="9"/>
      <c r="G806" s="10"/>
      <c r="H806" s="11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7"/>
      <c r="B807" s="7"/>
      <c r="C807" s="5"/>
      <c r="D807" s="5"/>
      <c r="E807" s="9"/>
      <c r="F807" s="9"/>
      <c r="G807" s="10"/>
      <c r="H807" s="11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7"/>
      <c r="B808" s="7"/>
      <c r="C808" s="5"/>
      <c r="D808" s="5"/>
      <c r="E808" s="9"/>
      <c r="F808" s="9"/>
      <c r="G808" s="10"/>
      <c r="H808" s="11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7"/>
      <c r="B809" s="7"/>
      <c r="C809" s="5"/>
      <c r="D809" s="5"/>
      <c r="E809" s="9"/>
      <c r="F809" s="9"/>
      <c r="G809" s="10"/>
      <c r="H809" s="11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7"/>
      <c r="B810" s="7"/>
      <c r="C810" s="5"/>
      <c r="D810" s="5"/>
      <c r="E810" s="9"/>
      <c r="F810" s="9"/>
      <c r="G810" s="10"/>
      <c r="H810" s="11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7"/>
      <c r="B811" s="7"/>
      <c r="C811" s="5"/>
      <c r="D811" s="5"/>
      <c r="E811" s="9"/>
      <c r="F811" s="9"/>
      <c r="G811" s="10"/>
      <c r="H811" s="11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7"/>
      <c r="B812" s="7"/>
      <c r="C812" s="5"/>
      <c r="D812" s="5"/>
      <c r="E812" s="9"/>
      <c r="F812" s="9"/>
      <c r="G812" s="10"/>
      <c r="H812" s="11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7"/>
      <c r="B813" s="7"/>
      <c r="C813" s="5"/>
      <c r="D813" s="5"/>
      <c r="E813" s="9"/>
      <c r="F813" s="9"/>
      <c r="G813" s="10"/>
      <c r="H813" s="11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7"/>
      <c r="B814" s="7"/>
      <c r="C814" s="5"/>
      <c r="D814" s="5"/>
      <c r="E814" s="9"/>
      <c r="F814" s="9"/>
      <c r="G814" s="10"/>
      <c r="H814" s="11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7"/>
      <c r="B815" s="7"/>
      <c r="C815" s="5"/>
      <c r="D815" s="5"/>
      <c r="E815" s="9"/>
      <c r="F815" s="9"/>
      <c r="G815" s="10"/>
      <c r="H815" s="11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7"/>
      <c r="B816" s="7"/>
      <c r="C816" s="5"/>
      <c r="D816" s="5"/>
      <c r="E816" s="9"/>
      <c r="F816" s="9"/>
      <c r="G816" s="10"/>
      <c r="H816" s="11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7"/>
      <c r="B817" s="7"/>
      <c r="C817" s="5"/>
      <c r="D817" s="5"/>
      <c r="E817" s="9"/>
      <c r="F817" s="9"/>
      <c r="G817" s="10"/>
      <c r="H817" s="11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7"/>
      <c r="B818" s="7"/>
      <c r="C818" s="5"/>
      <c r="D818" s="5"/>
      <c r="E818" s="9"/>
      <c r="F818" s="9"/>
      <c r="G818" s="10"/>
      <c r="H818" s="11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7"/>
      <c r="B819" s="7"/>
      <c r="C819" s="5"/>
      <c r="D819" s="5"/>
      <c r="E819" s="9"/>
      <c r="F819" s="9"/>
      <c r="G819" s="10"/>
      <c r="H819" s="11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7"/>
      <c r="B820" s="7"/>
      <c r="C820" s="5"/>
      <c r="D820" s="5"/>
      <c r="E820" s="9"/>
      <c r="F820" s="9"/>
      <c r="G820" s="10"/>
      <c r="H820" s="11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7"/>
      <c r="B821" s="7"/>
      <c r="C821" s="5"/>
      <c r="D821" s="5"/>
      <c r="E821" s="9"/>
      <c r="F821" s="9"/>
      <c r="G821" s="10"/>
      <c r="H821" s="11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7"/>
      <c r="B822" s="7"/>
      <c r="C822" s="5"/>
      <c r="D822" s="5"/>
      <c r="E822" s="9"/>
      <c r="F822" s="9"/>
      <c r="G822" s="10"/>
      <c r="H822" s="11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7"/>
      <c r="B823" s="7"/>
      <c r="C823" s="5"/>
      <c r="D823" s="5"/>
      <c r="E823" s="9"/>
      <c r="F823" s="9"/>
      <c r="G823" s="10"/>
      <c r="H823" s="11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7"/>
      <c r="B824" s="7"/>
      <c r="C824" s="5"/>
      <c r="D824" s="5"/>
      <c r="E824" s="9"/>
      <c r="F824" s="9"/>
      <c r="G824" s="10"/>
      <c r="H824" s="11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7"/>
      <c r="B825" s="7"/>
      <c r="C825" s="5"/>
      <c r="D825" s="5"/>
      <c r="E825" s="9"/>
      <c r="F825" s="9"/>
      <c r="G825" s="10"/>
      <c r="H825" s="11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7"/>
      <c r="B826" s="7"/>
      <c r="C826" s="5"/>
      <c r="D826" s="5"/>
      <c r="E826" s="9"/>
      <c r="F826" s="9"/>
      <c r="G826" s="10"/>
      <c r="H826" s="11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7"/>
      <c r="B827" s="7"/>
      <c r="C827" s="5"/>
      <c r="D827" s="5"/>
      <c r="E827" s="9"/>
      <c r="F827" s="9"/>
      <c r="G827" s="10"/>
      <c r="H827" s="11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7"/>
      <c r="B828" s="7"/>
      <c r="C828" s="5"/>
      <c r="D828" s="5"/>
      <c r="E828" s="9"/>
      <c r="F828" s="9"/>
      <c r="G828" s="10"/>
      <c r="H828" s="11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7"/>
      <c r="B829" s="7"/>
      <c r="C829" s="5"/>
      <c r="D829" s="5"/>
      <c r="E829" s="9"/>
      <c r="F829" s="9"/>
      <c r="G829" s="10"/>
      <c r="H829" s="11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7"/>
      <c r="B830" s="7"/>
      <c r="C830" s="5"/>
      <c r="D830" s="5"/>
      <c r="E830" s="9"/>
      <c r="F830" s="9"/>
      <c r="G830" s="10"/>
      <c r="H830" s="11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7"/>
      <c r="B831" s="7"/>
      <c r="C831" s="5"/>
      <c r="D831" s="5"/>
      <c r="E831" s="9"/>
      <c r="F831" s="9"/>
      <c r="G831" s="10"/>
      <c r="H831" s="11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7"/>
      <c r="B832" s="7"/>
      <c r="C832" s="5"/>
      <c r="D832" s="5"/>
      <c r="E832" s="9"/>
      <c r="F832" s="9"/>
      <c r="G832" s="10"/>
      <c r="H832" s="11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7"/>
      <c r="B833" s="7"/>
      <c r="C833" s="5"/>
      <c r="D833" s="5"/>
      <c r="E833" s="9"/>
      <c r="F833" s="9"/>
      <c r="G833" s="10"/>
      <c r="H833" s="11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7"/>
      <c r="B834" s="7"/>
      <c r="C834" s="5"/>
      <c r="D834" s="5"/>
      <c r="E834" s="9"/>
      <c r="F834" s="9"/>
      <c r="G834" s="10"/>
      <c r="H834" s="11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7"/>
      <c r="B835" s="7"/>
      <c r="C835" s="5"/>
      <c r="D835" s="5"/>
      <c r="E835" s="9"/>
      <c r="F835" s="9"/>
      <c r="G835" s="10"/>
      <c r="H835" s="11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7"/>
      <c r="B836" s="7"/>
      <c r="C836" s="5"/>
      <c r="D836" s="5"/>
      <c r="E836" s="9"/>
      <c r="F836" s="9"/>
      <c r="G836" s="10"/>
      <c r="H836" s="11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7"/>
      <c r="B837" s="7"/>
      <c r="C837" s="5"/>
      <c r="D837" s="5"/>
      <c r="E837" s="9"/>
      <c r="F837" s="9"/>
      <c r="G837" s="10"/>
      <c r="H837" s="11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7"/>
      <c r="B838" s="7"/>
      <c r="C838" s="5"/>
      <c r="D838" s="5"/>
      <c r="E838" s="9"/>
      <c r="F838" s="9"/>
      <c r="G838" s="10"/>
      <c r="H838" s="11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7"/>
      <c r="B839" s="7"/>
      <c r="C839" s="5"/>
      <c r="D839" s="5"/>
      <c r="E839" s="9"/>
      <c r="F839" s="9"/>
      <c r="G839" s="10"/>
      <c r="H839" s="11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7"/>
      <c r="B840" s="7"/>
      <c r="C840" s="5"/>
      <c r="D840" s="5"/>
      <c r="E840" s="9"/>
      <c r="F840" s="9"/>
      <c r="G840" s="10"/>
      <c r="H840" s="11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7"/>
      <c r="B841" s="7"/>
      <c r="C841" s="5"/>
      <c r="D841" s="5"/>
      <c r="E841" s="9"/>
      <c r="F841" s="9"/>
      <c r="G841" s="10"/>
      <c r="H841" s="11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7"/>
      <c r="B842" s="7"/>
      <c r="C842" s="5"/>
      <c r="D842" s="5"/>
      <c r="E842" s="9"/>
      <c r="F842" s="9"/>
      <c r="G842" s="10"/>
      <c r="H842" s="11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7"/>
      <c r="B843" s="7"/>
      <c r="C843" s="5"/>
      <c r="D843" s="5"/>
      <c r="E843" s="9"/>
      <c r="F843" s="9"/>
      <c r="G843" s="10"/>
      <c r="H843" s="11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7"/>
      <c r="B844" s="7"/>
      <c r="C844" s="5"/>
      <c r="D844" s="5"/>
      <c r="E844" s="9"/>
      <c r="F844" s="9"/>
      <c r="G844" s="10"/>
      <c r="H844" s="11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7"/>
      <c r="B845" s="7"/>
      <c r="C845" s="5"/>
      <c r="D845" s="5"/>
      <c r="E845" s="9"/>
      <c r="F845" s="9"/>
      <c r="G845" s="10"/>
      <c r="H845" s="11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7"/>
      <c r="B846" s="7"/>
      <c r="C846" s="5"/>
      <c r="D846" s="5"/>
      <c r="E846" s="9"/>
      <c r="F846" s="9"/>
      <c r="G846" s="10"/>
      <c r="H846" s="11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7"/>
      <c r="B847" s="7"/>
      <c r="C847" s="5"/>
      <c r="D847" s="5"/>
      <c r="E847" s="9"/>
      <c r="F847" s="9"/>
      <c r="G847" s="10"/>
      <c r="H847" s="11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7"/>
      <c r="B848" s="7"/>
      <c r="C848" s="5"/>
      <c r="D848" s="5"/>
      <c r="E848" s="9"/>
      <c r="F848" s="9"/>
      <c r="G848" s="10"/>
      <c r="H848" s="11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7"/>
      <c r="B849" s="7"/>
      <c r="C849" s="5"/>
      <c r="D849" s="5"/>
      <c r="E849" s="9"/>
      <c r="F849" s="9"/>
      <c r="G849" s="10"/>
      <c r="H849" s="11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7"/>
      <c r="B850" s="7"/>
      <c r="C850" s="5"/>
      <c r="D850" s="5"/>
      <c r="E850" s="9"/>
      <c r="F850" s="9"/>
      <c r="G850" s="10"/>
      <c r="H850" s="11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7"/>
      <c r="B851" s="7"/>
      <c r="C851" s="5"/>
      <c r="D851" s="5"/>
      <c r="E851" s="9"/>
      <c r="F851" s="9"/>
      <c r="G851" s="10"/>
      <c r="H851" s="11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7"/>
      <c r="B852" s="7"/>
      <c r="C852" s="5"/>
      <c r="D852" s="5"/>
      <c r="E852" s="9"/>
      <c r="F852" s="9"/>
      <c r="G852" s="10"/>
      <c r="H852" s="11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7"/>
      <c r="B853" s="7"/>
      <c r="C853" s="5"/>
      <c r="D853" s="5"/>
      <c r="E853" s="9"/>
      <c r="F853" s="9"/>
      <c r="G853" s="10"/>
      <c r="H853" s="11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7"/>
      <c r="B854" s="7"/>
      <c r="C854" s="5"/>
      <c r="D854" s="5"/>
      <c r="E854" s="9"/>
      <c r="F854" s="9"/>
      <c r="G854" s="10"/>
      <c r="H854" s="11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7"/>
      <c r="B855" s="7"/>
      <c r="C855" s="5"/>
      <c r="D855" s="5"/>
      <c r="E855" s="9"/>
      <c r="F855" s="9"/>
      <c r="G855" s="10"/>
      <c r="H855" s="11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7"/>
      <c r="B856" s="7"/>
      <c r="C856" s="5"/>
      <c r="D856" s="5"/>
      <c r="E856" s="9"/>
      <c r="F856" s="9"/>
      <c r="G856" s="10"/>
      <c r="H856" s="11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7"/>
      <c r="B857" s="7"/>
      <c r="C857" s="5"/>
      <c r="D857" s="5"/>
      <c r="E857" s="9"/>
      <c r="F857" s="9"/>
      <c r="G857" s="10"/>
      <c r="H857" s="11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7"/>
      <c r="B858" s="7"/>
      <c r="C858" s="5"/>
      <c r="D858" s="5"/>
      <c r="E858" s="9"/>
      <c r="F858" s="9"/>
      <c r="G858" s="10"/>
      <c r="H858" s="11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7"/>
      <c r="B859" s="7"/>
      <c r="C859" s="5"/>
      <c r="D859" s="5"/>
      <c r="E859" s="9"/>
      <c r="F859" s="9"/>
      <c r="G859" s="10"/>
      <c r="H859" s="11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7"/>
      <c r="B860" s="7"/>
      <c r="C860" s="5"/>
      <c r="D860" s="5"/>
      <c r="E860" s="9"/>
      <c r="F860" s="9"/>
      <c r="G860" s="10"/>
      <c r="H860" s="11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7"/>
      <c r="B861" s="7"/>
      <c r="C861" s="5"/>
      <c r="D861" s="5"/>
      <c r="E861" s="9"/>
      <c r="F861" s="9"/>
      <c r="G861" s="10"/>
      <c r="H861" s="11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7"/>
      <c r="B862" s="7"/>
      <c r="C862" s="5"/>
      <c r="D862" s="5"/>
      <c r="E862" s="9"/>
      <c r="F862" s="9"/>
      <c r="G862" s="10"/>
      <c r="H862" s="11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7"/>
      <c r="B863" s="7"/>
      <c r="C863" s="5"/>
      <c r="D863" s="5"/>
      <c r="E863" s="9"/>
      <c r="F863" s="9"/>
      <c r="G863" s="10"/>
      <c r="H863" s="11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7"/>
      <c r="B864" s="7"/>
      <c r="C864" s="5"/>
      <c r="D864" s="5"/>
      <c r="E864" s="9"/>
      <c r="F864" s="9"/>
      <c r="G864" s="10"/>
      <c r="H864" s="11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7"/>
      <c r="B865" s="7"/>
      <c r="C865" s="5"/>
      <c r="D865" s="5"/>
      <c r="E865" s="9"/>
      <c r="F865" s="9"/>
      <c r="G865" s="10"/>
      <c r="H865" s="11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7"/>
      <c r="B866" s="7"/>
      <c r="C866" s="5"/>
      <c r="D866" s="5"/>
      <c r="E866" s="9"/>
      <c r="F866" s="9"/>
      <c r="G866" s="10"/>
      <c r="H866" s="11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7"/>
      <c r="B867" s="7"/>
      <c r="C867" s="5"/>
      <c r="D867" s="5"/>
      <c r="E867" s="9"/>
      <c r="F867" s="9"/>
      <c r="G867" s="10"/>
      <c r="H867" s="11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7"/>
      <c r="B868" s="7"/>
      <c r="C868" s="5"/>
      <c r="D868" s="5"/>
      <c r="E868" s="9"/>
      <c r="F868" s="9"/>
      <c r="G868" s="10"/>
      <c r="H868" s="11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7"/>
      <c r="B869" s="7"/>
      <c r="C869" s="5"/>
      <c r="D869" s="5"/>
      <c r="E869" s="9"/>
      <c r="F869" s="9"/>
      <c r="G869" s="10"/>
      <c r="H869" s="11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7"/>
      <c r="B870" s="7"/>
      <c r="C870" s="5"/>
      <c r="D870" s="5"/>
      <c r="E870" s="9"/>
      <c r="F870" s="9"/>
      <c r="G870" s="10"/>
      <c r="H870" s="11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7"/>
      <c r="B871" s="7"/>
      <c r="C871" s="5"/>
      <c r="D871" s="5"/>
      <c r="E871" s="9"/>
      <c r="F871" s="9"/>
      <c r="G871" s="10"/>
      <c r="H871" s="11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7"/>
      <c r="B872" s="7"/>
      <c r="C872" s="5"/>
      <c r="D872" s="5"/>
      <c r="E872" s="9"/>
      <c r="F872" s="9"/>
      <c r="G872" s="10"/>
      <c r="H872" s="11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7"/>
      <c r="B873" s="7"/>
      <c r="C873" s="5"/>
      <c r="D873" s="5"/>
      <c r="E873" s="9"/>
      <c r="F873" s="9"/>
      <c r="G873" s="10"/>
      <c r="H873" s="11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7"/>
      <c r="B874" s="7"/>
      <c r="C874" s="5"/>
      <c r="D874" s="5"/>
      <c r="E874" s="9"/>
      <c r="F874" s="9"/>
      <c r="G874" s="10"/>
      <c r="H874" s="11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7"/>
      <c r="B875" s="7"/>
      <c r="C875" s="5"/>
      <c r="D875" s="5"/>
      <c r="E875" s="9"/>
      <c r="F875" s="9"/>
      <c r="G875" s="10"/>
      <c r="H875" s="11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7"/>
      <c r="B876" s="7"/>
      <c r="C876" s="5"/>
      <c r="D876" s="5"/>
      <c r="E876" s="9"/>
      <c r="F876" s="9"/>
      <c r="G876" s="10"/>
      <c r="H876" s="11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7"/>
      <c r="B877" s="7"/>
      <c r="C877" s="5"/>
      <c r="D877" s="5"/>
      <c r="E877" s="9"/>
      <c r="F877" s="9"/>
      <c r="G877" s="10"/>
      <c r="H877" s="11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7"/>
      <c r="B878" s="7"/>
      <c r="C878" s="5"/>
      <c r="D878" s="5"/>
      <c r="E878" s="9"/>
      <c r="F878" s="9"/>
      <c r="G878" s="10"/>
      <c r="H878" s="11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7"/>
      <c r="B879" s="7"/>
      <c r="C879" s="5"/>
      <c r="D879" s="5"/>
      <c r="E879" s="9"/>
      <c r="F879" s="9"/>
      <c r="G879" s="10"/>
      <c r="H879" s="11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7"/>
      <c r="B880" s="7"/>
      <c r="C880" s="5"/>
      <c r="D880" s="5"/>
      <c r="E880" s="9"/>
      <c r="F880" s="9"/>
      <c r="G880" s="10"/>
      <c r="H880" s="11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7"/>
      <c r="B881" s="7"/>
      <c r="C881" s="5"/>
      <c r="D881" s="5"/>
      <c r="E881" s="9"/>
      <c r="F881" s="9"/>
      <c r="G881" s="10"/>
      <c r="H881" s="11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7"/>
      <c r="B882" s="7"/>
      <c r="C882" s="5"/>
      <c r="D882" s="5"/>
      <c r="E882" s="9"/>
      <c r="F882" s="9"/>
      <c r="G882" s="10"/>
      <c r="H882" s="11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7"/>
      <c r="B883" s="7"/>
      <c r="C883" s="5"/>
      <c r="D883" s="5"/>
      <c r="E883" s="9"/>
      <c r="F883" s="9"/>
      <c r="G883" s="10"/>
      <c r="H883" s="11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7"/>
      <c r="B884" s="7"/>
      <c r="C884" s="5"/>
      <c r="D884" s="5"/>
      <c r="E884" s="9"/>
      <c r="F884" s="9"/>
      <c r="G884" s="10"/>
      <c r="H884" s="11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7"/>
      <c r="B885" s="7"/>
      <c r="C885" s="5"/>
      <c r="D885" s="5"/>
      <c r="E885" s="9"/>
      <c r="F885" s="9"/>
      <c r="G885" s="10"/>
      <c r="H885" s="11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7"/>
      <c r="B886" s="7"/>
      <c r="C886" s="5"/>
      <c r="D886" s="5"/>
      <c r="E886" s="9"/>
      <c r="F886" s="9"/>
      <c r="G886" s="10"/>
      <c r="H886" s="11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7"/>
      <c r="B887" s="7"/>
      <c r="C887" s="5"/>
      <c r="D887" s="5"/>
      <c r="E887" s="9"/>
      <c r="F887" s="9"/>
      <c r="G887" s="10"/>
      <c r="H887" s="11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7"/>
      <c r="B888" s="7"/>
      <c r="C888" s="5"/>
      <c r="D888" s="5"/>
      <c r="E888" s="9"/>
      <c r="F888" s="9"/>
      <c r="G888" s="10"/>
      <c r="H888" s="11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7"/>
      <c r="B889" s="7"/>
      <c r="C889" s="5"/>
      <c r="D889" s="5"/>
      <c r="E889" s="9"/>
      <c r="F889" s="9"/>
      <c r="G889" s="10"/>
      <c r="H889" s="11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7"/>
      <c r="B890" s="7"/>
      <c r="C890" s="5"/>
      <c r="D890" s="5"/>
      <c r="E890" s="9"/>
      <c r="F890" s="9"/>
      <c r="G890" s="10"/>
      <c r="H890" s="11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7"/>
      <c r="B891" s="7"/>
      <c r="C891" s="5"/>
      <c r="D891" s="5"/>
      <c r="E891" s="9"/>
      <c r="F891" s="9"/>
      <c r="G891" s="10"/>
      <c r="H891" s="11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7"/>
      <c r="B892" s="7"/>
      <c r="C892" s="5"/>
      <c r="D892" s="5"/>
      <c r="E892" s="9"/>
      <c r="F892" s="9"/>
      <c r="G892" s="10"/>
      <c r="H892" s="11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7"/>
      <c r="B893" s="7"/>
      <c r="C893" s="5"/>
      <c r="D893" s="5"/>
      <c r="E893" s="9"/>
      <c r="F893" s="9"/>
      <c r="G893" s="10"/>
      <c r="H893" s="11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7"/>
      <c r="B894" s="7"/>
      <c r="C894" s="5"/>
      <c r="D894" s="5"/>
      <c r="E894" s="9"/>
      <c r="F894" s="9"/>
      <c r="G894" s="10"/>
      <c r="H894" s="11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7"/>
      <c r="B895" s="7"/>
      <c r="C895" s="5"/>
      <c r="D895" s="5"/>
      <c r="E895" s="9"/>
      <c r="F895" s="9"/>
      <c r="G895" s="10"/>
      <c r="H895" s="11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7"/>
      <c r="B896" s="7"/>
      <c r="C896" s="5"/>
      <c r="D896" s="5"/>
      <c r="E896" s="9"/>
      <c r="F896" s="9"/>
      <c r="G896" s="10"/>
      <c r="H896" s="11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7"/>
      <c r="B897" s="7"/>
      <c r="C897" s="5"/>
      <c r="D897" s="5"/>
      <c r="E897" s="9"/>
      <c r="F897" s="9"/>
      <c r="G897" s="10"/>
      <c r="H897" s="11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7"/>
      <c r="B898" s="7"/>
      <c r="C898" s="5"/>
      <c r="D898" s="5"/>
      <c r="E898" s="9"/>
      <c r="F898" s="9"/>
      <c r="G898" s="10"/>
      <c r="H898" s="11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7"/>
      <c r="B899" s="7"/>
      <c r="C899" s="5"/>
      <c r="D899" s="5"/>
      <c r="E899" s="9"/>
      <c r="F899" s="9"/>
      <c r="G899" s="10"/>
      <c r="H899" s="11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7"/>
      <c r="B900" s="7"/>
      <c r="C900" s="5"/>
      <c r="D900" s="5"/>
      <c r="E900" s="9"/>
      <c r="F900" s="9"/>
      <c r="G900" s="10"/>
      <c r="H900" s="11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7"/>
      <c r="B901" s="7"/>
      <c r="C901" s="5"/>
      <c r="D901" s="5"/>
      <c r="E901" s="9"/>
      <c r="F901" s="9"/>
      <c r="G901" s="10"/>
      <c r="H901" s="11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7"/>
      <c r="B902" s="7"/>
      <c r="C902" s="5"/>
      <c r="D902" s="5"/>
      <c r="E902" s="9"/>
      <c r="F902" s="9"/>
      <c r="G902" s="10"/>
      <c r="H902" s="11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7"/>
      <c r="B903" s="7"/>
      <c r="C903" s="5"/>
      <c r="D903" s="5"/>
      <c r="E903" s="9"/>
      <c r="F903" s="9"/>
      <c r="G903" s="10"/>
      <c r="H903" s="11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7"/>
      <c r="B904" s="7"/>
      <c r="C904" s="5"/>
      <c r="D904" s="5"/>
      <c r="E904" s="9"/>
      <c r="F904" s="9"/>
      <c r="G904" s="10"/>
      <c r="H904" s="11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7"/>
      <c r="B905" s="7"/>
      <c r="C905" s="5"/>
      <c r="D905" s="5"/>
      <c r="E905" s="9"/>
      <c r="F905" s="9"/>
      <c r="G905" s="10"/>
      <c r="H905" s="11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7"/>
      <c r="B906" s="7"/>
      <c r="C906" s="5"/>
      <c r="D906" s="5"/>
      <c r="E906" s="9"/>
      <c r="F906" s="9"/>
      <c r="G906" s="10"/>
      <c r="H906" s="11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7"/>
      <c r="B907" s="7"/>
      <c r="C907" s="5"/>
      <c r="D907" s="5"/>
      <c r="E907" s="9"/>
      <c r="F907" s="9"/>
      <c r="G907" s="10"/>
      <c r="H907" s="11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7"/>
      <c r="B908" s="7"/>
      <c r="C908" s="5"/>
      <c r="D908" s="5"/>
      <c r="E908" s="9"/>
      <c r="F908" s="9"/>
      <c r="G908" s="10"/>
      <c r="H908" s="11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7"/>
      <c r="B909" s="7"/>
      <c r="C909" s="5"/>
      <c r="D909" s="5"/>
      <c r="E909" s="9"/>
      <c r="F909" s="9"/>
      <c r="G909" s="10"/>
      <c r="H909" s="11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7"/>
      <c r="B910" s="7"/>
      <c r="C910" s="5"/>
      <c r="D910" s="5"/>
      <c r="E910" s="9"/>
      <c r="F910" s="9"/>
      <c r="G910" s="10"/>
      <c r="H910" s="11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7"/>
      <c r="B911" s="7"/>
      <c r="C911" s="5"/>
      <c r="D911" s="5"/>
      <c r="E911" s="9"/>
      <c r="F911" s="9"/>
      <c r="G911" s="10"/>
      <c r="H911" s="11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7"/>
      <c r="B912" s="7"/>
      <c r="C912" s="5"/>
      <c r="D912" s="5"/>
      <c r="E912" s="9"/>
      <c r="F912" s="9"/>
      <c r="G912" s="10"/>
      <c r="H912" s="11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7"/>
      <c r="B913" s="7"/>
      <c r="C913" s="5"/>
      <c r="D913" s="5"/>
      <c r="E913" s="9"/>
      <c r="F913" s="9"/>
      <c r="G913" s="10"/>
      <c r="H913" s="11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7"/>
      <c r="B914" s="7"/>
      <c r="C914" s="5"/>
      <c r="D914" s="5"/>
      <c r="E914" s="9"/>
      <c r="F914" s="9"/>
      <c r="G914" s="10"/>
      <c r="H914" s="11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7"/>
      <c r="B915" s="7"/>
      <c r="C915" s="5"/>
      <c r="D915" s="5"/>
      <c r="E915" s="9"/>
      <c r="F915" s="9"/>
      <c r="G915" s="10"/>
      <c r="H915" s="11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7"/>
      <c r="B916" s="7"/>
      <c r="C916" s="5"/>
      <c r="D916" s="5"/>
      <c r="E916" s="9"/>
      <c r="F916" s="9"/>
      <c r="G916" s="10"/>
      <c r="H916" s="11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7"/>
      <c r="B917" s="7"/>
      <c r="C917" s="5"/>
      <c r="D917" s="5"/>
      <c r="E917" s="9"/>
      <c r="F917" s="9"/>
      <c r="G917" s="10"/>
      <c r="H917" s="11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7"/>
      <c r="B918" s="7"/>
      <c r="C918" s="5"/>
      <c r="D918" s="5"/>
      <c r="E918" s="9"/>
      <c r="F918" s="9"/>
      <c r="G918" s="10"/>
      <c r="H918" s="11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7"/>
      <c r="B919" s="7"/>
      <c r="C919" s="5"/>
      <c r="D919" s="5"/>
      <c r="E919" s="9"/>
      <c r="F919" s="9"/>
      <c r="G919" s="10"/>
      <c r="H919" s="11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7"/>
      <c r="B920" s="7"/>
      <c r="C920" s="5"/>
      <c r="D920" s="5"/>
      <c r="E920" s="9"/>
      <c r="F920" s="9"/>
      <c r="G920" s="10"/>
      <c r="H920" s="11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7"/>
      <c r="B921" s="7"/>
      <c r="C921" s="5"/>
      <c r="D921" s="5"/>
      <c r="E921" s="9"/>
      <c r="F921" s="9"/>
      <c r="G921" s="10"/>
      <c r="H921" s="11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7"/>
      <c r="B922" s="7"/>
      <c r="C922" s="5"/>
      <c r="D922" s="5"/>
      <c r="E922" s="9"/>
      <c r="F922" s="9"/>
      <c r="G922" s="10"/>
      <c r="H922" s="11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7"/>
      <c r="B923" s="7"/>
      <c r="C923" s="5"/>
      <c r="D923" s="5"/>
      <c r="E923" s="9"/>
      <c r="F923" s="9"/>
      <c r="G923" s="10"/>
      <c r="H923" s="11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7"/>
      <c r="B924" s="7"/>
      <c r="C924" s="5"/>
      <c r="D924" s="5"/>
      <c r="E924" s="9"/>
      <c r="F924" s="9"/>
      <c r="G924" s="10"/>
      <c r="H924" s="11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7"/>
      <c r="B925" s="7"/>
      <c r="C925" s="5"/>
      <c r="D925" s="5"/>
      <c r="E925" s="9"/>
      <c r="F925" s="9"/>
      <c r="G925" s="10"/>
      <c r="H925" s="11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7"/>
      <c r="B926" s="7"/>
      <c r="C926" s="5"/>
      <c r="D926" s="5"/>
      <c r="E926" s="9"/>
      <c r="F926" s="9"/>
      <c r="G926" s="10"/>
      <c r="H926" s="11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7"/>
      <c r="B927" s="7"/>
      <c r="C927" s="5"/>
      <c r="D927" s="5"/>
      <c r="E927" s="9"/>
      <c r="F927" s="9"/>
      <c r="G927" s="10"/>
      <c r="H927" s="11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7"/>
      <c r="B928" s="7"/>
      <c r="C928" s="5"/>
      <c r="D928" s="5"/>
      <c r="E928" s="9"/>
      <c r="F928" s="9"/>
      <c r="G928" s="10"/>
      <c r="H928" s="11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7"/>
      <c r="B929" s="7"/>
      <c r="C929" s="5"/>
      <c r="D929" s="5"/>
      <c r="E929" s="9"/>
      <c r="F929" s="9"/>
      <c r="G929" s="10"/>
      <c r="H929" s="11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7"/>
      <c r="B930" s="7"/>
      <c r="C930" s="5"/>
      <c r="D930" s="5"/>
      <c r="E930" s="9"/>
      <c r="F930" s="9"/>
      <c r="G930" s="10"/>
      <c r="H930" s="11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7"/>
      <c r="B931" s="7"/>
      <c r="C931" s="5"/>
      <c r="D931" s="5"/>
      <c r="E931" s="9"/>
      <c r="F931" s="9"/>
      <c r="G931" s="10"/>
      <c r="H931" s="11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7"/>
      <c r="B932" s="7"/>
      <c r="C932" s="5"/>
      <c r="D932" s="5"/>
      <c r="E932" s="9"/>
      <c r="F932" s="9"/>
      <c r="G932" s="10"/>
      <c r="H932" s="11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7"/>
      <c r="B933" s="7"/>
      <c r="C933" s="5"/>
      <c r="D933" s="5"/>
      <c r="E933" s="9"/>
      <c r="F933" s="9"/>
      <c r="G933" s="10"/>
      <c r="H933" s="11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7"/>
      <c r="B934" s="7"/>
      <c r="C934" s="5"/>
      <c r="D934" s="5"/>
      <c r="E934" s="9"/>
      <c r="F934" s="9"/>
      <c r="G934" s="10"/>
      <c r="H934" s="11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7"/>
      <c r="B935" s="7"/>
      <c r="C935" s="5"/>
      <c r="D935" s="5"/>
      <c r="E935" s="9"/>
      <c r="F935" s="9"/>
      <c r="G935" s="10"/>
      <c r="H935" s="11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7"/>
      <c r="B936" s="7"/>
      <c r="C936" s="5"/>
      <c r="D936" s="5"/>
      <c r="E936" s="9"/>
      <c r="F936" s="9"/>
      <c r="G936" s="10"/>
      <c r="H936" s="11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7"/>
      <c r="B937" s="7"/>
      <c r="C937" s="5"/>
      <c r="D937" s="5"/>
      <c r="E937" s="9"/>
      <c r="F937" s="9"/>
      <c r="G937" s="10"/>
      <c r="H937" s="11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7"/>
      <c r="B938" s="7"/>
      <c r="C938" s="5"/>
      <c r="D938" s="5"/>
      <c r="E938" s="9"/>
      <c r="F938" s="9"/>
      <c r="G938" s="10"/>
      <c r="H938" s="11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7"/>
      <c r="B939" s="7"/>
      <c r="C939" s="5"/>
      <c r="D939" s="5"/>
      <c r="E939" s="9"/>
      <c r="F939" s="9"/>
      <c r="G939" s="10"/>
      <c r="H939" s="11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7"/>
      <c r="B940" s="7"/>
      <c r="C940" s="5"/>
      <c r="D940" s="5"/>
      <c r="E940" s="9"/>
      <c r="F940" s="9"/>
      <c r="G940" s="10"/>
      <c r="H940" s="11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7"/>
      <c r="B941" s="7"/>
      <c r="C941" s="5"/>
      <c r="D941" s="5"/>
      <c r="E941" s="9"/>
      <c r="F941" s="9"/>
      <c r="G941" s="10"/>
      <c r="H941" s="11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7"/>
      <c r="B942" s="7"/>
      <c r="C942" s="5"/>
      <c r="D942" s="5"/>
      <c r="E942" s="9"/>
      <c r="F942" s="9"/>
      <c r="G942" s="10"/>
      <c r="H942" s="11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7"/>
      <c r="B943" s="7"/>
      <c r="C943" s="5"/>
      <c r="D943" s="5"/>
      <c r="E943" s="9"/>
      <c r="F943" s="9"/>
      <c r="G943" s="10"/>
      <c r="H943" s="11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7"/>
      <c r="B944" s="7"/>
      <c r="C944" s="5"/>
      <c r="D944" s="5"/>
      <c r="E944" s="9"/>
      <c r="F944" s="9"/>
      <c r="G944" s="10"/>
      <c r="H944" s="11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7"/>
      <c r="B945" s="7"/>
      <c r="C945" s="5"/>
      <c r="D945" s="5"/>
      <c r="E945" s="9"/>
      <c r="F945" s="9"/>
      <c r="G945" s="10"/>
      <c r="H945" s="11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7"/>
      <c r="B946" s="7"/>
      <c r="C946" s="5"/>
      <c r="D946" s="5"/>
      <c r="E946" s="9"/>
      <c r="F946" s="9"/>
      <c r="G946" s="10"/>
      <c r="H946" s="11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7"/>
      <c r="B947" s="7"/>
      <c r="C947" s="5"/>
      <c r="D947" s="5"/>
      <c r="E947" s="9"/>
      <c r="F947" s="9"/>
      <c r="G947" s="10"/>
      <c r="H947" s="11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7"/>
      <c r="B948" s="7"/>
      <c r="C948" s="5"/>
      <c r="D948" s="5"/>
      <c r="E948" s="9"/>
      <c r="F948" s="9"/>
      <c r="G948" s="10"/>
      <c r="H948" s="11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7"/>
      <c r="B949" s="7"/>
      <c r="C949" s="5"/>
      <c r="D949" s="5"/>
      <c r="E949" s="9"/>
      <c r="F949" s="9"/>
      <c r="G949" s="10"/>
      <c r="H949" s="11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7"/>
      <c r="B950" s="7"/>
      <c r="C950" s="5"/>
      <c r="D950" s="5"/>
      <c r="E950" s="9"/>
      <c r="F950" s="9"/>
      <c r="G950" s="10"/>
      <c r="H950" s="11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7"/>
      <c r="B951" s="7"/>
      <c r="C951" s="5"/>
      <c r="D951" s="5"/>
      <c r="E951" s="9"/>
      <c r="F951" s="9"/>
      <c r="G951" s="10"/>
      <c r="H951" s="11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7"/>
      <c r="B952" s="7"/>
      <c r="C952" s="5"/>
      <c r="D952" s="5"/>
      <c r="E952" s="9"/>
      <c r="F952" s="9"/>
      <c r="G952" s="10"/>
      <c r="H952" s="11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7"/>
      <c r="B953" s="7"/>
      <c r="C953" s="5"/>
      <c r="D953" s="5"/>
      <c r="E953" s="9"/>
      <c r="F953" s="9"/>
      <c r="G953" s="10"/>
      <c r="H953" s="11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7"/>
      <c r="B954" s="7"/>
      <c r="C954" s="5"/>
      <c r="D954" s="5"/>
      <c r="E954" s="9"/>
      <c r="F954" s="9"/>
      <c r="G954" s="10"/>
      <c r="H954" s="11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7"/>
      <c r="B955" s="7"/>
      <c r="C955" s="5"/>
      <c r="D955" s="5"/>
      <c r="E955" s="9"/>
      <c r="F955" s="9"/>
      <c r="G955" s="10"/>
      <c r="H955" s="11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7"/>
      <c r="B956" s="7"/>
      <c r="C956" s="5"/>
      <c r="D956" s="5"/>
      <c r="E956" s="9"/>
      <c r="F956" s="9"/>
      <c r="G956" s="10"/>
      <c r="H956" s="11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7"/>
      <c r="B957" s="7"/>
      <c r="C957" s="5"/>
      <c r="D957" s="5"/>
      <c r="E957" s="9"/>
      <c r="F957" s="9"/>
      <c r="G957" s="10"/>
      <c r="H957" s="11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7"/>
      <c r="B958" s="7"/>
      <c r="C958" s="5"/>
      <c r="D958" s="5"/>
      <c r="E958" s="9"/>
      <c r="F958" s="9"/>
      <c r="G958" s="10"/>
      <c r="H958" s="11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7"/>
      <c r="B959" s="7"/>
      <c r="C959" s="5"/>
      <c r="D959" s="5"/>
      <c r="E959" s="9"/>
      <c r="F959" s="9"/>
      <c r="G959" s="10"/>
      <c r="H959" s="11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7"/>
      <c r="B960" s="7"/>
      <c r="C960" s="5"/>
      <c r="D960" s="5"/>
      <c r="E960" s="9"/>
      <c r="F960" s="9"/>
      <c r="G960" s="10"/>
      <c r="H960" s="11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7"/>
      <c r="B961" s="7"/>
      <c r="C961" s="5"/>
      <c r="D961" s="5"/>
      <c r="E961" s="9"/>
      <c r="F961" s="9"/>
      <c r="G961" s="10"/>
      <c r="H961" s="11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7"/>
      <c r="B962" s="7"/>
      <c r="C962" s="5"/>
      <c r="D962" s="5"/>
      <c r="E962" s="9"/>
      <c r="F962" s="9"/>
      <c r="G962" s="10"/>
      <c r="H962" s="11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7"/>
      <c r="B963" s="7"/>
      <c r="C963" s="5"/>
      <c r="D963" s="5"/>
      <c r="E963" s="9"/>
      <c r="F963" s="9"/>
      <c r="G963" s="10"/>
      <c r="H963" s="11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7"/>
      <c r="B964" s="7"/>
      <c r="C964" s="5"/>
      <c r="D964" s="5"/>
      <c r="E964" s="9"/>
      <c r="F964" s="9"/>
      <c r="G964" s="10"/>
      <c r="H964" s="11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7"/>
      <c r="B965" s="7"/>
      <c r="C965" s="5"/>
      <c r="D965" s="5"/>
      <c r="E965" s="9"/>
      <c r="F965" s="9"/>
      <c r="G965" s="10"/>
      <c r="H965" s="11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7"/>
      <c r="B966" s="7"/>
      <c r="C966" s="5"/>
      <c r="D966" s="5"/>
      <c r="E966" s="9"/>
      <c r="F966" s="9"/>
      <c r="G966" s="10"/>
      <c r="H966" s="11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7"/>
      <c r="B967" s="7"/>
      <c r="C967" s="5"/>
      <c r="D967" s="5"/>
      <c r="E967" s="9"/>
      <c r="F967" s="9"/>
      <c r="G967" s="10"/>
      <c r="H967" s="11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7"/>
      <c r="B968" s="7"/>
      <c r="C968" s="5"/>
      <c r="D968" s="5"/>
      <c r="E968" s="9"/>
      <c r="F968" s="9"/>
      <c r="G968" s="10"/>
      <c r="H968" s="11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7"/>
      <c r="B969" s="7"/>
      <c r="C969" s="5"/>
      <c r="D969" s="5"/>
      <c r="E969" s="9"/>
      <c r="F969" s="9"/>
      <c r="G969" s="10"/>
      <c r="H969" s="11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7"/>
      <c r="B970" s="7"/>
      <c r="C970" s="5"/>
      <c r="D970" s="5"/>
      <c r="E970" s="9"/>
      <c r="F970" s="9"/>
      <c r="G970" s="10"/>
      <c r="H970" s="11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7"/>
      <c r="B971" s="7"/>
      <c r="C971" s="5"/>
      <c r="D971" s="5"/>
      <c r="E971" s="9"/>
      <c r="F971" s="9"/>
      <c r="G971" s="10"/>
      <c r="H971" s="11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7"/>
      <c r="B972" s="7"/>
      <c r="C972" s="5"/>
      <c r="D972" s="5"/>
      <c r="E972" s="9"/>
      <c r="F972" s="9"/>
      <c r="G972" s="10"/>
      <c r="H972" s="11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7"/>
      <c r="B973" s="7"/>
      <c r="C973" s="5"/>
      <c r="D973" s="5"/>
      <c r="E973" s="9"/>
      <c r="F973" s="9"/>
      <c r="G973" s="10"/>
      <c r="H973" s="11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7"/>
      <c r="B974" s="7"/>
      <c r="C974" s="5"/>
      <c r="D974" s="5"/>
      <c r="E974" s="9"/>
      <c r="F974" s="9"/>
      <c r="G974" s="10"/>
      <c r="H974" s="11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7"/>
      <c r="B975" s="7"/>
      <c r="C975" s="5"/>
      <c r="D975" s="5"/>
      <c r="E975" s="9"/>
      <c r="F975" s="9"/>
      <c r="G975" s="10"/>
      <c r="H975" s="11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7"/>
      <c r="B976" s="7"/>
      <c r="C976" s="5"/>
      <c r="D976" s="5"/>
      <c r="E976" s="9"/>
      <c r="F976" s="9"/>
      <c r="G976" s="10"/>
      <c r="H976" s="11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7"/>
      <c r="B977" s="7"/>
      <c r="C977" s="5"/>
      <c r="D977" s="5"/>
      <c r="E977" s="9"/>
      <c r="F977" s="9"/>
      <c r="G977" s="10"/>
      <c r="H977" s="11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7"/>
      <c r="B978" s="7"/>
      <c r="C978" s="5"/>
      <c r="D978" s="5"/>
      <c r="E978" s="9"/>
      <c r="F978" s="9"/>
      <c r="G978" s="10"/>
      <c r="H978" s="11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7"/>
      <c r="B979" s="7"/>
      <c r="C979" s="5"/>
      <c r="D979" s="5"/>
      <c r="E979" s="9"/>
      <c r="F979" s="9"/>
      <c r="G979" s="10"/>
      <c r="H979" s="11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7"/>
      <c r="B980" s="7"/>
      <c r="C980" s="5"/>
      <c r="D980" s="5"/>
      <c r="E980" s="9"/>
      <c r="F980" s="9"/>
      <c r="G980" s="10"/>
      <c r="H980" s="11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7"/>
      <c r="B981" s="7"/>
      <c r="C981" s="5"/>
      <c r="D981" s="5"/>
      <c r="E981" s="9"/>
      <c r="F981" s="9"/>
      <c r="G981" s="10"/>
      <c r="H981" s="11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7"/>
      <c r="B982" s="7"/>
      <c r="C982" s="5"/>
      <c r="D982" s="5"/>
      <c r="E982" s="9"/>
      <c r="F982" s="9"/>
      <c r="G982" s="10"/>
      <c r="H982" s="11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7"/>
      <c r="B983" s="7"/>
      <c r="C983" s="5"/>
      <c r="D983" s="5"/>
      <c r="E983" s="9"/>
      <c r="F983" s="9"/>
      <c r="G983" s="10"/>
      <c r="H983" s="11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7"/>
      <c r="B984" s="7"/>
      <c r="C984" s="5"/>
      <c r="D984" s="5"/>
      <c r="E984" s="9"/>
      <c r="F984" s="9"/>
      <c r="G984" s="10"/>
      <c r="H984" s="11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7"/>
      <c r="B985" s="7"/>
      <c r="C985" s="5"/>
      <c r="D985" s="5"/>
      <c r="E985" s="9"/>
      <c r="F985" s="9"/>
      <c r="G985" s="10"/>
      <c r="H985" s="11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7"/>
      <c r="B986" s="7"/>
      <c r="C986" s="5"/>
      <c r="D986" s="5"/>
      <c r="E986" s="9"/>
      <c r="F986" s="9"/>
      <c r="G986" s="10"/>
      <c r="H986" s="11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7"/>
      <c r="B987" s="7"/>
      <c r="C987" s="5"/>
      <c r="D987" s="5"/>
      <c r="E987" s="9"/>
      <c r="F987" s="9"/>
      <c r="G987" s="10"/>
      <c r="H987" s="11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7"/>
      <c r="B988" s="7"/>
      <c r="C988" s="5"/>
      <c r="D988" s="5"/>
      <c r="E988" s="9"/>
      <c r="F988" s="9"/>
      <c r="G988" s="10"/>
      <c r="H988" s="11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7"/>
      <c r="B989" s="7"/>
      <c r="C989" s="5"/>
      <c r="D989" s="5"/>
      <c r="E989" s="9"/>
      <c r="F989" s="9"/>
      <c r="G989" s="10"/>
      <c r="H989" s="11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7"/>
      <c r="B990" s="7"/>
      <c r="C990" s="5"/>
      <c r="D990" s="5"/>
      <c r="E990" s="9"/>
      <c r="F990" s="9"/>
      <c r="G990" s="10"/>
      <c r="H990" s="11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7"/>
      <c r="B991" s="7"/>
      <c r="C991" s="5"/>
      <c r="D991" s="5"/>
      <c r="E991" s="9"/>
      <c r="F991" s="9"/>
      <c r="G991" s="10"/>
      <c r="H991" s="11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7"/>
      <c r="B992" s="7"/>
      <c r="C992" s="5"/>
      <c r="D992" s="5"/>
      <c r="E992" s="9"/>
      <c r="F992" s="9"/>
      <c r="G992" s="10"/>
      <c r="H992" s="11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7"/>
      <c r="B993" s="7"/>
      <c r="C993" s="5"/>
      <c r="D993" s="5"/>
      <c r="E993" s="9"/>
      <c r="F993" s="9"/>
      <c r="G993" s="10"/>
      <c r="H993" s="11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7"/>
      <c r="B994" s="7"/>
      <c r="C994" s="5"/>
      <c r="D994" s="5"/>
      <c r="E994" s="9"/>
      <c r="F994" s="9"/>
      <c r="G994" s="10"/>
      <c r="H994" s="11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7"/>
      <c r="B995" s="7"/>
      <c r="C995" s="5"/>
      <c r="D995" s="5"/>
      <c r="E995" s="9"/>
      <c r="F995" s="9"/>
      <c r="G995" s="10"/>
      <c r="H995" s="11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7"/>
      <c r="B996" s="7"/>
      <c r="C996" s="5"/>
      <c r="D996" s="5"/>
      <c r="E996" s="9"/>
      <c r="F996" s="9"/>
      <c r="G996" s="10"/>
      <c r="H996" s="11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7"/>
      <c r="B997" s="7"/>
      <c r="C997" s="5"/>
      <c r="D997" s="5"/>
      <c r="E997" s="9"/>
      <c r="F997" s="9"/>
      <c r="G997" s="10"/>
      <c r="H997" s="11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7"/>
      <c r="B998" s="7"/>
      <c r="C998" s="5"/>
      <c r="D998" s="5"/>
      <c r="E998" s="9"/>
      <c r="F998" s="9"/>
      <c r="G998" s="10"/>
      <c r="H998" s="11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7"/>
      <c r="B999" s="7"/>
      <c r="C999" s="5"/>
      <c r="D999" s="5"/>
      <c r="E999" s="9"/>
      <c r="F999" s="9"/>
      <c r="G999" s="10"/>
      <c r="H999" s="11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7"/>
      <c r="B1000" s="7"/>
      <c r="C1000" s="5"/>
      <c r="D1000" s="5"/>
      <c r="E1000" s="9"/>
      <c r="F1000" s="9"/>
      <c r="G1000" s="10"/>
      <c r="H1000" s="11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A3:H3"/>
    <mergeCell ref="A4:H4"/>
    <mergeCell ref="A7:H7"/>
    <mergeCell ref="A29:B29"/>
  </mergeCells>
  <printOptions/>
  <pageMargins bottom="0.75" footer="0.0" header="0.0" left="0.7" right="0.2" top="0.75"/>
  <pageSetup orientation="portrait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29"/>
    <col customWidth="1" min="2" max="2" width="24.86"/>
    <col customWidth="1" min="3" max="3" width="12.43"/>
    <col customWidth="1" min="4" max="4" width="6.57"/>
    <col customWidth="1" min="5" max="5" width="11.0"/>
    <col customWidth="1" min="6" max="6" width="12.43"/>
    <col customWidth="1" min="7" max="7" width="12.71"/>
    <col customWidth="1" min="8" max="8" width="15.29"/>
    <col customWidth="1" min="9" max="11" width="9.14"/>
    <col customWidth="1" min="12" max="26" width="8.71"/>
  </cols>
  <sheetData>
    <row r="1" ht="6.75" customHeight="1">
      <c r="A1" s="5"/>
      <c r="B1" s="5"/>
      <c r="C1" s="5"/>
      <c r="D1" s="5"/>
      <c r="E1" s="223"/>
      <c r="F1" s="223"/>
      <c r="G1" s="223"/>
      <c r="H1" s="224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.5" hidden="1" customHeight="1">
      <c r="A2" s="5"/>
      <c r="B2" s="5"/>
      <c r="C2" s="5"/>
      <c r="D2" s="5"/>
      <c r="E2" s="223"/>
      <c r="F2" s="223"/>
      <c r="G2" s="223"/>
      <c r="H2" s="224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2" t="s">
        <v>0</v>
      </c>
      <c r="B3" s="3"/>
      <c r="C3" s="3"/>
      <c r="D3" s="3"/>
      <c r="E3" s="3"/>
      <c r="F3" s="3"/>
      <c r="G3" s="3"/>
      <c r="H3" s="4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6" t="s">
        <v>2</v>
      </c>
      <c r="B4" s="3"/>
      <c r="C4" s="3"/>
      <c r="D4" s="3"/>
      <c r="E4" s="3"/>
      <c r="F4" s="3"/>
      <c r="G4" s="3"/>
      <c r="H4" s="4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6.5" customHeight="1">
      <c r="A5" s="5"/>
      <c r="B5" s="5"/>
      <c r="C5" s="5"/>
      <c r="D5" s="5"/>
      <c r="E5" s="223"/>
      <c r="F5" s="223"/>
      <c r="G5" s="223"/>
      <c r="H5" s="224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5"/>
      <c r="B6" s="5"/>
      <c r="C6" s="5"/>
      <c r="D6" s="5"/>
      <c r="E6" s="223"/>
      <c r="F6" s="223"/>
      <c r="G6" s="223"/>
      <c r="H6" s="224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6.5" customHeight="1">
      <c r="A7" s="12"/>
      <c r="B7" s="3"/>
      <c r="C7" s="3"/>
      <c r="D7" s="3"/>
      <c r="E7" s="3"/>
      <c r="F7" s="3"/>
      <c r="G7" s="3"/>
      <c r="H7" s="4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8.0" customHeight="1">
      <c r="A8" s="250"/>
      <c r="B8" s="121"/>
      <c r="C8" s="121"/>
      <c r="D8" s="121"/>
      <c r="E8" s="250"/>
      <c r="F8" s="250"/>
      <c r="G8" s="250"/>
      <c r="H8" s="224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143" t="s">
        <v>3</v>
      </c>
      <c r="B9" s="143" t="s">
        <v>4</v>
      </c>
      <c r="C9" s="147" t="s">
        <v>5</v>
      </c>
      <c r="D9" s="143" t="s">
        <v>225</v>
      </c>
      <c r="E9" s="147" t="s">
        <v>226</v>
      </c>
      <c r="F9" s="147" t="s">
        <v>9</v>
      </c>
      <c r="G9" s="147" t="s">
        <v>118</v>
      </c>
      <c r="H9" s="143" t="s">
        <v>119</v>
      </c>
      <c r="I9" s="225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24.75" customHeight="1">
      <c r="A10" s="251" t="s">
        <v>14</v>
      </c>
      <c r="B10" s="252" t="s">
        <v>168</v>
      </c>
      <c r="C10" s="151"/>
      <c r="D10" s="151">
        <v>28.0</v>
      </c>
      <c r="E10" s="253">
        <v>130000.0</v>
      </c>
      <c r="F10" s="254">
        <f>D10*4333.33</f>
        <v>121333.24</v>
      </c>
      <c r="G10" s="253">
        <f>SUM(121333-121333)</f>
        <v>0</v>
      </c>
      <c r="H10" s="255" t="s">
        <v>84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4.75" customHeight="1">
      <c r="A11" s="251" t="s">
        <v>18</v>
      </c>
      <c r="B11" s="149" t="s">
        <v>144</v>
      </c>
      <c r="C11" s="232" t="s">
        <v>199</v>
      </c>
      <c r="D11" s="151">
        <v>30.0</v>
      </c>
      <c r="E11" s="253">
        <v>145000.0</v>
      </c>
      <c r="F11" s="253">
        <f>D11*4833.33</f>
        <v>144999.9</v>
      </c>
      <c r="G11" s="253">
        <f>SUM(145000-10000-15000-90000-20000-10000)</f>
        <v>0</v>
      </c>
      <c r="H11" s="256" t="s">
        <v>74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4.75" customHeight="1">
      <c r="A12" s="251" t="s">
        <v>22</v>
      </c>
      <c r="B12" s="149" t="s">
        <v>169</v>
      </c>
      <c r="C12" s="232" t="s">
        <v>201</v>
      </c>
      <c r="D12" s="151">
        <v>29.0</v>
      </c>
      <c r="E12" s="253">
        <v>85000.0</v>
      </c>
      <c r="F12" s="253">
        <f>D12*2833.33</f>
        <v>82166.57</v>
      </c>
      <c r="G12" s="253">
        <f>SUM(82167-12167-70000)</f>
        <v>0</v>
      </c>
      <c r="H12" s="256" t="s">
        <v>227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4.75" customHeight="1">
      <c r="A13" s="251" t="s">
        <v>25</v>
      </c>
      <c r="B13" s="149" t="s">
        <v>28</v>
      </c>
      <c r="C13" s="232" t="s">
        <v>201</v>
      </c>
      <c r="D13" s="151">
        <v>30.0</v>
      </c>
      <c r="E13" s="253">
        <v>50000.0</v>
      </c>
      <c r="F13" s="253">
        <f t="shared" ref="F13:F14" si="1">D13*1666.66</f>
        <v>49999.8</v>
      </c>
      <c r="G13" s="253">
        <f>SUM(50000-20000-30000)</f>
        <v>0</v>
      </c>
      <c r="H13" s="256" t="s">
        <v>228</v>
      </c>
      <c r="I13" s="5"/>
      <c r="J13" s="5"/>
      <c r="K13" s="51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4.75" customHeight="1">
      <c r="A14" s="251" t="s">
        <v>27</v>
      </c>
      <c r="B14" s="252" t="s">
        <v>222</v>
      </c>
      <c r="C14" s="151"/>
      <c r="D14" s="151">
        <v>28.0</v>
      </c>
      <c r="E14" s="253">
        <v>50000.0</v>
      </c>
      <c r="F14" s="253">
        <f t="shared" si="1"/>
        <v>46666.48</v>
      </c>
      <c r="G14" s="246" t="s">
        <v>229</v>
      </c>
      <c r="H14" s="256" t="s">
        <v>230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4.75" customHeight="1">
      <c r="A15" s="251" t="s">
        <v>30</v>
      </c>
      <c r="B15" s="252" t="s">
        <v>81</v>
      </c>
      <c r="C15" s="232">
        <v>45813.0</v>
      </c>
      <c r="D15" s="151">
        <v>30.0</v>
      </c>
      <c r="E15" s="253">
        <v>40000.0</v>
      </c>
      <c r="F15" s="253">
        <f>D15*1333.33</f>
        <v>39999.9</v>
      </c>
      <c r="G15" s="253">
        <f>SUM(40000-40000)</f>
        <v>0</v>
      </c>
      <c r="H15" s="256" t="s">
        <v>231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4.75" customHeight="1">
      <c r="A16" s="251" t="s">
        <v>34</v>
      </c>
      <c r="B16" s="257" t="s">
        <v>120</v>
      </c>
      <c r="C16" s="151"/>
      <c r="D16" s="151">
        <v>27.0</v>
      </c>
      <c r="E16" s="253">
        <v>50000.0</v>
      </c>
      <c r="F16" s="253">
        <f>D16*1666.66</f>
        <v>44999.82</v>
      </c>
      <c r="G16" s="253"/>
      <c r="H16" s="256" t="s">
        <v>231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4.75" customHeight="1">
      <c r="A17" s="251" t="s">
        <v>37</v>
      </c>
      <c r="B17" s="252" t="s">
        <v>224</v>
      </c>
      <c r="C17" s="232" t="s">
        <v>199</v>
      </c>
      <c r="D17" s="151">
        <v>29.0</v>
      </c>
      <c r="E17" s="253">
        <v>35000.0</v>
      </c>
      <c r="F17" s="253">
        <f>D17*1166.66</f>
        <v>33833.14</v>
      </c>
      <c r="G17" s="253">
        <f>SUM(33833-33833)</f>
        <v>0</v>
      </c>
      <c r="H17" s="256" t="s">
        <v>231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4.75" customHeight="1">
      <c r="A18" s="251" t="s">
        <v>41</v>
      </c>
      <c r="B18" s="252" t="s">
        <v>232</v>
      </c>
      <c r="C18" s="232">
        <v>45996.0</v>
      </c>
      <c r="D18" s="151">
        <v>30.0</v>
      </c>
      <c r="E18" s="253">
        <v>20000.0</v>
      </c>
      <c r="F18" s="253">
        <f t="shared" ref="F18:F20" si="2">D18*666.66</f>
        <v>19999.8</v>
      </c>
      <c r="G18" s="253">
        <f>SUM(20000-20000)</f>
        <v>0</v>
      </c>
      <c r="H18" s="256" t="s">
        <v>36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4.75" customHeight="1">
      <c r="A19" s="251" t="s">
        <v>44</v>
      </c>
      <c r="B19" s="257" t="s">
        <v>38</v>
      </c>
      <c r="C19" s="232">
        <v>45935.0</v>
      </c>
      <c r="D19" s="151">
        <v>29.0</v>
      </c>
      <c r="E19" s="253">
        <v>20000.0</v>
      </c>
      <c r="F19" s="253">
        <f t="shared" si="2"/>
        <v>19333.14</v>
      </c>
      <c r="G19" s="253">
        <f>SUM(19333-19333)</f>
        <v>0</v>
      </c>
      <c r="H19" s="256" t="s">
        <v>43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4.75" customHeight="1">
      <c r="A20" s="251" t="s">
        <v>47</v>
      </c>
      <c r="B20" s="257" t="s">
        <v>42</v>
      </c>
      <c r="C20" s="245" t="s">
        <v>203</v>
      </c>
      <c r="D20" s="151">
        <v>16.0</v>
      </c>
      <c r="E20" s="253">
        <v>20000.0</v>
      </c>
      <c r="F20" s="253">
        <f t="shared" si="2"/>
        <v>10666.56</v>
      </c>
      <c r="G20" s="253">
        <f>SUM(10667-10667)</f>
        <v>0</v>
      </c>
      <c r="H20" s="256" t="s">
        <v>43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4.75" customHeight="1">
      <c r="A21" s="256"/>
      <c r="B21" s="252"/>
      <c r="C21" s="151"/>
      <c r="D21" s="151"/>
      <c r="E21" s="253"/>
      <c r="F21" s="253"/>
      <c r="G21" s="253"/>
      <c r="H21" s="256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4.75" customHeight="1">
      <c r="A22" s="256"/>
      <c r="B22" s="252"/>
      <c r="C22" s="151"/>
      <c r="D22" s="151"/>
      <c r="E22" s="253"/>
      <c r="F22" s="253"/>
      <c r="G22" s="253"/>
      <c r="H22" s="256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4.75" customHeight="1">
      <c r="A23" s="252"/>
      <c r="B23" s="252"/>
      <c r="C23" s="151"/>
      <c r="D23" s="151"/>
      <c r="E23" s="253"/>
      <c r="F23" s="253"/>
      <c r="G23" s="253"/>
      <c r="H23" s="256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4.75" customHeight="1">
      <c r="A24" s="252"/>
      <c r="B24" s="252"/>
      <c r="C24" s="151"/>
      <c r="D24" s="151"/>
      <c r="E24" s="253"/>
      <c r="F24" s="253"/>
      <c r="G24" s="253"/>
      <c r="H24" s="256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4.75" customHeight="1">
      <c r="A25" s="252"/>
      <c r="B25" s="252"/>
      <c r="C25" s="151"/>
      <c r="D25" s="151"/>
      <c r="E25" s="253"/>
      <c r="F25" s="253"/>
      <c r="G25" s="253"/>
      <c r="H25" s="256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4.75" customHeight="1">
      <c r="A26" s="252"/>
      <c r="B26" s="252"/>
      <c r="C26" s="151"/>
      <c r="D26" s="151"/>
      <c r="E26" s="253"/>
      <c r="F26" s="253"/>
      <c r="G26" s="253"/>
      <c r="H26" s="256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4.75" customHeight="1">
      <c r="A27" s="252"/>
      <c r="B27" s="252"/>
      <c r="C27" s="151"/>
      <c r="D27" s="151"/>
      <c r="E27" s="253"/>
      <c r="F27" s="253"/>
      <c r="G27" s="253"/>
      <c r="H27" s="256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4.75" customHeight="1">
      <c r="A28" s="252"/>
      <c r="B28" s="252"/>
      <c r="C28" s="151"/>
      <c r="D28" s="151"/>
      <c r="E28" s="253"/>
      <c r="F28" s="253"/>
      <c r="G28" s="253"/>
      <c r="H28" s="256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4.75" customHeight="1">
      <c r="A29" s="252"/>
      <c r="B29" s="252"/>
      <c r="C29" s="151"/>
      <c r="D29" s="151"/>
      <c r="E29" s="253"/>
      <c r="F29" s="253"/>
      <c r="G29" s="253"/>
      <c r="H29" s="256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4.75" customHeight="1">
      <c r="A30" s="252"/>
      <c r="B30" s="252"/>
      <c r="C30" s="151"/>
      <c r="D30" s="151"/>
      <c r="E30" s="253"/>
      <c r="F30" s="253"/>
      <c r="G30" s="253"/>
      <c r="H30" s="256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4.75" customHeight="1">
      <c r="A31" s="189" t="s">
        <v>78</v>
      </c>
      <c r="B31" s="190"/>
      <c r="C31" s="191"/>
      <c r="D31" s="191"/>
      <c r="E31" s="152">
        <f t="shared" ref="E31:F31" si="3">SUM(E10:E30)</f>
        <v>645000</v>
      </c>
      <c r="F31" s="152">
        <f t="shared" si="3"/>
        <v>613998.35</v>
      </c>
      <c r="G31" s="152"/>
      <c r="H31" s="256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6.5" customHeight="1">
      <c r="A32" s="121"/>
      <c r="B32" s="121"/>
      <c r="C32" s="121"/>
      <c r="D32" s="121"/>
      <c r="E32" s="250"/>
      <c r="F32" s="250"/>
      <c r="G32" s="250"/>
      <c r="H32" s="224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6.5" customHeight="1">
      <c r="A33" s="121"/>
      <c r="B33" s="121"/>
      <c r="C33" s="121"/>
      <c r="D33" s="121"/>
      <c r="E33" s="250"/>
      <c r="F33" s="250"/>
      <c r="G33" s="250"/>
      <c r="H33" s="224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121"/>
      <c r="B34" s="121"/>
      <c r="C34" s="121"/>
      <c r="D34" s="121"/>
      <c r="E34" s="250"/>
      <c r="F34" s="250"/>
      <c r="G34" s="250"/>
      <c r="H34" s="224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121"/>
      <c r="B35" s="121"/>
      <c r="C35" s="121"/>
      <c r="D35" s="121"/>
      <c r="E35" s="250"/>
      <c r="F35" s="250"/>
      <c r="G35" s="250"/>
      <c r="H35" s="224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121"/>
      <c r="B36" s="121"/>
      <c r="C36" s="121"/>
      <c r="D36" s="121"/>
      <c r="E36" s="250"/>
      <c r="F36" s="250"/>
      <c r="G36" s="250"/>
      <c r="H36" s="224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121"/>
      <c r="B37" s="121"/>
      <c r="C37" s="121"/>
      <c r="D37" s="121"/>
      <c r="E37" s="250"/>
      <c r="F37" s="250"/>
      <c r="G37" s="250"/>
      <c r="H37" s="224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121"/>
      <c r="B38" s="121"/>
      <c r="C38" s="121"/>
      <c r="D38" s="121"/>
      <c r="E38" s="250"/>
      <c r="F38" s="250"/>
      <c r="G38" s="250"/>
      <c r="H38" s="224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6.5" customHeight="1">
      <c r="A39" s="121"/>
      <c r="B39" s="121"/>
      <c r="C39" s="121"/>
      <c r="D39" s="121"/>
      <c r="E39" s="250"/>
      <c r="F39" s="250"/>
      <c r="G39" s="250"/>
      <c r="H39" s="224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6.5" customHeight="1">
      <c r="A40" s="121"/>
      <c r="B40" s="121"/>
      <c r="C40" s="121"/>
      <c r="D40" s="121"/>
      <c r="E40" s="250"/>
      <c r="F40" s="250"/>
      <c r="G40" s="250"/>
      <c r="H40" s="224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6.5" customHeight="1">
      <c r="A41" s="121"/>
      <c r="B41" s="121"/>
      <c r="C41" s="121"/>
      <c r="D41" s="121"/>
      <c r="E41" s="250"/>
      <c r="F41" s="250"/>
      <c r="G41" s="250"/>
      <c r="H41" s="224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5"/>
      <c r="B42" s="5"/>
      <c r="C42" s="5"/>
      <c r="D42" s="5"/>
      <c r="E42" s="223"/>
      <c r="F42" s="223"/>
      <c r="G42" s="223"/>
      <c r="H42" s="224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5"/>
      <c r="B43" s="5"/>
      <c r="C43" s="5"/>
      <c r="D43" s="5"/>
      <c r="E43" s="223"/>
      <c r="F43" s="223"/>
      <c r="G43" s="223"/>
      <c r="H43" s="224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5"/>
      <c r="B44" s="5"/>
      <c r="C44" s="5"/>
      <c r="D44" s="5"/>
      <c r="E44" s="223"/>
      <c r="F44" s="223"/>
      <c r="G44" s="223"/>
      <c r="H44" s="224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5"/>
      <c r="B45" s="5"/>
      <c r="C45" s="5"/>
      <c r="D45" s="5"/>
      <c r="E45" s="223"/>
      <c r="F45" s="223"/>
      <c r="G45" s="223"/>
      <c r="H45" s="224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5"/>
      <c r="B46" s="5"/>
      <c r="C46" s="5"/>
      <c r="D46" s="5"/>
      <c r="E46" s="223"/>
      <c r="F46" s="223"/>
      <c r="G46" s="223"/>
      <c r="H46" s="224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5"/>
      <c r="B47" s="5"/>
      <c r="C47" s="5"/>
      <c r="D47" s="5"/>
      <c r="E47" s="223"/>
      <c r="F47" s="223"/>
      <c r="G47" s="223"/>
      <c r="H47" s="224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5"/>
      <c r="B48" s="5"/>
      <c r="C48" s="5"/>
      <c r="D48" s="5"/>
      <c r="E48" s="223"/>
      <c r="F48" s="223"/>
      <c r="G48" s="223"/>
      <c r="H48" s="224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5"/>
      <c r="B49" s="5"/>
      <c r="C49" s="5"/>
      <c r="D49" s="5"/>
      <c r="E49" s="223"/>
      <c r="F49" s="223"/>
      <c r="G49" s="223"/>
      <c r="H49" s="224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5"/>
      <c r="B50" s="5"/>
      <c r="C50" s="5"/>
      <c r="D50" s="5"/>
      <c r="E50" s="223"/>
      <c r="F50" s="223"/>
      <c r="G50" s="223"/>
      <c r="H50" s="224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5"/>
      <c r="B51" s="5"/>
      <c r="C51" s="5"/>
      <c r="D51" s="5"/>
      <c r="E51" s="223"/>
      <c r="F51" s="223"/>
      <c r="G51" s="223"/>
      <c r="H51" s="224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5"/>
      <c r="B52" s="5"/>
      <c r="C52" s="5"/>
      <c r="D52" s="5"/>
      <c r="E52" s="223"/>
      <c r="F52" s="223"/>
      <c r="G52" s="223"/>
      <c r="H52" s="224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5"/>
      <c r="B53" s="5"/>
      <c r="C53" s="5"/>
      <c r="D53" s="5"/>
      <c r="E53" s="223"/>
      <c r="F53" s="223"/>
      <c r="G53" s="223"/>
      <c r="H53" s="224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5"/>
      <c r="B54" s="5"/>
      <c r="C54" s="5"/>
      <c r="D54" s="5"/>
      <c r="E54" s="223"/>
      <c r="F54" s="223"/>
      <c r="G54" s="223"/>
      <c r="H54" s="224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5"/>
      <c r="B55" s="5"/>
      <c r="C55" s="5"/>
      <c r="D55" s="5"/>
      <c r="E55" s="223"/>
      <c r="F55" s="223"/>
      <c r="G55" s="223"/>
      <c r="H55" s="224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6.5" customHeight="1">
      <c r="A56" s="5"/>
      <c r="B56" s="5"/>
      <c r="C56" s="5"/>
      <c r="D56" s="5"/>
      <c r="E56" s="223"/>
      <c r="F56" s="223"/>
      <c r="G56" s="223"/>
      <c r="H56" s="224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6.5" customHeight="1">
      <c r="A57" s="5"/>
      <c r="B57" s="5"/>
      <c r="C57" s="5"/>
      <c r="D57" s="5"/>
      <c r="E57" s="223"/>
      <c r="F57" s="223"/>
      <c r="G57" s="223"/>
      <c r="H57" s="224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5"/>
      <c r="B58" s="5"/>
      <c r="C58" s="5"/>
      <c r="D58" s="5"/>
      <c r="E58" s="223"/>
      <c r="F58" s="223"/>
      <c r="G58" s="223"/>
      <c r="H58" s="224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5"/>
      <c r="B59" s="5"/>
      <c r="C59" s="5"/>
      <c r="D59" s="5"/>
      <c r="E59" s="223"/>
      <c r="F59" s="223"/>
      <c r="G59" s="223"/>
      <c r="H59" s="224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5"/>
      <c r="B60" s="5"/>
      <c r="C60" s="5"/>
      <c r="D60" s="5"/>
      <c r="E60" s="223"/>
      <c r="F60" s="223"/>
      <c r="G60" s="223"/>
      <c r="H60" s="224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5"/>
      <c r="B61" s="5"/>
      <c r="C61" s="5"/>
      <c r="D61" s="5"/>
      <c r="E61" s="223"/>
      <c r="F61" s="223"/>
      <c r="G61" s="223"/>
      <c r="H61" s="224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5"/>
      <c r="B62" s="5"/>
      <c r="C62" s="5"/>
      <c r="D62" s="5"/>
      <c r="E62" s="223"/>
      <c r="F62" s="223"/>
      <c r="G62" s="223"/>
      <c r="H62" s="224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5"/>
      <c r="B63" s="5"/>
      <c r="C63" s="5"/>
      <c r="D63" s="5"/>
      <c r="E63" s="223"/>
      <c r="F63" s="223"/>
      <c r="G63" s="223"/>
      <c r="H63" s="224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5"/>
      <c r="B64" s="5"/>
      <c r="C64" s="5"/>
      <c r="D64" s="5"/>
      <c r="E64" s="223"/>
      <c r="F64" s="223"/>
      <c r="G64" s="223"/>
      <c r="H64" s="224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5"/>
      <c r="B65" s="5"/>
      <c r="C65" s="5"/>
      <c r="D65" s="5"/>
      <c r="E65" s="223"/>
      <c r="F65" s="223"/>
      <c r="G65" s="223"/>
      <c r="H65" s="224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5"/>
      <c r="B66" s="5"/>
      <c r="C66" s="5"/>
      <c r="D66" s="5"/>
      <c r="E66" s="223"/>
      <c r="F66" s="223"/>
      <c r="G66" s="223"/>
      <c r="H66" s="224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5"/>
      <c r="B67" s="5"/>
      <c r="C67" s="5"/>
      <c r="D67" s="5"/>
      <c r="E67" s="223"/>
      <c r="F67" s="223"/>
      <c r="G67" s="223"/>
      <c r="H67" s="224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5"/>
      <c r="B68" s="5"/>
      <c r="C68" s="5"/>
      <c r="D68" s="5"/>
      <c r="E68" s="223"/>
      <c r="F68" s="223"/>
      <c r="G68" s="223"/>
      <c r="H68" s="224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5"/>
      <c r="B69" s="5"/>
      <c r="C69" s="5"/>
      <c r="D69" s="5"/>
      <c r="E69" s="223"/>
      <c r="F69" s="223"/>
      <c r="G69" s="223"/>
      <c r="H69" s="224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5"/>
      <c r="B70" s="5"/>
      <c r="C70" s="5"/>
      <c r="D70" s="5"/>
      <c r="E70" s="223"/>
      <c r="F70" s="223"/>
      <c r="G70" s="223"/>
      <c r="H70" s="224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5"/>
      <c r="B71" s="5"/>
      <c r="C71" s="5"/>
      <c r="D71" s="5"/>
      <c r="E71" s="223"/>
      <c r="F71" s="223"/>
      <c r="G71" s="223"/>
      <c r="H71" s="224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5"/>
      <c r="B72" s="5"/>
      <c r="C72" s="5"/>
      <c r="D72" s="5"/>
      <c r="E72" s="223"/>
      <c r="F72" s="223"/>
      <c r="G72" s="223"/>
      <c r="H72" s="224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5"/>
      <c r="B73" s="5"/>
      <c r="C73" s="5"/>
      <c r="D73" s="5"/>
      <c r="E73" s="223"/>
      <c r="F73" s="223"/>
      <c r="G73" s="223"/>
      <c r="H73" s="224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5"/>
      <c r="B74" s="5"/>
      <c r="C74" s="5"/>
      <c r="D74" s="5"/>
      <c r="E74" s="223"/>
      <c r="F74" s="223"/>
      <c r="G74" s="223"/>
      <c r="H74" s="224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5"/>
      <c r="B75" s="5"/>
      <c r="C75" s="5"/>
      <c r="D75" s="5"/>
      <c r="E75" s="223"/>
      <c r="F75" s="223"/>
      <c r="G75" s="223"/>
      <c r="H75" s="224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5"/>
      <c r="B76" s="5"/>
      <c r="C76" s="5"/>
      <c r="D76" s="5"/>
      <c r="E76" s="223"/>
      <c r="F76" s="223"/>
      <c r="G76" s="223"/>
      <c r="H76" s="224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5"/>
      <c r="B77" s="5"/>
      <c r="C77" s="5"/>
      <c r="D77" s="5"/>
      <c r="E77" s="223"/>
      <c r="F77" s="223"/>
      <c r="G77" s="223"/>
      <c r="H77" s="224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5"/>
      <c r="B78" s="5"/>
      <c r="C78" s="5"/>
      <c r="D78" s="5"/>
      <c r="E78" s="223"/>
      <c r="F78" s="223"/>
      <c r="G78" s="223"/>
      <c r="H78" s="224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5"/>
      <c r="B79" s="5"/>
      <c r="C79" s="5"/>
      <c r="D79" s="5"/>
      <c r="E79" s="223"/>
      <c r="F79" s="223"/>
      <c r="G79" s="223"/>
      <c r="H79" s="224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5"/>
      <c r="B80" s="5"/>
      <c r="C80" s="5"/>
      <c r="D80" s="5"/>
      <c r="E80" s="223"/>
      <c r="F80" s="223"/>
      <c r="G80" s="223"/>
      <c r="H80" s="224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5"/>
      <c r="B81" s="5"/>
      <c r="C81" s="5"/>
      <c r="D81" s="5"/>
      <c r="E81" s="223"/>
      <c r="F81" s="223"/>
      <c r="G81" s="223"/>
      <c r="H81" s="224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5"/>
      <c r="B82" s="5"/>
      <c r="C82" s="5"/>
      <c r="D82" s="5"/>
      <c r="E82" s="223"/>
      <c r="F82" s="223"/>
      <c r="G82" s="223"/>
      <c r="H82" s="224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5"/>
      <c r="B83" s="5"/>
      <c r="C83" s="5"/>
      <c r="D83" s="5"/>
      <c r="E83" s="223"/>
      <c r="F83" s="223"/>
      <c r="G83" s="223"/>
      <c r="H83" s="224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5"/>
      <c r="B84" s="5"/>
      <c r="C84" s="5"/>
      <c r="D84" s="5"/>
      <c r="E84" s="223"/>
      <c r="F84" s="223"/>
      <c r="G84" s="223"/>
      <c r="H84" s="224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5"/>
      <c r="B85" s="5"/>
      <c r="C85" s="5"/>
      <c r="D85" s="5"/>
      <c r="E85" s="223"/>
      <c r="F85" s="223"/>
      <c r="G85" s="223"/>
      <c r="H85" s="224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5"/>
      <c r="B86" s="5"/>
      <c r="C86" s="5"/>
      <c r="D86" s="5"/>
      <c r="E86" s="223"/>
      <c r="F86" s="223"/>
      <c r="G86" s="223"/>
      <c r="H86" s="224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5"/>
      <c r="B87" s="5"/>
      <c r="C87" s="5"/>
      <c r="D87" s="5"/>
      <c r="E87" s="223"/>
      <c r="F87" s="223"/>
      <c r="G87" s="223"/>
      <c r="H87" s="224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5"/>
      <c r="B88" s="5"/>
      <c r="C88" s="5"/>
      <c r="D88" s="5"/>
      <c r="E88" s="223"/>
      <c r="F88" s="223"/>
      <c r="G88" s="223"/>
      <c r="H88" s="224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5"/>
      <c r="B89" s="5"/>
      <c r="C89" s="5"/>
      <c r="D89" s="5"/>
      <c r="E89" s="223"/>
      <c r="F89" s="223"/>
      <c r="G89" s="223"/>
      <c r="H89" s="224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5"/>
      <c r="B90" s="5"/>
      <c r="C90" s="5"/>
      <c r="D90" s="5"/>
      <c r="E90" s="223"/>
      <c r="F90" s="223"/>
      <c r="G90" s="223"/>
      <c r="H90" s="224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5"/>
      <c r="B91" s="5"/>
      <c r="C91" s="5"/>
      <c r="D91" s="5"/>
      <c r="E91" s="223"/>
      <c r="F91" s="223"/>
      <c r="G91" s="223"/>
      <c r="H91" s="224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5"/>
      <c r="B92" s="5"/>
      <c r="C92" s="5"/>
      <c r="D92" s="5"/>
      <c r="E92" s="223"/>
      <c r="F92" s="223"/>
      <c r="G92" s="223"/>
      <c r="H92" s="224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5"/>
      <c r="B93" s="5"/>
      <c r="C93" s="5"/>
      <c r="D93" s="5"/>
      <c r="E93" s="223"/>
      <c r="F93" s="223"/>
      <c r="G93" s="223"/>
      <c r="H93" s="224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5"/>
      <c r="B94" s="5"/>
      <c r="C94" s="5"/>
      <c r="D94" s="5"/>
      <c r="E94" s="223"/>
      <c r="F94" s="223"/>
      <c r="G94" s="223"/>
      <c r="H94" s="224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5"/>
      <c r="B95" s="5"/>
      <c r="C95" s="5"/>
      <c r="D95" s="5"/>
      <c r="E95" s="223"/>
      <c r="F95" s="223"/>
      <c r="G95" s="223"/>
      <c r="H95" s="224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5"/>
      <c r="B96" s="5"/>
      <c r="C96" s="5"/>
      <c r="D96" s="5"/>
      <c r="E96" s="223"/>
      <c r="F96" s="223"/>
      <c r="G96" s="223"/>
      <c r="H96" s="224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5"/>
      <c r="B97" s="5"/>
      <c r="C97" s="5"/>
      <c r="D97" s="5"/>
      <c r="E97" s="223"/>
      <c r="F97" s="223"/>
      <c r="G97" s="223"/>
      <c r="H97" s="224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5"/>
      <c r="B98" s="5"/>
      <c r="C98" s="5"/>
      <c r="D98" s="5"/>
      <c r="E98" s="223"/>
      <c r="F98" s="223"/>
      <c r="G98" s="223"/>
      <c r="H98" s="224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5"/>
      <c r="B99" s="5"/>
      <c r="C99" s="5"/>
      <c r="D99" s="5"/>
      <c r="E99" s="223"/>
      <c r="F99" s="223"/>
      <c r="G99" s="223"/>
      <c r="H99" s="224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5"/>
      <c r="B100" s="5"/>
      <c r="C100" s="5"/>
      <c r="D100" s="5"/>
      <c r="E100" s="223"/>
      <c r="F100" s="223"/>
      <c r="G100" s="223"/>
      <c r="H100" s="224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5"/>
      <c r="B101" s="5"/>
      <c r="C101" s="5"/>
      <c r="D101" s="5"/>
      <c r="E101" s="223"/>
      <c r="F101" s="223"/>
      <c r="G101" s="223"/>
      <c r="H101" s="224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5"/>
      <c r="B102" s="5"/>
      <c r="C102" s="5"/>
      <c r="D102" s="5"/>
      <c r="E102" s="223"/>
      <c r="F102" s="223"/>
      <c r="G102" s="223"/>
      <c r="H102" s="224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5"/>
      <c r="B103" s="5"/>
      <c r="C103" s="5"/>
      <c r="D103" s="5"/>
      <c r="E103" s="223"/>
      <c r="F103" s="223"/>
      <c r="G103" s="223"/>
      <c r="H103" s="224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5"/>
      <c r="B104" s="5"/>
      <c r="C104" s="5"/>
      <c r="D104" s="5"/>
      <c r="E104" s="223"/>
      <c r="F104" s="223"/>
      <c r="G104" s="223"/>
      <c r="H104" s="224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5"/>
      <c r="B105" s="5"/>
      <c r="C105" s="5"/>
      <c r="D105" s="5"/>
      <c r="E105" s="223"/>
      <c r="F105" s="223"/>
      <c r="G105" s="223"/>
      <c r="H105" s="224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5"/>
      <c r="B106" s="5"/>
      <c r="C106" s="5"/>
      <c r="D106" s="5"/>
      <c r="E106" s="223"/>
      <c r="F106" s="223"/>
      <c r="G106" s="223"/>
      <c r="H106" s="224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5"/>
      <c r="B107" s="5"/>
      <c r="C107" s="5"/>
      <c r="D107" s="5"/>
      <c r="E107" s="223"/>
      <c r="F107" s="223"/>
      <c r="G107" s="223"/>
      <c r="H107" s="224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5"/>
      <c r="B108" s="5"/>
      <c r="C108" s="5"/>
      <c r="D108" s="5"/>
      <c r="E108" s="223"/>
      <c r="F108" s="223"/>
      <c r="G108" s="223"/>
      <c r="H108" s="224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5"/>
      <c r="B109" s="5"/>
      <c r="C109" s="5"/>
      <c r="D109" s="5"/>
      <c r="E109" s="223"/>
      <c r="F109" s="223"/>
      <c r="G109" s="223"/>
      <c r="H109" s="224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5"/>
      <c r="B110" s="5"/>
      <c r="C110" s="5"/>
      <c r="D110" s="5"/>
      <c r="E110" s="223"/>
      <c r="F110" s="223"/>
      <c r="G110" s="223"/>
      <c r="H110" s="224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5"/>
      <c r="B111" s="5"/>
      <c r="C111" s="5"/>
      <c r="D111" s="5"/>
      <c r="E111" s="223"/>
      <c r="F111" s="223"/>
      <c r="G111" s="223"/>
      <c r="H111" s="224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5"/>
      <c r="B112" s="5"/>
      <c r="C112" s="5"/>
      <c r="D112" s="5"/>
      <c r="E112" s="223"/>
      <c r="F112" s="223"/>
      <c r="G112" s="223"/>
      <c r="H112" s="224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5"/>
      <c r="B113" s="5"/>
      <c r="C113" s="5"/>
      <c r="D113" s="5"/>
      <c r="E113" s="223"/>
      <c r="F113" s="223"/>
      <c r="G113" s="223"/>
      <c r="H113" s="224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5"/>
      <c r="B114" s="5"/>
      <c r="C114" s="5"/>
      <c r="D114" s="5"/>
      <c r="E114" s="223"/>
      <c r="F114" s="223"/>
      <c r="G114" s="223"/>
      <c r="H114" s="224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5"/>
      <c r="B115" s="5"/>
      <c r="C115" s="5"/>
      <c r="D115" s="5"/>
      <c r="E115" s="223"/>
      <c r="F115" s="223"/>
      <c r="G115" s="223"/>
      <c r="H115" s="224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5"/>
      <c r="B116" s="5"/>
      <c r="C116" s="5"/>
      <c r="D116" s="5"/>
      <c r="E116" s="223"/>
      <c r="F116" s="223"/>
      <c r="G116" s="223"/>
      <c r="H116" s="224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5"/>
      <c r="B117" s="5"/>
      <c r="C117" s="5"/>
      <c r="D117" s="5"/>
      <c r="E117" s="223"/>
      <c r="F117" s="223"/>
      <c r="G117" s="223"/>
      <c r="H117" s="224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5"/>
      <c r="B118" s="5"/>
      <c r="C118" s="5"/>
      <c r="D118" s="5"/>
      <c r="E118" s="223"/>
      <c r="F118" s="223"/>
      <c r="G118" s="223"/>
      <c r="H118" s="224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5"/>
      <c r="B119" s="5"/>
      <c r="C119" s="5"/>
      <c r="D119" s="5"/>
      <c r="E119" s="223"/>
      <c r="F119" s="223"/>
      <c r="G119" s="223"/>
      <c r="H119" s="224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5"/>
      <c r="B120" s="5"/>
      <c r="C120" s="5"/>
      <c r="D120" s="5"/>
      <c r="E120" s="223"/>
      <c r="F120" s="223"/>
      <c r="G120" s="223"/>
      <c r="H120" s="224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5"/>
      <c r="B121" s="5"/>
      <c r="C121" s="5"/>
      <c r="D121" s="5"/>
      <c r="E121" s="223"/>
      <c r="F121" s="223"/>
      <c r="G121" s="223"/>
      <c r="H121" s="224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5"/>
      <c r="B122" s="5"/>
      <c r="C122" s="5"/>
      <c r="D122" s="5"/>
      <c r="E122" s="223"/>
      <c r="F122" s="223"/>
      <c r="G122" s="223"/>
      <c r="H122" s="224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5"/>
      <c r="B123" s="5"/>
      <c r="C123" s="5"/>
      <c r="D123" s="5"/>
      <c r="E123" s="223"/>
      <c r="F123" s="223"/>
      <c r="G123" s="223"/>
      <c r="H123" s="224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5"/>
      <c r="B124" s="5"/>
      <c r="C124" s="5"/>
      <c r="D124" s="5"/>
      <c r="E124" s="223"/>
      <c r="F124" s="223"/>
      <c r="G124" s="223"/>
      <c r="H124" s="224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5"/>
      <c r="B125" s="5"/>
      <c r="C125" s="5"/>
      <c r="D125" s="5"/>
      <c r="E125" s="223"/>
      <c r="F125" s="223"/>
      <c r="G125" s="223"/>
      <c r="H125" s="224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5"/>
      <c r="B126" s="5"/>
      <c r="C126" s="5"/>
      <c r="D126" s="5"/>
      <c r="E126" s="223"/>
      <c r="F126" s="223"/>
      <c r="G126" s="223"/>
      <c r="H126" s="224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5"/>
      <c r="B127" s="5"/>
      <c r="C127" s="5"/>
      <c r="D127" s="5"/>
      <c r="E127" s="223"/>
      <c r="F127" s="223"/>
      <c r="G127" s="223"/>
      <c r="H127" s="224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5"/>
      <c r="B128" s="5"/>
      <c r="C128" s="5"/>
      <c r="D128" s="5"/>
      <c r="E128" s="223"/>
      <c r="F128" s="223"/>
      <c r="G128" s="223"/>
      <c r="H128" s="224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5"/>
      <c r="B129" s="5"/>
      <c r="C129" s="5"/>
      <c r="D129" s="5"/>
      <c r="E129" s="223"/>
      <c r="F129" s="223"/>
      <c r="G129" s="223"/>
      <c r="H129" s="224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5"/>
      <c r="B130" s="5"/>
      <c r="C130" s="5"/>
      <c r="D130" s="5"/>
      <c r="E130" s="223"/>
      <c r="F130" s="223"/>
      <c r="G130" s="223"/>
      <c r="H130" s="224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5"/>
      <c r="B131" s="5"/>
      <c r="C131" s="5"/>
      <c r="D131" s="5"/>
      <c r="E131" s="223"/>
      <c r="F131" s="223"/>
      <c r="G131" s="223"/>
      <c r="H131" s="224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5"/>
      <c r="B132" s="5"/>
      <c r="C132" s="5"/>
      <c r="D132" s="5"/>
      <c r="E132" s="223"/>
      <c r="F132" s="223"/>
      <c r="G132" s="223"/>
      <c r="H132" s="224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5"/>
      <c r="B133" s="5"/>
      <c r="C133" s="5"/>
      <c r="D133" s="5"/>
      <c r="E133" s="223"/>
      <c r="F133" s="223"/>
      <c r="G133" s="223"/>
      <c r="H133" s="224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5"/>
      <c r="B134" s="5"/>
      <c r="C134" s="5"/>
      <c r="D134" s="5"/>
      <c r="E134" s="223"/>
      <c r="F134" s="223"/>
      <c r="G134" s="223"/>
      <c r="H134" s="224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5"/>
      <c r="B135" s="5"/>
      <c r="C135" s="5"/>
      <c r="D135" s="5"/>
      <c r="E135" s="223"/>
      <c r="F135" s="223"/>
      <c r="G135" s="223"/>
      <c r="H135" s="224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5"/>
      <c r="B136" s="5"/>
      <c r="C136" s="5"/>
      <c r="D136" s="5"/>
      <c r="E136" s="223"/>
      <c r="F136" s="223"/>
      <c r="G136" s="223"/>
      <c r="H136" s="224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5"/>
      <c r="B137" s="5"/>
      <c r="C137" s="5"/>
      <c r="D137" s="5"/>
      <c r="E137" s="223"/>
      <c r="F137" s="223"/>
      <c r="G137" s="223"/>
      <c r="H137" s="224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5"/>
      <c r="B138" s="5"/>
      <c r="C138" s="5"/>
      <c r="D138" s="5"/>
      <c r="E138" s="223"/>
      <c r="F138" s="223"/>
      <c r="G138" s="223"/>
      <c r="H138" s="224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5"/>
      <c r="B139" s="5"/>
      <c r="C139" s="5"/>
      <c r="D139" s="5"/>
      <c r="E139" s="223"/>
      <c r="F139" s="223"/>
      <c r="G139" s="223"/>
      <c r="H139" s="224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5"/>
      <c r="B140" s="5"/>
      <c r="C140" s="5"/>
      <c r="D140" s="5"/>
      <c r="E140" s="223"/>
      <c r="F140" s="223"/>
      <c r="G140" s="223"/>
      <c r="H140" s="224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5"/>
      <c r="B141" s="5"/>
      <c r="C141" s="5"/>
      <c r="D141" s="5"/>
      <c r="E141" s="223"/>
      <c r="F141" s="223"/>
      <c r="G141" s="223"/>
      <c r="H141" s="224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5"/>
      <c r="B142" s="5"/>
      <c r="C142" s="5"/>
      <c r="D142" s="5"/>
      <c r="E142" s="223"/>
      <c r="F142" s="223"/>
      <c r="G142" s="223"/>
      <c r="H142" s="224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5"/>
      <c r="B143" s="5"/>
      <c r="C143" s="5"/>
      <c r="D143" s="5"/>
      <c r="E143" s="223"/>
      <c r="F143" s="223"/>
      <c r="G143" s="223"/>
      <c r="H143" s="224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5"/>
      <c r="B144" s="5"/>
      <c r="C144" s="5"/>
      <c r="D144" s="5"/>
      <c r="E144" s="223"/>
      <c r="F144" s="223"/>
      <c r="G144" s="223"/>
      <c r="H144" s="224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5"/>
      <c r="B145" s="5"/>
      <c r="C145" s="5"/>
      <c r="D145" s="5"/>
      <c r="E145" s="223"/>
      <c r="F145" s="223"/>
      <c r="G145" s="223"/>
      <c r="H145" s="224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5"/>
      <c r="B146" s="5"/>
      <c r="C146" s="5"/>
      <c r="D146" s="5"/>
      <c r="E146" s="223"/>
      <c r="F146" s="223"/>
      <c r="G146" s="223"/>
      <c r="H146" s="224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5"/>
      <c r="B147" s="5"/>
      <c r="C147" s="5"/>
      <c r="D147" s="5"/>
      <c r="E147" s="223"/>
      <c r="F147" s="223"/>
      <c r="G147" s="223"/>
      <c r="H147" s="224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5"/>
      <c r="B148" s="5"/>
      <c r="C148" s="5"/>
      <c r="D148" s="5"/>
      <c r="E148" s="223"/>
      <c r="F148" s="223"/>
      <c r="G148" s="223"/>
      <c r="H148" s="224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5"/>
      <c r="B149" s="5"/>
      <c r="C149" s="5"/>
      <c r="D149" s="5"/>
      <c r="E149" s="223"/>
      <c r="F149" s="223"/>
      <c r="G149" s="223"/>
      <c r="H149" s="224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5"/>
      <c r="B150" s="5"/>
      <c r="C150" s="5"/>
      <c r="D150" s="5"/>
      <c r="E150" s="223"/>
      <c r="F150" s="223"/>
      <c r="G150" s="223"/>
      <c r="H150" s="224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5"/>
      <c r="B151" s="5"/>
      <c r="C151" s="5"/>
      <c r="D151" s="5"/>
      <c r="E151" s="223"/>
      <c r="F151" s="223"/>
      <c r="G151" s="223"/>
      <c r="H151" s="224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5"/>
      <c r="B152" s="5"/>
      <c r="C152" s="5"/>
      <c r="D152" s="5"/>
      <c r="E152" s="223"/>
      <c r="F152" s="223"/>
      <c r="G152" s="223"/>
      <c r="H152" s="224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5"/>
      <c r="B153" s="5"/>
      <c r="C153" s="5"/>
      <c r="D153" s="5"/>
      <c r="E153" s="223"/>
      <c r="F153" s="223"/>
      <c r="G153" s="223"/>
      <c r="H153" s="224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5"/>
      <c r="B154" s="5"/>
      <c r="C154" s="5"/>
      <c r="D154" s="5"/>
      <c r="E154" s="223"/>
      <c r="F154" s="223"/>
      <c r="G154" s="223"/>
      <c r="H154" s="224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5"/>
      <c r="B155" s="5"/>
      <c r="C155" s="5"/>
      <c r="D155" s="5"/>
      <c r="E155" s="223"/>
      <c r="F155" s="223"/>
      <c r="G155" s="223"/>
      <c r="H155" s="224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5"/>
      <c r="B156" s="5"/>
      <c r="C156" s="5"/>
      <c r="D156" s="5"/>
      <c r="E156" s="223"/>
      <c r="F156" s="223"/>
      <c r="G156" s="223"/>
      <c r="H156" s="224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5"/>
      <c r="B157" s="5"/>
      <c r="C157" s="5"/>
      <c r="D157" s="5"/>
      <c r="E157" s="223"/>
      <c r="F157" s="223"/>
      <c r="G157" s="223"/>
      <c r="H157" s="224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5"/>
      <c r="B158" s="5"/>
      <c r="C158" s="5"/>
      <c r="D158" s="5"/>
      <c r="E158" s="223"/>
      <c r="F158" s="223"/>
      <c r="G158" s="223"/>
      <c r="H158" s="224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5"/>
      <c r="B159" s="5"/>
      <c r="C159" s="5"/>
      <c r="D159" s="5"/>
      <c r="E159" s="223"/>
      <c r="F159" s="223"/>
      <c r="G159" s="223"/>
      <c r="H159" s="224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5"/>
      <c r="B160" s="5"/>
      <c r="C160" s="5"/>
      <c r="D160" s="5"/>
      <c r="E160" s="223"/>
      <c r="F160" s="223"/>
      <c r="G160" s="223"/>
      <c r="H160" s="224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5"/>
      <c r="B161" s="5"/>
      <c r="C161" s="5"/>
      <c r="D161" s="5"/>
      <c r="E161" s="223"/>
      <c r="F161" s="223"/>
      <c r="G161" s="223"/>
      <c r="H161" s="224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5"/>
      <c r="B162" s="5"/>
      <c r="C162" s="5"/>
      <c r="D162" s="5"/>
      <c r="E162" s="223"/>
      <c r="F162" s="223"/>
      <c r="G162" s="223"/>
      <c r="H162" s="224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5"/>
      <c r="B163" s="5"/>
      <c r="C163" s="5"/>
      <c r="D163" s="5"/>
      <c r="E163" s="223"/>
      <c r="F163" s="223"/>
      <c r="G163" s="223"/>
      <c r="H163" s="224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5"/>
      <c r="B164" s="5"/>
      <c r="C164" s="5"/>
      <c r="D164" s="5"/>
      <c r="E164" s="223"/>
      <c r="F164" s="223"/>
      <c r="G164" s="223"/>
      <c r="H164" s="224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5"/>
      <c r="B165" s="5"/>
      <c r="C165" s="5"/>
      <c r="D165" s="5"/>
      <c r="E165" s="223"/>
      <c r="F165" s="223"/>
      <c r="G165" s="223"/>
      <c r="H165" s="224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5"/>
      <c r="B166" s="5"/>
      <c r="C166" s="5"/>
      <c r="D166" s="5"/>
      <c r="E166" s="223"/>
      <c r="F166" s="223"/>
      <c r="G166" s="223"/>
      <c r="H166" s="224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5"/>
      <c r="B167" s="5"/>
      <c r="C167" s="5"/>
      <c r="D167" s="5"/>
      <c r="E167" s="223"/>
      <c r="F167" s="223"/>
      <c r="G167" s="223"/>
      <c r="H167" s="224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5"/>
      <c r="B168" s="5"/>
      <c r="C168" s="5"/>
      <c r="D168" s="5"/>
      <c r="E168" s="223"/>
      <c r="F168" s="223"/>
      <c r="G168" s="223"/>
      <c r="H168" s="224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5"/>
      <c r="B169" s="5"/>
      <c r="C169" s="5"/>
      <c r="D169" s="5"/>
      <c r="E169" s="223"/>
      <c r="F169" s="223"/>
      <c r="G169" s="223"/>
      <c r="H169" s="224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5"/>
      <c r="B170" s="5"/>
      <c r="C170" s="5"/>
      <c r="D170" s="5"/>
      <c r="E170" s="223"/>
      <c r="F170" s="223"/>
      <c r="G170" s="223"/>
      <c r="H170" s="224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5"/>
      <c r="B171" s="5"/>
      <c r="C171" s="5"/>
      <c r="D171" s="5"/>
      <c r="E171" s="223"/>
      <c r="F171" s="223"/>
      <c r="G171" s="223"/>
      <c r="H171" s="224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5"/>
      <c r="B172" s="5"/>
      <c r="C172" s="5"/>
      <c r="D172" s="5"/>
      <c r="E172" s="223"/>
      <c r="F172" s="223"/>
      <c r="G172" s="223"/>
      <c r="H172" s="224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5"/>
      <c r="B173" s="5"/>
      <c r="C173" s="5"/>
      <c r="D173" s="5"/>
      <c r="E173" s="223"/>
      <c r="F173" s="223"/>
      <c r="G173" s="223"/>
      <c r="H173" s="224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5"/>
      <c r="B174" s="5"/>
      <c r="C174" s="5"/>
      <c r="D174" s="5"/>
      <c r="E174" s="223"/>
      <c r="F174" s="223"/>
      <c r="G174" s="223"/>
      <c r="H174" s="224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5"/>
      <c r="B175" s="5"/>
      <c r="C175" s="5"/>
      <c r="D175" s="5"/>
      <c r="E175" s="223"/>
      <c r="F175" s="223"/>
      <c r="G175" s="223"/>
      <c r="H175" s="224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5"/>
      <c r="B176" s="5"/>
      <c r="C176" s="5"/>
      <c r="D176" s="5"/>
      <c r="E176" s="223"/>
      <c r="F176" s="223"/>
      <c r="G176" s="223"/>
      <c r="H176" s="224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5"/>
      <c r="B177" s="5"/>
      <c r="C177" s="5"/>
      <c r="D177" s="5"/>
      <c r="E177" s="223"/>
      <c r="F177" s="223"/>
      <c r="G177" s="223"/>
      <c r="H177" s="224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5"/>
      <c r="B178" s="5"/>
      <c r="C178" s="5"/>
      <c r="D178" s="5"/>
      <c r="E178" s="223"/>
      <c r="F178" s="223"/>
      <c r="G178" s="223"/>
      <c r="H178" s="224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5"/>
      <c r="B179" s="5"/>
      <c r="C179" s="5"/>
      <c r="D179" s="5"/>
      <c r="E179" s="223"/>
      <c r="F179" s="223"/>
      <c r="G179" s="223"/>
      <c r="H179" s="224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5"/>
      <c r="B180" s="5"/>
      <c r="C180" s="5"/>
      <c r="D180" s="5"/>
      <c r="E180" s="223"/>
      <c r="F180" s="223"/>
      <c r="G180" s="223"/>
      <c r="H180" s="224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5"/>
      <c r="B181" s="5"/>
      <c r="C181" s="5"/>
      <c r="D181" s="5"/>
      <c r="E181" s="223"/>
      <c r="F181" s="223"/>
      <c r="G181" s="223"/>
      <c r="H181" s="224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5"/>
      <c r="B182" s="5"/>
      <c r="C182" s="5"/>
      <c r="D182" s="5"/>
      <c r="E182" s="223"/>
      <c r="F182" s="223"/>
      <c r="G182" s="223"/>
      <c r="H182" s="224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5"/>
      <c r="B183" s="5"/>
      <c r="C183" s="5"/>
      <c r="D183" s="5"/>
      <c r="E183" s="223"/>
      <c r="F183" s="223"/>
      <c r="G183" s="223"/>
      <c r="H183" s="224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5"/>
      <c r="B184" s="5"/>
      <c r="C184" s="5"/>
      <c r="D184" s="5"/>
      <c r="E184" s="223"/>
      <c r="F184" s="223"/>
      <c r="G184" s="223"/>
      <c r="H184" s="224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5"/>
      <c r="B185" s="5"/>
      <c r="C185" s="5"/>
      <c r="D185" s="5"/>
      <c r="E185" s="223"/>
      <c r="F185" s="223"/>
      <c r="G185" s="223"/>
      <c r="H185" s="224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5"/>
      <c r="B186" s="5"/>
      <c r="C186" s="5"/>
      <c r="D186" s="5"/>
      <c r="E186" s="223"/>
      <c r="F186" s="223"/>
      <c r="G186" s="223"/>
      <c r="H186" s="224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5"/>
      <c r="B187" s="5"/>
      <c r="C187" s="5"/>
      <c r="D187" s="5"/>
      <c r="E187" s="223"/>
      <c r="F187" s="223"/>
      <c r="G187" s="223"/>
      <c r="H187" s="224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5"/>
      <c r="B188" s="5"/>
      <c r="C188" s="5"/>
      <c r="D188" s="5"/>
      <c r="E188" s="223"/>
      <c r="F188" s="223"/>
      <c r="G188" s="223"/>
      <c r="H188" s="224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5"/>
      <c r="B189" s="5"/>
      <c r="C189" s="5"/>
      <c r="D189" s="5"/>
      <c r="E189" s="223"/>
      <c r="F189" s="223"/>
      <c r="G189" s="223"/>
      <c r="H189" s="224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5"/>
      <c r="B190" s="5"/>
      <c r="C190" s="5"/>
      <c r="D190" s="5"/>
      <c r="E190" s="223"/>
      <c r="F190" s="223"/>
      <c r="G190" s="223"/>
      <c r="H190" s="224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5"/>
      <c r="B191" s="5"/>
      <c r="C191" s="5"/>
      <c r="D191" s="5"/>
      <c r="E191" s="223"/>
      <c r="F191" s="223"/>
      <c r="G191" s="223"/>
      <c r="H191" s="224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5"/>
      <c r="B192" s="5"/>
      <c r="C192" s="5"/>
      <c r="D192" s="5"/>
      <c r="E192" s="223"/>
      <c r="F192" s="223"/>
      <c r="G192" s="223"/>
      <c r="H192" s="224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5"/>
      <c r="B193" s="5"/>
      <c r="C193" s="5"/>
      <c r="D193" s="5"/>
      <c r="E193" s="223"/>
      <c r="F193" s="223"/>
      <c r="G193" s="223"/>
      <c r="H193" s="224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5"/>
      <c r="B194" s="5"/>
      <c r="C194" s="5"/>
      <c r="D194" s="5"/>
      <c r="E194" s="223"/>
      <c r="F194" s="223"/>
      <c r="G194" s="223"/>
      <c r="H194" s="224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5"/>
      <c r="B195" s="5"/>
      <c r="C195" s="5"/>
      <c r="D195" s="5"/>
      <c r="E195" s="223"/>
      <c r="F195" s="223"/>
      <c r="G195" s="223"/>
      <c r="H195" s="224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5"/>
      <c r="B196" s="5"/>
      <c r="C196" s="5"/>
      <c r="D196" s="5"/>
      <c r="E196" s="223"/>
      <c r="F196" s="223"/>
      <c r="G196" s="223"/>
      <c r="H196" s="224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5"/>
      <c r="B197" s="5"/>
      <c r="C197" s="5"/>
      <c r="D197" s="5"/>
      <c r="E197" s="223"/>
      <c r="F197" s="223"/>
      <c r="G197" s="223"/>
      <c r="H197" s="224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5"/>
      <c r="B198" s="5"/>
      <c r="C198" s="5"/>
      <c r="D198" s="5"/>
      <c r="E198" s="223"/>
      <c r="F198" s="223"/>
      <c r="G198" s="223"/>
      <c r="H198" s="224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5"/>
      <c r="B199" s="5"/>
      <c r="C199" s="5"/>
      <c r="D199" s="5"/>
      <c r="E199" s="223"/>
      <c r="F199" s="223"/>
      <c r="G199" s="223"/>
      <c r="H199" s="224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5"/>
      <c r="B200" s="5"/>
      <c r="C200" s="5"/>
      <c r="D200" s="5"/>
      <c r="E200" s="223"/>
      <c r="F200" s="223"/>
      <c r="G200" s="223"/>
      <c r="H200" s="224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5"/>
      <c r="B201" s="5"/>
      <c r="C201" s="5"/>
      <c r="D201" s="5"/>
      <c r="E201" s="223"/>
      <c r="F201" s="223"/>
      <c r="G201" s="223"/>
      <c r="H201" s="224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5"/>
      <c r="B202" s="5"/>
      <c r="C202" s="5"/>
      <c r="D202" s="5"/>
      <c r="E202" s="223"/>
      <c r="F202" s="223"/>
      <c r="G202" s="223"/>
      <c r="H202" s="224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5"/>
      <c r="B203" s="5"/>
      <c r="C203" s="5"/>
      <c r="D203" s="5"/>
      <c r="E203" s="223"/>
      <c r="F203" s="223"/>
      <c r="G203" s="223"/>
      <c r="H203" s="224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5"/>
      <c r="B204" s="5"/>
      <c r="C204" s="5"/>
      <c r="D204" s="5"/>
      <c r="E204" s="223"/>
      <c r="F204" s="223"/>
      <c r="G204" s="223"/>
      <c r="H204" s="224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5"/>
      <c r="B205" s="5"/>
      <c r="C205" s="5"/>
      <c r="D205" s="5"/>
      <c r="E205" s="223"/>
      <c r="F205" s="223"/>
      <c r="G205" s="223"/>
      <c r="H205" s="224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5"/>
      <c r="B206" s="5"/>
      <c r="C206" s="5"/>
      <c r="D206" s="5"/>
      <c r="E206" s="223"/>
      <c r="F206" s="223"/>
      <c r="G206" s="223"/>
      <c r="H206" s="224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5"/>
      <c r="B207" s="5"/>
      <c r="C207" s="5"/>
      <c r="D207" s="5"/>
      <c r="E207" s="223"/>
      <c r="F207" s="223"/>
      <c r="G207" s="223"/>
      <c r="H207" s="224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5"/>
      <c r="B208" s="5"/>
      <c r="C208" s="5"/>
      <c r="D208" s="5"/>
      <c r="E208" s="223"/>
      <c r="F208" s="223"/>
      <c r="G208" s="223"/>
      <c r="H208" s="224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5"/>
      <c r="B209" s="5"/>
      <c r="C209" s="5"/>
      <c r="D209" s="5"/>
      <c r="E209" s="223"/>
      <c r="F209" s="223"/>
      <c r="G209" s="223"/>
      <c r="H209" s="224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5"/>
      <c r="B210" s="5"/>
      <c r="C210" s="5"/>
      <c r="D210" s="5"/>
      <c r="E210" s="223"/>
      <c r="F210" s="223"/>
      <c r="G210" s="223"/>
      <c r="H210" s="224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5"/>
      <c r="B211" s="5"/>
      <c r="C211" s="5"/>
      <c r="D211" s="5"/>
      <c r="E211" s="223"/>
      <c r="F211" s="223"/>
      <c r="G211" s="223"/>
      <c r="H211" s="224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5"/>
      <c r="B212" s="5"/>
      <c r="C212" s="5"/>
      <c r="D212" s="5"/>
      <c r="E212" s="223"/>
      <c r="F212" s="223"/>
      <c r="G212" s="223"/>
      <c r="H212" s="224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5"/>
      <c r="B213" s="5"/>
      <c r="C213" s="5"/>
      <c r="D213" s="5"/>
      <c r="E213" s="223"/>
      <c r="F213" s="223"/>
      <c r="G213" s="223"/>
      <c r="H213" s="224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5"/>
      <c r="B214" s="5"/>
      <c r="C214" s="5"/>
      <c r="D214" s="5"/>
      <c r="E214" s="223"/>
      <c r="F214" s="223"/>
      <c r="G214" s="223"/>
      <c r="H214" s="224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5"/>
      <c r="B215" s="5"/>
      <c r="C215" s="5"/>
      <c r="D215" s="5"/>
      <c r="E215" s="223"/>
      <c r="F215" s="223"/>
      <c r="G215" s="223"/>
      <c r="H215" s="224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5"/>
      <c r="B216" s="5"/>
      <c r="C216" s="5"/>
      <c r="D216" s="5"/>
      <c r="E216" s="223"/>
      <c r="F216" s="223"/>
      <c r="G216" s="223"/>
      <c r="H216" s="224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5"/>
      <c r="B217" s="5"/>
      <c r="C217" s="5"/>
      <c r="D217" s="5"/>
      <c r="E217" s="223"/>
      <c r="F217" s="223"/>
      <c r="G217" s="223"/>
      <c r="H217" s="224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5"/>
      <c r="B218" s="5"/>
      <c r="C218" s="5"/>
      <c r="D218" s="5"/>
      <c r="E218" s="223"/>
      <c r="F218" s="223"/>
      <c r="G218" s="223"/>
      <c r="H218" s="224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5"/>
      <c r="B219" s="5"/>
      <c r="C219" s="5"/>
      <c r="D219" s="5"/>
      <c r="E219" s="223"/>
      <c r="F219" s="223"/>
      <c r="G219" s="223"/>
      <c r="H219" s="224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5"/>
      <c r="B220" s="5"/>
      <c r="C220" s="5"/>
      <c r="D220" s="5"/>
      <c r="E220" s="223"/>
      <c r="F220" s="223"/>
      <c r="G220" s="223"/>
      <c r="H220" s="224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5"/>
      <c r="B221" s="5"/>
      <c r="C221" s="5"/>
      <c r="D221" s="5"/>
      <c r="E221" s="223"/>
      <c r="F221" s="223"/>
      <c r="G221" s="223"/>
      <c r="H221" s="224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5"/>
      <c r="B222" s="5"/>
      <c r="C222" s="5"/>
      <c r="D222" s="5"/>
      <c r="E222" s="223"/>
      <c r="F222" s="223"/>
      <c r="G222" s="223"/>
      <c r="H222" s="224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5"/>
      <c r="B223" s="5"/>
      <c r="C223" s="5"/>
      <c r="D223" s="5"/>
      <c r="E223" s="223"/>
      <c r="F223" s="223"/>
      <c r="G223" s="223"/>
      <c r="H223" s="224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5"/>
      <c r="B224" s="5"/>
      <c r="C224" s="5"/>
      <c r="D224" s="5"/>
      <c r="E224" s="223"/>
      <c r="F224" s="223"/>
      <c r="G224" s="223"/>
      <c r="H224" s="224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5"/>
      <c r="B225" s="5"/>
      <c r="C225" s="5"/>
      <c r="D225" s="5"/>
      <c r="E225" s="223"/>
      <c r="F225" s="223"/>
      <c r="G225" s="223"/>
      <c r="H225" s="224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5"/>
      <c r="B226" s="5"/>
      <c r="C226" s="5"/>
      <c r="D226" s="5"/>
      <c r="E226" s="223"/>
      <c r="F226" s="223"/>
      <c r="G226" s="223"/>
      <c r="H226" s="224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5"/>
      <c r="B227" s="5"/>
      <c r="C227" s="5"/>
      <c r="D227" s="5"/>
      <c r="E227" s="223"/>
      <c r="F227" s="223"/>
      <c r="G227" s="223"/>
      <c r="H227" s="224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5"/>
      <c r="B228" s="5"/>
      <c r="C228" s="5"/>
      <c r="D228" s="5"/>
      <c r="E228" s="223"/>
      <c r="F228" s="223"/>
      <c r="G228" s="223"/>
      <c r="H228" s="224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5"/>
      <c r="B229" s="5"/>
      <c r="C229" s="5"/>
      <c r="D229" s="5"/>
      <c r="E229" s="223"/>
      <c r="F229" s="223"/>
      <c r="G229" s="223"/>
      <c r="H229" s="224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5"/>
      <c r="B230" s="5"/>
      <c r="C230" s="5"/>
      <c r="D230" s="5"/>
      <c r="E230" s="223"/>
      <c r="F230" s="223"/>
      <c r="G230" s="223"/>
      <c r="H230" s="224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5"/>
      <c r="B231" s="5"/>
      <c r="C231" s="5"/>
      <c r="D231" s="5"/>
      <c r="E231" s="223"/>
      <c r="F231" s="223"/>
      <c r="G231" s="223"/>
      <c r="H231" s="224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5"/>
      <c r="B232" s="5"/>
      <c r="C232" s="5"/>
      <c r="D232" s="5"/>
      <c r="E232" s="223"/>
      <c r="F232" s="223"/>
      <c r="G232" s="223"/>
      <c r="H232" s="224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5"/>
      <c r="B233" s="5"/>
      <c r="C233" s="5"/>
      <c r="D233" s="5"/>
      <c r="E233" s="223"/>
      <c r="F233" s="223"/>
      <c r="G233" s="223"/>
      <c r="H233" s="224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5"/>
      <c r="B234" s="5"/>
      <c r="C234" s="5"/>
      <c r="D234" s="5"/>
      <c r="E234" s="223"/>
      <c r="F234" s="223"/>
      <c r="G234" s="223"/>
      <c r="H234" s="224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5"/>
      <c r="B235" s="5"/>
      <c r="C235" s="5"/>
      <c r="D235" s="5"/>
      <c r="E235" s="223"/>
      <c r="F235" s="223"/>
      <c r="G235" s="223"/>
      <c r="H235" s="224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5"/>
      <c r="B236" s="5"/>
      <c r="C236" s="5"/>
      <c r="D236" s="5"/>
      <c r="E236" s="223"/>
      <c r="F236" s="223"/>
      <c r="G236" s="223"/>
      <c r="H236" s="224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5"/>
      <c r="B237" s="5"/>
      <c r="C237" s="5"/>
      <c r="D237" s="5"/>
      <c r="E237" s="223"/>
      <c r="F237" s="223"/>
      <c r="G237" s="223"/>
      <c r="H237" s="224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5"/>
      <c r="B238" s="5"/>
      <c r="C238" s="5"/>
      <c r="D238" s="5"/>
      <c r="E238" s="223"/>
      <c r="F238" s="223"/>
      <c r="G238" s="223"/>
      <c r="H238" s="224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5"/>
      <c r="B239" s="5"/>
      <c r="C239" s="5"/>
      <c r="D239" s="5"/>
      <c r="E239" s="223"/>
      <c r="F239" s="223"/>
      <c r="G239" s="223"/>
      <c r="H239" s="224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5"/>
      <c r="B240" s="5"/>
      <c r="C240" s="5"/>
      <c r="D240" s="5"/>
      <c r="E240" s="223"/>
      <c r="F240" s="223"/>
      <c r="G240" s="223"/>
      <c r="H240" s="224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5"/>
      <c r="B241" s="5"/>
      <c r="C241" s="5"/>
      <c r="D241" s="5"/>
      <c r="E241" s="223"/>
      <c r="F241" s="223"/>
      <c r="G241" s="223"/>
      <c r="H241" s="224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5"/>
      <c r="B242" s="5"/>
      <c r="C242" s="5"/>
      <c r="D242" s="5"/>
      <c r="E242" s="223"/>
      <c r="F242" s="223"/>
      <c r="G242" s="223"/>
      <c r="H242" s="224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5"/>
      <c r="B243" s="5"/>
      <c r="C243" s="5"/>
      <c r="D243" s="5"/>
      <c r="E243" s="223"/>
      <c r="F243" s="223"/>
      <c r="G243" s="223"/>
      <c r="H243" s="224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5"/>
      <c r="B244" s="5"/>
      <c r="C244" s="5"/>
      <c r="D244" s="5"/>
      <c r="E244" s="223"/>
      <c r="F244" s="223"/>
      <c r="G244" s="223"/>
      <c r="H244" s="224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5"/>
      <c r="B245" s="5"/>
      <c r="C245" s="5"/>
      <c r="D245" s="5"/>
      <c r="E245" s="223"/>
      <c r="F245" s="223"/>
      <c r="G245" s="223"/>
      <c r="H245" s="224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5"/>
      <c r="B246" s="5"/>
      <c r="C246" s="5"/>
      <c r="D246" s="5"/>
      <c r="E246" s="223"/>
      <c r="F246" s="223"/>
      <c r="G246" s="223"/>
      <c r="H246" s="224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5"/>
      <c r="B247" s="5"/>
      <c r="C247" s="5"/>
      <c r="D247" s="5"/>
      <c r="E247" s="223"/>
      <c r="F247" s="223"/>
      <c r="G247" s="223"/>
      <c r="H247" s="224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5"/>
      <c r="B248" s="5"/>
      <c r="C248" s="5"/>
      <c r="D248" s="5"/>
      <c r="E248" s="223"/>
      <c r="F248" s="223"/>
      <c r="G248" s="223"/>
      <c r="H248" s="224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5"/>
      <c r="B249" s="5"/>
      <c r="C249" s="5"/>
      <c r="D249" s="5"/>
      <c r="E249" s="223"/>
      <c r="F249" s="223"/>
      <c r="G249" s="223"/>
      <c r="H249" s="224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5"/>
      <c r="B250" s="5"/>
      <c r="C250" s="5"/>
      <c r="D250" s="5"/>
      <c r="E250" s="223"/>
      <c r="F250" s="223"/>
      <c r="G250" s="223"/>
      <c r="H250" s="224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5"/>
      <c r="B251" s="5"/>
      <c r="C251" s="5"/>
      <c r="D251" s="5"/>
      <c r="E251" s="223"/>
      <c r="F251" s="223"/>
      <c r="G251" s="223"/>
      <c r="H251" s="224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5"/>
      <c r="B252" s="5"/>
      <c r="C252" s="5"/>
      <c r="D252" s="5"/>
      <c r="E252" s="223"/>
      <c r="F252" s="223"/>
      <c r="G252" s="223"/>
      <c r="H252" s="224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5"/>
      <c r="B253" s="5"/>
      <c r="C253" s="5"/>
      <c r="D253" s="5"/>
      <c r="E253" s="223"/>
      <c r="F253" s="223"/>
      <c r="G253" s="223"/>
      <c r="H253" s="224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5"/>
      <c r="B254" s="5"/>
      <c r="C254" s="5"/>
      <c r="D254" s="5"/>
      <c r="E254" s="223"/>
      <c r="F254" s="223"/>
      <c r="G254" s="223"/>
      <c r="H254" s="224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5"/>
      <c r="B255" s="5"/>
      <c r="C255" s="5"/>
      <c r="D255" s="5"/>
      <c r="E255" s="223"/>
      <c r="F255" s="223"/>
      <c r="G255" s="223"/>
      <c r="H255" s="224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5"/>
      <c r="B256" s="5"/>
      <c r="C256" s="5"/>
      <c r="D256" s="5"/>
      <c r="E256" s="223"/>
      <c r="F256" s="223"/>
      <c r="G256" s="223"/>
      <c r="H256" s="224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5"/>
      <c r="B257" s="5"/>
      <c r="C257" s="5"/>
      <c r="D257" s="5"/>
      <c r="E257" s="223"/>
      <c r="F257" s="223"/>
      <c r="G257" s="223"/>
      <c r="H257" s="224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5"/>
      <c r="B258" s="5"/>
      <c r="C258" s="5"/>
      <c r="D258" s="5"/>
      <c r="E258" s="223"/>
      <c r="F258" s="223"/>
      <c r="G258" s="223"/>
      <c r="H258" s="224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5"/>
      <c r="B259" s="5"/>
      <c r="C259" s="5"/>
      <c r="D259" s="5"/>
      <c r="E259" s="223"/>
      <c r="F259" s="223"/>
      <c r="G259" s="223"/>
      <c r="H259" s="224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5"/>
      <c r="B260" s="5"/>
      <c r="C260" s="5"/>
      <c r="D260" s="5"/>
      <c r="E260" s="223"/>
      <c r="F260" s="223"/>
      <c r="G260" s="223"/>
      <c r="H260" s="224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5"/>
      <c r="B261" s="5"/>
      <c r="C261" s="5"/>
      <c r="D261" s="5"/>
      <c r="E261" s="223"/>
      <c r="F261" s="223"/>
      <c r="G261" s="223"/>
      <c r="H261" s="224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5"/>
      <c r="B262" s="5"/>
      <c r="C262" s="5"/>
      <c r="D262" s="5"/>
      <c r="E262" s="223"/>
      <c r="F262" s="223"/>
      <c r="G262" s="223"/>
      <c r="H262" s="224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5"/>
      <c r="B263" s="5"/>
      <c r="C263" s="5"/>
      <c r="D263" s="5"/>
      <c r="E263" s="223"/>
      <c r="F263" s="223"/>
      <c r="G263" s="223"/>
      <c r="H263" s="224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5"/>
      <c r="B264" s="5"/>
      <c r="C264" s="5"/>
      <c r="D264" s="5"/>
      <c r="E264" s="223"/>
      <c r="F264" s="223"/>
      <c r="G264" s="223"/>
      <c r="H264" s="224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5"/>
      <c r="B265" s="5"/>
      <c r="C265" s="5"/>
      <c r="D265" s="5"/>
      <c r="E265" s="223"/>
      <c r="F265" s="223"/>
      <c r="G265" s="223"/>
      <c r="H265" s="224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5"/>
      <c r="B266" s="5"/>
      <c r="C266" s="5"/>
      <c r="D266" s="5"/>
      <c r="E266" s="223"/>
      <c r="F266" s="223"/>
      <c r="G266" s="223"/>
      <c r="H266" s="224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5"/>
      <c r="B267" s="5"/>
      <c r="C267" s="5"/>
      <c r="D267" s="5"/>
      <c r="E267" s="223"/>
      <c r="F267" s="223"/>
      <c r="G267" s="223"/>
      <c r="H267" s="224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5"/>
      <c r="B268" s="5"/>
      <c r="C268" s="5"/>
      <c r="D268" s="5"/>
      <c r="E268" s="223"/>
      <c r="F268" s="223"/>
      <c r="G268" s="223"/>
      <c r="H268" s="224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5"/>
      <c r="B269" s="5"/>
      <c r="C269" s="5"/>
      <c r="D269" s="5"/>
      <c r="E269" s="223"/>
      <c r="F269" s="223"/>
      <c r="G269" s="223"/>
      <c r="H269" s="224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5"/>
      <c r="B270" s="5"/>
      <c r="C270" s="5"/>
      <c r="D270" s="5"/>
      <c r="E270" s="223"/>
      <c r="F270" s="223"/>
      <c r="G270" s="223"/>
      <c r="H270" s="224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5"/>
      <c r="B271" s="5"/>
      <c r="C271" s="5"/>
      <c r="D271" s="5"/>
      <c r="E271" s="223"/>
      <c r="F271" s="223"/>
      <c r="G271" s="223"/>
      <c r="H271" s="224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5"/>
      <c r="B272" s="5"/>
      <c r="C272" s="5"/>
      <c r="D272" s="5"/>
      <c r="E272" s="223"/>
      <c r="F272" s="223"/>
      <c r="G272" s="223"/>
      <c r="H272" s="224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5"/>
      <c r="B273" s="5"/>
      <c r="C273" s="5"/>
      <c r="D273" s="5"/>
      <c r="E273" s="223"/>
      <c r="F273" s="223"/>
      <c r="G273" s="223"/>
      <c r="H273" s="224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5"/>
      <c r="B274" s="5"/>
      <c r="C274" s="5"/>
      <c r="D274" s="5"/>
      <c r="E274" s="223"/>
      <c r="F274" s="223"/>
      <c r="G274" s="223"/>
      <c r="H274" s="224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5"/>
      <c r="B275" s="5"/>
      <c r="C275" s="5"/>
      <c r="D275" s="5"/>
      <c r="E275" s="223"/>
      <c r="F275" s="223"/>
      <c r="G275" s="223"/>
      <c r="H275" s="224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5"/>
      <c r="B276" s="5"/>
      <c r="C276" s="5"/>
      <c r="D276" s="5"/>
      <c r="E276" s="223"/>
      <c r="F276" s="223"/>
      <c r="G276" s="223"/>
      <c r="H276" s="224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5"/>
      <c r="B277" s="5"/>
      <c r="C277" s="5"/>
      <c r="D277" s="5"/>
      <c r="E277" s="223"/>
      <c r="F277" s="223"/>
      <c r="G277" s="223"/>
      <c r="H277" s="224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5"/>
      <c r="B278" s="5"/>
      <c r="C278" s="5"/>
      <c r="D278" s="5"/>
      <c r="E278" s="223"/>
      <c r="F278" s="223"/>
      <c r="G278" s="223"/>
      <c r="H278" s="224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5"/>
      <c r="B279" s="5"/>
      <c r="C279" s="5"/>
      <c r="D279" s="5"/>
      <c r="E279" s="223"/>
      <c r="F279" s="223"/>
      <c r="G279" s="223"/>
      <c r="H279" s="224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5"/>
      <c r="B280" s="5"/>
      <c r="C280" s="5"/>
      <c r="D280" s="5"/>
      <c r="E280" s="223"/>
      <c r="F280" s="223"/>
      <c r="G280" s="223"/>
      <c r="H280" s="224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5"/>
      <c r="B281" s="5"/>
      <c r="C281" s="5"/>
      <c r="D281" s="5"/>
      <c r="E281" s="223"/>
      <c r="F281" s="223"/>
      <c r="G281" s="223"/>
      <c r="H281" s="224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5"/>
      <c r="B282" s="5"/>
      <c r="C282" s="5"/>
      <c r="D282" s="5"/>
      <c r="E282" s="223"/>
      <c r="F282" s="223"/>
      <c r="G282" s="223"/>
      <c r="H282" s="224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5"/>
      <c r="B283" s="5"/>
      <c r="C283" s="5"/>
      <c r="D283" s="5"/>
      <c r="E283" s="223"/>
      <c r="F283" s="223"/>
      <c r="G283" s="223"/>
      <c r="H283" s="224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5"/>
      <c r="B284" s="5"/>
      <c r="C284" s="5"/>
      <c r="D284" s="5"/>
      <c r="E284" s="223"/>
      <c r="F284" s="223"/>
      <c r="G284" s="223"/>
      <c r="H284" s="224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5"/>
      <c r="B285" s="5"/>
      <c r="C285" s="5"/>
      <c r="D285" s="5"/>
      <c r="E285" s="223"/>
      <c r="F285" s="223"/>
      <c r="G285" s="223"/>
      <c r="H285" s="224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5"/>
      <c r="B286" s="5"/>
      <c r="C286" s="5"/>
      <c r="D286" s="5"/>
      <c r="E286" s="223"/>
      <c r="F286" s="223"/>
      <c r="G286" s="223"/>
      <c r="H286" s="224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5"/>
      <c r="B287" s="5"/>
      <c r="C287" s="5"/>
      <c r="D287" s="5"/>
      <c r="E287" s="223"/>
      <c r="F287" s="223"/>
      <c r="G287" s="223"/>
      <c r="H287" s="224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5"/>
      <c r="B288" s="5"/>
      <c r="C288" s="5"/>
      <c r="D288" s="5"/>
      <c r="E288" s="223"/>
      <c r="F288" s="223"/>
      <c r="G288" s="223"/>
      <c r="H288" s="224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5"/>
      <c r="B289" s="5"/>
      <c r="C289" s="5"/>
      <c r="D289" s="5"/>
      <c r="E289" s="223"/>
      <c r="F289" s="223"/>
      <c r="G289" s="223"/>
      <c r="H289" s="224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5"/>
      <c r="B290" s="5"/>
      <c r="C290" s="5"/>
      <c r="D290" s="5"/>
      <c r="E290" s="223"/>
      <c r="F290" s="223"/>
      <c r="G290" s="223"/>
      <c r="H290" s="224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5"/>
      <c r="B291" s="5"/>
      <c r="C291" s="5"/>
      <c r="D291" s="5"/>
      <c r="E291" s="223"/>
      <c r="F291" s="223"/>
      <c r="G291" s="223"/>
      <c r="H291" s="224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5"/>
      <c r="B292" s="5"/>
      <c r="C292" s="5"/>
      <c r="D292" s="5"/>
      <c r="E292" s="223"/>
      <c r="F292" s="223"/>
      <c r="G292" s="223"/>
      <c r="H292" s="224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5"/>
      <c r="B293" s="5"/>
      <c r="C293" s="5"/>
      <c r="D293" s="5"/>
      <c r="E293" s="223"/>
      <c r="F293" s="223"/>
      <c r="G293" s="223"/>
      <c r="H293" s="224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5"/>
      <c r="B294" s="5"/>
      <c r="C294" s="5"/>
      <c r="D294" s="5"/>
      <c r="E294" s="223"/>
      <c r="F294" s="223"/>
      <c r="G294" s="223"/>
      <c r="H294" s="224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5"/>
      <c r="B295" s="5"/>
      <c r="C295" s="5"/>
      <c r="D295" s="5"/>
      <c r="E295" s="223"/>
      <c r="F295" s="223"/>
      <c r="G295" s="223"/>
      <c r="H295" s="224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5"/>
      <c r="B296" s="5"/>
      <c r="C296" s="5"/>
      <c r="D296" s="5"/>
      <c r="E296" s="223"/>
      <c r="F296" s="223"/>
      <c r="G296" s="223"/>
      <c r="H296" s="224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5"/>
      <c r="B297" s="5"/>
      <c r="C297" s="5"/>
      <c r="D297" s="5"/>
      <c r="E297" s="223"/>
      <c r="F297" s="223"/>
      <c r="G297" s="223"/>
      <c r="H297" s="224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5"/>
      <c r="B298" s="5"/>
      <c r="C298" s="5"/>
      <c r="D298" s="5"/>
      <c r="E298" s="223"/>
      <c r="F298" s="223"/>
      <c r="G298" s="223"/>
      <c r="H298" s="224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5"/>
      <c r="B299" s="5"/>
      <c r="C299" s="5"/>
      <c r="D299" s="5"/>
      <c r="E299" s="223"/>
      <c r="F299" s="223"/>
      <c r="G299" s="223"/>
      <c r="H299" s="224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5"/>
      <c r="B300" s="5"/>
      <c r="C300" s="5"/>
      <c r="D300" s="5"/>
      <c r="E300" s="223"/>
      <c r="F300" s="223"/>
      <c r="G300" s="223"/>
      <c r="H300" s="224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5"/>
      <c r="B301" s="5"/>
      <c r="C301" s="5"/>
      <c r="D301" s="5"/>
      <c r="E301" s="223"/>
      <c r="F301" s="223"/>
      <c r="G301" s="223"/>
      <c r="H301" s="224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5"/>
      <c r="B302" s="5"/>
      <c r="C302" s="5"/>
      <c r="D302" s="5"/>
      <c r="E302" s="223"/>
      <c r="F302" s="223"/>
      <c r="G302" s="223"/>
      <c r="H302" s="224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5"/>
      <c r="B303" s="5"/>
      <c r="C303" s="5"/>
      <c r="D303" s="5"/>
      <c r="E303" s="223"/>
      <c r="F303" s="223"/>
      <c r="G303" s="223"/>
      <c r="H303" s="224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5"/>
      <c r="B304" s="5"/>
      <c r="C304" s="5"/>
      <c r="D304" s="5"/>
      <c r="E304" s="223"/>
      <c r="F304" s="223"/>
      <c r="G304" s="223"/>
      <c r="H304" s="224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5"/>
      <c r="B305" s="5"/>
      <c r="C305" s="5"/>
      <c r="D305" s="5"/>
      <c r="E305" s="223"/>
      <c r="F305" s="223"/>
      <c r="G305" s="223"/>
      <c r="H305" s="224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5"/>
      <c r="B306" s="5"/>
      <c r="C306" s="5"/>
      <c r="D306" s="5"/>
      <c r="E306" s="223"/>
      <c r="F306" s="223"/>
      <c r="G306" s="223"/>
      <c r="H306" s="224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5"/>
      <c r="B307" s="5"/>
      <c r="C307" s="5"/>
      <c r="D307" s="5"/>
      <c r="E307" s="223"/>
      <c r="F307" s="223"/>
      <c r="G307" s="223"/>
      <c r="H307" s="224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5"/>
      <c r="B308" s="5"/>
      <c r="C308" s="5"/>
      <c r="D308" s="5"/>
      <c r="E308" s="223"/>
      <c r="F308" s="223"/>
      <c r="G308" s="223"/>
      <c r="H308" s="224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5"/>
      <c r="B309" s="5"/>
      <c r="C309" s="5"/>
      <c r="D309" s="5"/>
      <c r="E309" s="223"/>
      <c r="F309" s="223"/>
      <c r="G309" s="223"/>
      <c r="H309" s="224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5"/>
      <c r="B310" s="5"/>
      <c r="C310" s="5"/>
      <c r="D310" s="5"/>
      <c r="E310" s="223"/>
      <c r="F310" s="223"/>
      <c r="G310" s="223"/>
      <c r="H310" s="224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5"/>
      <c r="B311" s="5"/>
      <c r="C311" s="5"/>
      <c r="D311" s="5"/>
      <c r="E311" s="223"/>
      <c r="F311" s="223"/>
      <c r="G311" s="223"/>
      <c r="H311" s="224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5"/>
      <c r="B312" s="5"/>
      <c r="C312" s="5"/>
      <c r="D312" s="5"/>
      <c r="E312" s="223"/>
      <c r="F312" s="223"/>
      <c r="G312" s="223"/>
      <c r="H312" s="224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5"/>
      <c r="B313" s="5"/>
      <c r="C313" s="5"/>
      <c r="D313" s="5"/>
      <c r="E313" s="223"/>
      <c r="F313" s="223"/>
      <c r="G313" s="223"/>
      <c r="H313" s="224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5"/>
      <c r="B314" s="5"/>
      <c r="C314" s="5"/>
      <c r="D314" s="5"/>
      <c r="E314" s="223"/>
      <c r="F314" s="223"/>
      <c r="G314" s="223"/>
      <c r="H314" s="224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5"/>
      <c r="B315" s="5"/>
      <c r="C315" s="5"/>
      <c r="D315" s="5"/>
      <c r="E315" s="223"/>
      <c r="F315" s="223"/>
      <c r="G315" s="223"/>
      <c r="H315" s="224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5"/>
      <c r="B316" s="5"/>
      <c r="C316" s="5"/>
      <c r="D316" s="5"/>
      <c r="E316" s="223"/>
      <c r="F316" s="223"/>
      <c r="G316" s="223"/>
      <c r="H316" s="224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5"/>
      <c r="B317" s="5"/>
      <c r="C317" s="5"/>
      <c r="D317" s="5"/>
      <c r="E317" s="223"/>
      <c r="F317" s="223"/>
      <c r="G317" s="223"/>
      <c r="H317" s="224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5"/>
      <c r="B318" s="5"/>
      <c r="C318" s="5"/>
      <c r="D318" s="5"/>
      <c r="E318" s="223"/>
      <c r="F318" s="223"/>
      <c r="G318" s="223"/>
      <c r="H318" s="224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5"/>
      <c r="B319" s="5"/>
      <c r="C319" s="5"/>
      <c r="D319" s="5"/>
      <c r="E319" s="223"/>
      <c r="F319" s="223"/>
      <c r="G319" s="223"/>
      <c r="H319" s="224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5"/>
      <c r="B320" s="5"/>
      <c r="C320" s="5"/>
      <c r="D320" s="5"/>
      <c r="E320" s="223"/>
      <c r="F320" s="223"/>
      <c r="G320" s="223"/>
      <c r="H320" s="224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5"/>
      <c r="B321" s="5"/>
      <c r="C321" s="5"/>
      <c r="D321" s="5"/>
      <c r="E321" s="223"/>
      <c r="F321" s="223"/>
      <c r="G321" s="223"/>
      <c r="H321" s="224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5"/>
      <c r="B322" s="5"/>
      <c r="C322" s="5"/>
      <c r="D322" s="5"/>
      <c r="E322" s="223"/>
      <c r="F322" s="223"/>
      <c r="G322" s="223"/>
      <c r="H322" s="224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5"/>
      <c r="B323" s="5"/>
      <c r="C323" s="5"/>
      <c r="D323" s="5"/>
      <c r="E323" s="223"/>
      <c r="F323" s="223"/>
      <c r="G323" s="223"/>
      <c r="H323" s="224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5"/>
      <c r="B324" s="5"/>
      <c r="C324" s="5"/>
      <c r="D324" s="5"/>
      <c r="E324" s="223"/>
      <c r="F324" s="223"/>
      <c r="G324" s="223"/>
      <c r="H324" s="224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5"/>
      <c r="B325" s="5"/>
      <c r="C325" s="5"/>
      <c r="D325" s="5"/>
      <c r="E325" s="223"/>
      <c r="F325" s="223"/>
      <c r="G325" s="223"/>
      <c r="H325" s="224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5"/>
      <c r="B326" s="5"/>
      <c r="C326" s="5"/>
      <c r="D326" s="5"/>
      <c r="E326" s="223"/>
      <c r="F326" s="223"/>
      <c r="G326" s="223"/>
      <c r="H326" s="224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5"/>
      <c r="B327" s="5"/>
      <c r="C327" s="5"/>
      <c r="D327" s="5"/>
      <c r="E327" s="223"/>
      <c r="F327" s="223"/>
      <c r="G327" s="223"/>
      <c r="H327" s="224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5"/>
      <c r="B328" s="5"/>
      <c r="C328" s="5"/>
      <c r="D328" s="5"/>
      <c r="E328" s="223"/>
      <c r="F328" s="223"/>
      <c r="G328" s="223"/>
      <c r="H328" s="224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5"/>
      <c r="B329" s="5"/>
      <c r="C329" s="5"/>
      <c r="D329" s="5"/>
      <c r="E329" s="223"/>
      <c r="F329" s="223"/>
      <c r="G329" s="223"/>
      <c r="H329" s="224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5"/>
      <c r="B330" s="5"/>
      <c r="C330" s="5"/>
      <c r="D330" s="5"/>
      <c r="E330" s="223"/>
      <c r="F330" s="223"/>
      <c r="G330" s="223"/>
      <c r="H330" s="224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5"/>
      <c r="B331" s="5"/>
      <c r="C331" s="5"/>
      <c r="D331" s="5"/>
      <c r="E331" s="223"/>
      <c r="F331" s="223"/>
      <c r="G331" s="223"/>
      <c r="H331" s="224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5"/>
      <c r="B332" s="5"/>
      <c r="C332" s="5"/>
      <c r="D332" s="5"/>
      <c r="E332" s="223"/>
      <c r="F332" s="223"/>
      <c r="G332" s="223"/>
      <c r="H332" s="224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5"/>
      <c r="B333" s="5"/>
      <c r="C333" s="5"/>
      <c r="D333" s="5"/>
      <c r="E333" s="223"/>
      <c r="F333" s="223"/>
      <c r="G333" s="223"/>
      <c r="H333" s="224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5"/>
      <c r="B334" s="5"/>
      <c r="C334" s="5"/>
      <c r="D334" s="5"/>
      <c r="E334" s="223"/>
      <c r="F334" s="223"/>
      <c r="G334" s="223"/>
      <c r="H334" s="224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5"/>
      <c r="B335" s="5"/>
      <c r="C335" s="5"/>
      <c r="D335" s="5"/>
      <c r="E335" s="223"/>
      <c r="F335" s="223"/>
      <c r="G335" s="223"/>
      <c r="H335" s="224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5"/>
      <c r="B336" s="5"/>
      <c r="C336" s="5"/>
      <c r="D336" s="5"/>
      <c r="E336" s="223"/>
      <c r="F336" s="223"/>
      <c r="G336" s="223"/>
      <c r="H336" s="224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5"/>
      <c r="B337" s="5"/>
      <c r="C337" s="5"/>
      <c r="D337" s="5"/>
      <c r="E337" s="223"/>
      <c r="F337" s="223"/>
      <c r="G337" s="223"/>
      <c r="H337" s="224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5"/>
      <c r="B338" s="5"/>
      <c r="C338" s="5"/>
      <c r="D338" s="5"/>
      <c r="E338" s="223"/>
      <c r="F338" s="223"/>
      <c r="G338" s="223"/>
      <c r="H338" s="224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5"/>
      <c r="B339" s="5"/>
      <c r="C339" s="5"/>
      <c r="D339" s="5"/>
      <c r="E339" s="223"/>
      <c r="F339" s="223"/>
      <c r="G339" s="223"/>
      <c r="H339" s="224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5"/>
      <c r="B340" s="5"/>
      <c r="C340" s="5"/>
      <c r="D340" s="5"/>
      <c r="E340" s="223"/>
      <c r="F340" s="223"/>
      <c r="G340" s="223"/>
      <c r="H340" s="224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5"/>
      <c r="B341" s="5"/>
      <c r="C341" s="5"/>
      <c r="D341" s="5"/>
      <c r="E341" s="223"/>
      <c r="F341" s="223"/>
      <c r="G341" s="223"/>
      <c r="H341" s="224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5"/>
      <c r="B342" s="5"/>
      <c r="C342" s="5"/>
      <c r="D342" s="5"/>
      <c r="E342" s="223"/>
      <c r="F342" s="223"/>
      <c r="G342" s="223"/>
      <c r="H342" s="224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5"/>
      <c r="B343" s="5"/>
      <c r="C343" s="5"/>
      <c r="D343" s="5"/>
      <c r="E343" s="223"/>
      <c r="F343" s="223"/>
      <c r="G343" s="223"/>
      <c r="H343" s="224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5"/>
      <c r="B344" s="5"/>
      <c r="C344" s="5"/>
      <c r="D344" s="5"/>
      <c r="E344" s="223"/>
      <c r="F344" s="223"/>
      <c r="G344" s="223"/>
      <c r="H344" s="224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5"/>
      <c r="B345" s="5"/>
      <c r="C345" s="5"/>
      <c r="D345" s="5"/>
      <c r="E345" s="223"/>
      <c r="F345" s="223"/>
      <c r="G345" s="223"/>
      <c r="H345" s="224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5"/>
      <c r="B346" s="5"/>
      <c r="C346" s="5"/>
      <c r="D346" s="5"/>
      <c r="E346" s="223"/>
      <c r="F346" s="223"/>
      <c r="G346" s="223"/>
      <c r="H346" s="224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5"/>
      <c r="B347" s="5"/>
      <c r="C347" s="5"/>
      <c r="D347" s="5"/>
      <c r="E347" s="223"/>
      <c r="F347" s="223"/>
      <c r="G347" s="223"/>
      <c r="H347" s="224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5"/>
      <c r="B348" s="5"/>
      <c r="C348" s="5"/>
      <c r="D348" s="5"/>
      <c r="E348" s="223"/>
      <c r="F348" s="223"/>
      <c r="G348" s="223"/>
      <c r="H348" s="224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5"/>
      <c r="B349" s="5"/>
      <c r="C349" s="5"/>
      <c r="D349" s="5"/>
      <c r="E349" s="223"/>
      <c r="F349" s="223"/>
      <c r="G349" s="223"/>
      <c r="H349" s="224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5"/>
      <c r="B350" s="5"/>
      <c r="C350" s="5"/>
      <c r="D350" s="5"/>
      <c r="E350" s="223"/>
      <c r="F350" s="223"/>
      <c r="G350" s="223"/>
      <c r="H350" s="224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5"/>
      <c r="B351" s="5"/>
      <c r="C351" s="5"/>
      <c r="D351" s="5"/>
      <c r="E351" s="223"/>
      <c r="F351" s="223"/>
      <c r="G351" s="223"/>
      <c r="H351" s="224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5"/>
      <c r="B352" s="5"/>
      <c r="C352" s="5"/>
      <c r="D352" s="5"/>
      <c r="E352" s="223"/>
      <c r="F352" s="223"/>
      <c r="G352" s="223"/>
      <c r="H352" s="224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5"/>
      <c r="B353" s="5"/>
      <c r="C353" s="5"/>
      <c r="D353" s="5"/>
      <c r="E353" s="223"/>
      <c r="F353" s="223"/>
      <c r="G353" s="223"/>
      <c r="H353" s="224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5"/>
      <c r="B354" s="5"/>
      <c r="C354" s="5"/>
      <c r="D354" s="5"/>
      <c r="E354" s="223"/>
      <c r="F354" s="223"/>
      <c r="G354" s="223"/>
      <c r="H354" s="224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5"/>
      <c r="B355" s="5"/>
      <c r="C355" s="5"/>
      <c r="D355" s="5"/>
      <c r="E355" s="223"/>
      <c r="F355" s="223"/>
      <c r="G355" s="223"/>
      <c r="H355" s="224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5"/>
      <c r="B356" s="5"/>
      <c r="C356" s="5"/>
      <c r="D356" s="5"/>
      <c r="E356" s="223"/>
      <c r="F356" s="223"/>
      <c r="G356" s="223"/>
      <c r="H356" s="224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5"/>
      <c r="B357" s="5"/>
      <c r="C357" s="5"/>
      <c r="D357" s="5"/>
      <c r="E357" s="223"/>
      <c r="F357" s="223"/>
      <c r="G357" s="223"/>
      <c r="H357" s="224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5"/>
      <c r="B358" s="5"/>
      <c r="C358" s="5"/>
      <c r="D358" s="5"/>
      <c r="E358" s="223"/>
      <c r="F358" s="223"/>
      <c r="G358" s="223"/>
      <c r="H358" s="224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5"/>
      <c r="B359" s="5"/>
      <c r="C359" s="5"/>
      <c r="D359" s="5"/>
      <c r="E359" s="223"/>
      <c r="F359" s="223"/>
      <c r="G359" s="223"/>
      <c r="H359" s="224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5"/>
      <c r="B360" s="5"/>
      <c r="C360" s="5"/>
      <c r="D360" s="5"/>
      <c r="E360" s="223"/>
      <c r="F360" s="223"/>
      <c r="G360" s="223"/>
      <c r="H360" s="224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5"/>
      <c r="B361" s="5"/>
      <c r="C361" s="5"/>
      <c r="D361" s="5"/>
      <c r="E361" s="223"/>
      <c r="F361" s="223"/>
      <c r="G361" s="223"/>
      <c r="H361" s="224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5"/>
      <c r="B362" s="5"/>
      <c r="C362" s="5"/>
      <c r="D362" s="5"/>
      <c r="E362" s="223"/>
      <c r="F362" s="223"/>
      <c r="G362" s="223"/>
      <c r="H362" s="224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5"/>
      <c r="B363" s="5"/>
      <c r="C363" s="5"/>
      <c r="D363" s="5"/>
      <c r="E363" s="223"/>
      <c r="F363" s="223"/>
      <c r="G363" s="223"/>
      <c r="H363" s="224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5"/>
      <c r="B364" s="5"/>
      <c r="C364" s="5"/>
      <c r="D364" s="5"/>
      <c r="E364" s="223"/>
      <c r="F364" s="223"/>
      <c r="G364" s="223"/>
      <c r="H364" s="224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5"/>
      <c r="B365" s="5"/>
      <c r="C365" s="5"/>
      <c r="D365" s="5"/>
      <c r="E365" s="223"/>
      <c r="F365" s="223"/>
      <c r="G365" s="223"/>
      <c r="H365" s="224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5"/>
      <c r="B366" s="5"/>
      <c r="C366" s="5"/>
      <c r="D366" s="5"/>
      <c r="E366" s="223"/>
      <c r="F366" s="223"/>
      <c r="G366" s="223"/>
      <c r="H366" s="224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5"/>
      <c r="B367" s="5"/>
      <c r="C367" s="5"/>
      <c r="D367" s="5"/>
      <c r="E367" s="223"/>
      <c r="F367" s="223"/>
      <c r="G367" s="223"/>
      <c r="H367" s="224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5"/>
      <c r="B368" s="5"/>
      <c r="C368" s="5"/>
      <c r="D368" s="5"/>
      <c r="E368" s="223"/>
      <c r="F368" s="223"/>
      <c r="G368" s="223"/>
      <c r="H368" s="224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5"/>
      <c r="B369" s="5"/>
      <c r="C369" s="5"/>
      <c r="D369" s="5"/>
      <c r="E369" s="223"/>
      <c r="F369" s="223"/>
      <c r="G369" s="223"/>
      <c r="H369" s="224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5"/>
      <c r="B370" s="5"/>
      <c r="C370" s="5"/>
      <c r="D370" s="5"/>
      <c r="E370" s="223"/>
      <c r="F370" s="223"/>
      <c r="G370" s="223"/>
      <c r="H370" s="224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5"/>
      <c r="B371" s="5"/>
      <c r="C371" s="5"/>
      <c r="D371" s="5"/>
      <c r="E371" s="223"/>
      <c r="F371" s="223"/>
      <c r="G371" s="223"/>
      <c r="H371" s="224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5"/>
      <c r="B372" s="5"/>
      <c r="C372" s="5"/>
      <c r="D372" s="5"/>
      <c r="E372" s="223"/>
      <c r="F372" s="223"/>
      <c r="G372" s="223"/>
      <c r="H372" s="224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5"/>
      <c r="B373" s="5"/>
      <c r="C373" s="5"/>
      <c r="D373" s="5"/>
      <c r="E373" s="223"/>
      <c r="F373" s="223"/>
      <c r="G373" s="223"/>
      <c r="H373" s="224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5"/>
      <c r="B374" s="5"/>
      <c r="C374" s="5"/>
      <c r="D374" s="5"/>
      <c r="E374" s="223"/>
      <c r="F374" s="223"/>
      <c r="G374" s="223"/>
      <c r="H374" s="224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5"/>
      <c r="B375" s="5"/>
      <c r="C375" s="5"/>
      <c r="D375" s="5"/>
      <c r="E375" s="223"/>
      <c r="F375" s="223"/>
      <c r="G375" s="223"/>
      <c r="H375" s="224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5"/>
      <c r="B376" s="5"/>
      <c r="C376" s="5"/>
      <c r="D376" s="5"/>
      <c r="E376" s="223"/>
      <c r="F376" s="223"/>
      <c r="G376" s="223"/>
      <c r="H376" s="224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5"/>
      <c r="B377" s="5"/>
      <c r="C377" s="5"/>
      <c r="D377" s="5"/>
      <c r="E377" s="223"/>
      <c r="F377" s="223"/>
      <c r="G377" s="223"/>
      <c r="H377" s="224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5"/>
      <c r="B378" s="5"/>
      <c r="C378" s="5"/>
      <c r="D378" s="5"/>
      <c r="E378" s="223"/>
      <c r="F378" s="223"/>
      <c r="G378" s="223"/>
      <c r="H378" s="224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5"/>
      <c r="B379" s="5"/>
      <c r="C379" s="5"/>
      <c r="D379" s="5"/>
      <c r="E379" s="223"/>
      <c r="F379" s="223"/>
      <c r="G379" s="223"/>
      <c r="H379" s="224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5"/>
      <c r="B380" s="5"/>
      <c r="C380" s="5"/>
      <c r="D380" s="5"/>
      <c r="E380" s="223"/>
      <c r="F380" s="223"/>
      <c r="G380" s="223"/>
      <c r="H380" s="224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5"/>
      <c r="B381" s="5"/>
      <c r="C381" s="5"/>
      <c r="D381" s="5"/>
      <c r="E381" s="223"/>
      <c r="F381" s="223"/>
      <c r="G381" s="223"/>
      <c r="H381" s="224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5"/>
      <c r="B382" s="5"/>
      <c r="C382" s="5"/>
      <c r="D382" s="5"/>
      <c r="E382" s="223"/>
      <c r="F382" s="223"/>
      <c r="G382" s="223"/>
      <c r="H382" s="224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5"/>
      <c r="B383" s="5"/>
      <c r="C383" s="5"/>
      <c r="D383" s="5"/>
      <c r="E383" s="223"/>
      <c r="F383" s="223"/>
      <c r="G383" s="223"/>
      <c r="H383" s="224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5"/>
      <c r="B384" s="5"/>
      <c r="C384" s="5"/>
      <c r="D384" s="5"/>
      <c r="E384" s="223"/>
      <c r="F384" s="223"/>
      <c r="G384" s="223"/>
      <c r="H384" s="224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5"/>
      <c r="B385" s="5"/>
      <c r="C385" s="5"/>
      <c r="D385" s="5"/>
      <c r="E385" s="223"/>
      <c r="F385" s="223"/>
      <c r="G385" s="223"/>
      <c r="H385" s="224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5"/>
      <c r="B386" s="5"/>
      <c r="C386" s="5"/>
      <c r="D386" s="5"/>
      <c r="E386" s="223"/>
      <c r="F386" s="223"/>
      <c r="G386" s="223"/>
      <c r="H386" s="224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5"/>
      <c r="B387" s="5"/>
      <c r="C387" s="5"/>
      <c r="D387" s="5"/>
      <c r="E387" s="223"/>
      <c r="F387" s="223"/>
      <c r="G387" s="223"/>
      <c r="H387" s="224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5"/>
      <c r="B388" s="5"/>
      <c r="C388" s="5"/>
      <c r="D388" s="5"/>
      <c r="E388" s="223"/>
      <c r="F388" s="223"/>
      <c r="G388" s="223"/>
      <c r="H388" s="224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5"/>
      <c r="B389" s="5"/>
      <c r="C389" s="5"/>
      <c r="D389" s="5"/>
      <c r="E389" s="223"/>
      <c r="F389" s="223"/>
      <c r="G389" s="223"/>
      <c r="H389" s="224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5"/>
      <c r="B390" s="5"/>
      <c r="C390" s="5"/>
      <c r="D390" s="5"/>
      <c r="E390" s="223"/>
      <c r="F390" s="223"/>
      <c r="G390" s="223"/>
      <c r="H390" s="224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5"/>
      <c r="B391" s="5"/>
      <c r="C391" s="5"/>
      <c r="D391" s="5"/>
      <c r="E391" s="223"/>
      <c r="F391" s="223"/>
      <c r="G391" s="223"/>
      <c r="H391" s="224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5"/>
      <c r="B392" s="5"/>
      <c r="C392" s="5"/>
      <c r="D392" s="5"/>
      <c r="E392" s="223"/>
      <c r="F392" s="223"/>
      <c r="G392" s="223"/>
      <c r="H392" s="224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5"/>
      <c r="B393" s="5"/>
      <c r="C393" s="5"/>
      <c r="D393" s="5"/>
      <c r="E393" s="223"/>
      <c r="F393" s="223"/>
      <c r="G393" s="223"/>
      <c r="H393" s="224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5"/>
      <c r="B394" s="5"/>
      <c r="C394" s="5"/>
      <c r="D394" s="5"/>
      <c r="E394" s="223"/>
      <c r="F394" s="223"/>
      <c r="G394" s="223"/>
      <c r="H394" s="224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5"/>
      <c r="B395" s="5"/>
      <c r="C395" s="5"/>
      <c r="D395" s="5"/>
      <c r="E395" s="223"/>
      <c r="F395" s="223"/>
      <c r="G395" s="223"/>
      <c r="H395" s="224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5"/>
      <c r="B396" s="5"/>
      <c r="C396" s="5"/>
      <c r="D396" s="5"/>
      <c r="E396" s="223"/>
      <c r="F396" s="223"/>
      <c r="G396" s="223"/>
      <c r="H396" s="224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5"/>
      <c r="B397" s="5"/>
      <c r="C397" s="5"/>
      <c r="D397" s="5"/>
      <c r="E397" s="223"/>
      <c r="F397" s="223"/>
      <c r="G397" s="223"/>
      <c r="H397" s="224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5"/>
      <c r="B398" s="5"/>
      <c r="C398" s="5"/>
      <c r="D398" s="5"/>
      <c r="E398" s="223"/>
      <c r="F398" s="223"/>
      <c r="G398" s="223"/>
      <c r="H398" s="224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5"/>
      <c r="B399" s="5"/>
      <c r="C399" s="5"/>
      <c r="D399" s="5"/>
      <c r="E399" s="223"/>
      <c r="F399" s="223"/>
      <c r="G399" s="223"/>
      <c r="H399" s="224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5"/>
      <c r="B400" s="5"/>
      <c r="C400" s="5"/>
      <c r="D400" s="5"/>
      <c r="E400" s="223"/>
      <c r="F400" s="223"/>
      <c r="G400" s="223"/>
      <c r="H400" s="224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5"/>
      <c r="B401" s="5"/>
      <c r="C401" s="5"/>
      <c r="D401" s="5"/>
      <c r="E401" s="223"/>
      <c r="F401" s="223"/>
      <c r="G401" s="223"/>
      <c r="H401" s="224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5"/>
      <c r="B402" s="5"/>
      <c r="C402" s="5"/>
      <c r="D402" s="5"/>
      <c r="E402" s="223"/>
      <c r="F402" s="223"/>
      <c r="G402" s="223"/>
      <c r="H402" s="224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5"/>
      <c r="B403" s="5"/>
      <c r="C403" s="5"/>
      <c r="D403" s="5"/>
      <c r="E403" s="223"/>
      <c r="F403" s="223"/>
      <c r="G403" s="223"/>
      <c r="H403" s="224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5"/>
      <c r="B404" s="5"/>
      <c r="C404" s="5"/>
      <c r="D404" s="5"/>
      <c r="E404" s="223"/>
      <c r="F404" s="223"/>
      <c r="G404" s="223"/>
      <c r="H404" s="224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5"/>
      <c r="B405" s="5"/>
      <c r="C405" s="5"/>
      <c r="D405" s="5"/>
      <c r="E405" s="223"/>
      <c r="F405" s="223"/>
      <c r="G405" s="223"/>
      <c r="H405" s="224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5"/>
      <c r="B406" s="5"/>
      <c r="C406" s="5"/>
      <c r="D406" s="5"/>
      <c r="E406" s="223"/>
      <c r="F406" s="223"/>
      <c r="G406" s="223"/>
      <c r="H406" s="224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5"/>
      <c r="B407" s="5"/>
      <c r="C407" s="5"/>
      <c r="D407" s="5"/>
      <c r="E407" s="223"/>
      <c r="F407" s="223"/>
      <c r="G407" s="223"/>
      <c r="H407" s="224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5"/>
      <c r="B408" s="5"/>
      <c r="C408" s="5"/>
      <c r="D408" s="5"/>
      <c r="E408" s="223"/>
      <c r="F408" s="223"/>
      <c r="G408" s="223"/>
      <c r="H408" s="224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5"/>
      <c r="B409" s="5"/>
      <c r="C409" s="5"/>
      <c r="D409" s="5"/>
      <c r="E409" s="223"/>
      <c r="F409" s="223"/>
      <c r="G409" s="223"/>
      <c r="H409" s="224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5"/>
      <c r="B410" s="5"/>
      <c r="C410" s="5"/>
      <c r="D410" s="5"/>
      <c r="E410" s="223"/>
      <c r="F410" s="223"/>
      <c r="G410" s="223"/>
      <c r="H410" s="224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5"/>
      <c r="B411" s="5"/>
      <c r="C411" s="5"/>
      <c r="D411" s="5"/>
      <c r="E411" s="223"/>
      <c r="F411" s="223"/>
      <c r="G411" s="223"/>
      <c r="H411" s="224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5"/>
      <c r="B412" s="5"/>
      <c r="C412" s="5"/>
      <c r="D412" s="5"/>
      <c r="E412" s="223"/>
      <c r="F412" s="223"/>
      <c r="G412" s="223"/>
      <c r="H412" s="224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5"/>
      <c r="B413" s="5"/>
      <c r="C413" s="5"/>
      <c r="D413" s="5"/>
      <c r="E413" s="223"/>
      <c r="F413" s="223"/>
      <c r="G413" s="223"/>
      <c r="H413" s="224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5"/>
      <c r="B414" s="5"/>
      <c r="C414" s="5"/>
      <c r="D414" s="5"/>
      <c r="E414" s="223"/>
      <c r="F414" s="223"/>
      <c r="G414" s="223"/>
      <c r="H414" s="224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5"/>
      <c r="B415" s="5"/>
      <c r="C415" s="5"/>
      <c r="D415" s="5"/>
      <c r="E415" s="223"/>
      <c r="F415" s="223"/>
      <c r="G415" s="223"/>
      <c r="H415" s="224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5"/>
      <c r="B416" s="5"/>
      <c r="C416" s="5"/>
      <c r="D416" s="5"/>
      <c r="E416" s="223"/>
      <c r="F416" s="223"/>
      <c r="G416" s="223"/>
      <c r="H416" s="224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5"/>
      <c r="B417" s="5"/>
      <c r="C417" s="5"/>
      <c r="D417" s="5"/>
      <c r="E417" s="223"/>
      <c r="F417" s="223"/>
      <c r="G417" s="223"/>
      <c r="H417" s="224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5"/>
      <c r="B418" s="5"/>
      <c r="C418" s="5"/>
      <c r="D418" s="5"/>
      <c r="E418" s="223"/>
      <c r="F418" s="223"/>
      <c r="G418" s="223"/>
      <c r="H418" s="224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5"/>
      <c r="B419" s="5"/>
      <c r="C419" s="5"/>
      <c r="D419" s="5"/>
      <c r="E419" s="223"/>
      <c r="F419" s="223"/>
      <c r="G419" s="223"/>
      <c r="H419" s="224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5"/>
      <c r="B420" s="5"/>
      <c r="C420" s="5"/>
      <c r="D420" s="5"/>
      <c r="E420" s="223"/>
      <c r="F420" s="223"/>
      <c r="G420" s="223"/>
      <c r="H420" s="224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5"/>
      <c r="B421" s="5"/>
      <c r="C421" s="5"/>
      <c r="D421" s="5"/>
      <c r="E421" s="223"/>
      <c r="F421" s="223"/>
      <c r="G421" s="223"/>
      <c r="H421" s="224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5"/>
      <c r="B422" s="5"/>
      <c r="C422" s="5"/>
      <c r="D422" s="5"/>
      <c r="E422" s="223"/>
      <c r="F422" s="223"/>
      <c r="G422" s="223"/>
      <c r="H422" s="224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5"/>
      <c r="B423" s="5"/>
      <c r="C423" s="5"/>
      <c r="D423" s="5"/>
      <c r="E423" s="223"/>
      <c r="F423" s="223"/>
      <c r="G423" s="223"/>
      <c r="H423" s="224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5"/>
      <c r="B424" s="5"/>
      <c r="C424" s="5"/>
      <c r="D424" s="5"/>
      <c r="E424" s="223"/>
      <c r="F424" s="223"/>
      <c r="G424" s="223"/>
      <c r="H424" s="224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5"/>
      <c r="B425" s="5"/>
      <c r="C425" s="5"/>
      <c r="D425" s="5"/>
      <c r="E425" s="223"/>
      <c r="F425" s="223"/>
      <c r="G425" s="223"/>
      <c r="H425" s="224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5"/>
      <c r="B426" s="5"/>
      <c r="C426" s="5"/>
      <c r="D426" s="5"/>
      <c r="E426" s="223"/>
      <c r="F426" s="223"/>
      <c r="G426" s="223"/>
      <c r="H426" s="224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5"/>
      <c r="B427" s="5"/>
      <c r="C427" s="5"/>
      <c r="D427" s="5"/>
      <c r="E427" s="223"/>
      <c r="F427" s="223"/>
      <c r="G427" s="223"/>
      <c r="H427" s="224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5"/>
      <c r="B428" s="5"/>
      <c r="C428" s="5"/>
      <c r="D428" s="5"/>
      <c r="E428" s="223"/>
      <c r="F428" s="223"/>
      <c r="G428" s="223"/>
      <c r="H428" s="224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5"/>
      <c r="B429" s="5"/>
      <c r="C429" s="5"/>
      <c r="D429" s="5"/>
      <c r="E429" s="223"/>
      <c r="F429" s="223"/>
      <c r="G429" s="223"/>
      <c r="H429" s="224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5"/>
      <c r="B430" s="5"/>
      <c r="C430" s="5"/>
      <c r="D430" s="5"/>
      <c r="E430" s="223"/>
      <c r="F430" s="223"/>
      <c r="G430" s="223"/>
      <c r="H430" s="224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5"/>
      <c r="B431" s="5"/>
      <c r="C431" s="5"/>
      <c r="D431" s="5"/>
      <c r="E431" s="223"/>
      <c r="F431" s="223"/>
      <c r="G431" s="223"/>
      <c r="H431" s="224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5"/>
      <c r="B432" s="5"/>
      <c r="C432" s="5"/>
      <c r="D432" s="5"/>
      <c r="E432" s="223"/>
      <c r="F432" s="223"/>
      <c r="G432" s="223"/>
      <c r="H432" s="224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5"/>
      <c r="B433" s="5"/>
      <c r="C433" s="5"/>
      <c r="D433" s="5"/>
      <c r="E433" s="223"/>
      <c r="F433" s="223"/>
      <c r="G433" s="223"/>
      <c r="H433" s="224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5"/>
      <c r="B434" s="5"/>
      <c r="C434" s="5"/>
      <c r="D434" s="5"/>
      <c r="E434" s="223"/>
      <c r="F434" s="223"/>
      <c r="G434" s="223"/>
      <c r="H434" s="224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5"/>
      <c r="B435" s="5"/>
      <c r="C435" s="5"/>
      <c r="D435" s="5"/>
      <c r="E435" s="223"/>
      <c r="F435" s="223"/>
      <c r="G435" s="223"/>
      <c r="H435" s="224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5"/>
      <c r="B436" s="5"/>
      <c r="C436" s="5"/>
      <c r="D436" s="5"/>
      <c r="E436" s="223"/>
      <c r="F436" s="223"/>
      <c r="G436" s="223"/>
      <c r="H436" s="224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5"/>
      <c r="B437" s="5"/>
      <c r="C437" s="5"/>
      <c r="D437" s="5"/>
      <c r="E437" s="223"/>
      <c r="F437" s="223"/>
      <c r="G437" s="223"/>
      <c r="H437" s="224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5"/>
      <c r="B438" s="5"/>
      <c r="C438" s="5"/>
      <c r="D438" s="5"/>
      <c r="E438" s="223"/>
      <c r="F438" s="223"/>
      <c r="G438" s="223"/>
      <c r="H438" s="224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5"/>
      <c r="B439" s="5"/>
      <c r="C439" s="5"/>
      <c r="D439" s="5"/>
      <c r="E439" s="223"/>
      <c r="F439" s="223"/>
      <c r="G439" s="223"/>
      <c r="H439" s="224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5"/>
      <c r="B440" s="5"/>
      <c r="C440" s="5"/>
      <c r="D440" s="5"/>
      <c r="E440" s="223"/>
      <c r="F440" s="223"/>
      <c r="G440" s="223"/>
      <c r="H440" s="224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5"/>
      <c r="B441" s="5"/>
      <c r="C441" s="5"/>
      <c r="D441" s="5"/>
      <c r="E441" s="223"/>
      <c r="F441" s="223"/>
      <c r="G441" s="223"/>
      <c r="H441" s="224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5"/>
      <c r="B442" s="5"/>
      <c r="C442" s="5"/>
      <c r="D442" s="5"/>
      <c r="E442" s="223"/>
      <c r="F442" s="223"/>
      <c r="G442" s="223"/>
      <c r="H442" s="224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5"/>
      <c r="B443" s="5"/>
      <c r="C443" s="5"/>
      <c r="D443" s="5"/>
      <c r="E443" s="223"/>
      <c r="F443" s="223"/>
      <c r="G443" s="223"/>
      <c r="H443" s="224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5"/>
      <c r="B444" s="5"/>
      <c r="C444" s="5"/>
      <c r="D444" s="5"/>
      <c r="E444" s="223"/>
      <c r="F444" s="223"/>
      <c r="G444" s="223"/>
      <c r="H444" s="224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5"/>
      <c r="B445" s="5"/>
      <c r="C445" s="5"/>
      <c r="D445" s="5"/>
      <c r="E445" s="223"/>
      <c r="F445" s="223"/>
      <c r="G445" s="223"/>
      <c r="H445" s="224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5"/>
      <c r="B446" s="5"/>
      <c r="C446" s="5"/>
      <c r="D446" s="5"/>
      <c r="E446" s="223"/>
      <c r="F446" s="223"/>
      <c r="G446" s="223"/>
      <c r="H446" s="224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5"/>
      <c r="B447" s="5"/>
      <c r="C447" s="5"/>
      <c r="D447" s="5"/>
      <c r="E447" s="223"/>
      <c r="F447" s="223"/>
      <c r="G447" s="223"/>
      <c r="H447" s="224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5"/>
      <c r="B448" s="5"/>
      <c r="C448" s="5"/>
      <c r="D448" s="5"/>
      <c r="E448" s="223"/>
      <c r="F448" s="223"/>
      <c r="G448" s="223"/>
      <c r="H448" s="224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5"/>
      <c r="B449" s="5"/>
      <c r="C449" s="5"/>
      <c r="D449" s="5"/>
      <c r="E449" s="223"/>
      <c r="F449" s="223"/>
      <c r="G449" s="223"/>
      <c r="H449" s="224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5"/>
      <c r="B450" s="5"/>
      <c r="C450" s="5"/>
      <c r="D450" s="5"/>
      <c r="E450" s="223"/>
      <c r="F450" s="223"/>
      <c r="G450" s="223"/>
      <c r="H450" s="224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5"/>
      <c r="B451" s="5"/>
      <c r="C451" s="5"/>
      <c r="D451" s="5"/>
      <c r="E451" s="223"/>
      <c r="F451" s="223"/>
      <c r="G451" s="223"/>
      <c r="H451" s="224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5"/>
      <c r="B452" s="5"/>
      <c r="C452" s="5"/>
      <c r="D452" s="5"/>
      <c r="E452" s="223"/>
      <c r="F452" s="223"/>
      <c r="G452" s="223"/>
      <c r="H452" s="224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5"/>
      <c r="B453" s="5"/>
      <c r="C453" s="5"/>
      <c r="D453" s="5"/>
      <c r="E453" s="223"/>
      <c r="F453" s="223"/>
      <c r="G453" s="223"/>
      <c r="H453" s="224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5"/>
      <c r="B454" s="5"/>
      <c r="C454" s="5"/>
      <c r="D454" s="5"/>
      <c r="E454" s="223"/>
      <c r="F454" s="223"/>
      <c r="G454" s="223"/>
      <c r="H454" s="224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5"/>
      <c r="B455" s="5"/>
      <c r="C455" s="5"/>
      <c r="D455" s="5"/>
      <c r="E455" s="223"/>
      <c r="F455" s="223"/>
      <c r="G455" s="223"/>
      <c r="H455" s="224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5"/>
      <c r="B456" s="5"/>
      <c r="C456" s="5"/>
      <c r="D456" s="5"/>
      <c r="E456" s="223"/>
      <c r="F456" s="223"/>
      <c r="G456" s="223"/>
      <c r="H456" s="224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5"/>
      <c r="B457" s="5"/>
      <c r="C457" s="5"/>
      <c r="D457" s="5"/>
      <c r="E457" s="223"/>
      <c r="F457" s="223"/>
      <c r="G457" s="223"/>
      <c r="H457" s="224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5"/>
      <c r="B458" s="5"/>
      <c r="C458" s="5"/>
      <c r="D458" s="5"/>
      <c r="E458" s="223"/>
      <c r="F458" s="223"/>
      <c r="G458" s="223"/>
      <c r="H458" s="224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5"/>
      <c r="B459" s="5"/>
      <c r="C459" s="5"/>
      <c r="D459" s="5"/>
      <c r="E459" s="223"/>
      <c r="F459" s="223"/>
      <c r="G459" s="223"/>
      <c r="H459" s="224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5"/>
      <c r="B460" s="5"/>
      <c r="C460" s="5"/>
      <c r="D460" s="5"/>
      <c r="E460" s="223"/>
      <c r="F460" s="223"/>
      <c r="G460" s="223"/>
      <c r="H460" s="224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5"/>
      <c r="B461" s="5"/>
      <c r="C461" s="5"/>
      <c r="D461" s="5"/>
      <c r="E461" s="223"/>
      <c r="F461" s="223"/>
      <c r="G461" s="223"/>
      <c r="H461" s="224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5"/>
      <c r="B462" s="5"/>
      <c r="C462" s="5"/>
      <c r="D462" s="5"/>
      <c r="E462" s="223"/>
      <c r="F462" s="223"/>
      <c r="G462" s="223"/>
      <c r="H462" s="224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5"/>
      <c r="B463" s="5"/>
      <c r="C463" s="5"/>
      <c r="D463" s="5"/>
      <c r="E463" s="223"/>
      <c r="F463" s="223"/>
      <c r="G463" s="223"/>
      <c r="H463" s="224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5"/>
      <c r="B464" s="5"/>
      <c r="C464" s="5"/>
      <c r="D464" s="5"/>
      <c r="E464" s="223"/>
      <c r="F464" s="223"/>
      <c r="G464" s="223"/>
      <c r="H464" s="224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5"/>
      <c r="B465" s="5"/>
      <c r="C465" s="5"/>
      <c r="D465" s="5"/>
      <c r="E465" s="223"/>
      <c r="F465" s="223"/>
      <c r="G465" s="223"/>
      <c r="H465" s="224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5"/>
      <c r="B466" s="5"/>
      <c r="C466" s="5"/>
      <c r="D466" s="5"/>
      <c r="E466" s="223"/>
      <c r="F466" s="223"/>
      <c r="G466" s="223"/>
      <c r="H466" s="224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5"/>
      <c r="B467" s="5"/>
      <c r="C467" s="5"/>
      <c r="D467" s="5"/>
      <c r="E467" s="223"/>
      <c r="F467" s="223"/>
      <c r="G467" s="223"/>
      <c r="H467" s="224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5"/>
      <c r="B468" s="5"/>
      <c r="C468" s="5"/>
      <c r="D468" s="5"/>
      <c r="E468" s="223"/>
      <c r="F468" s="223"/>
      <c r="G468" s="223"/>
      <c r="H468" s="224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5"/>
      <c r="B469" s="5"/>
      <c r="C469" s="5"/>
      <c r="D469" s="5"/>
      <c r="E469" s="223"/>
      <c r="F469" s="223"/>
      <c r="G469" s="223"/>
      <c r="H469" s="224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5"/>
      <c r="B470" s="5"/>
      <c r="C470" s="5"/>
      <c r="D470" s="5"/>
      <c r="E470" s="223"/>
      <c r="F470" s="223"/>
      <c r="G470" s="223"/>
      <c r="H470" s="224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5"/>
      <c r="B471" s="5"/>
      <c r="C471" s="5"/>
      <c r="D471" s="5"/>
      <c r="E471" s="223"/>
      <c r="F471" s="223"/>
      <c r="G471" s="223"/>
      <c r="H471" s="224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5"/>
      <c r="B472" s="5"/>
      <c r="C472" s="5"/>
      <c r="D472" s="5"/>
      <c r="E472" s="223"/>
      <c r="F472" s="223"/>
      <c r="G472" s="223"/>
      <c r="H472" s="224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5"/>
      <c r="B473" s="5"/>
      <c r="C473" s="5"/>
      <c r="D473" s="5"/>
      <c r="E473" s="223"/>
      <c r="F473" s="223"/>
      <c r="G473" s="223"/>
      <c r="H473" s="224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5"/>
      <c r="B474" s="5"/>
      <c r="C474" s="5"/>
      <c r="D474" s="5"/>
      <c r="E474" s="223"/>
      <c r="F474" s="223"/>
      <c r="G474" s="223"/>
      <c r="H474" s="224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5"/>
      <c r="B475" s="5"/>
      <c r="C475" s="5"/>
      <c r="D475" s="5"/>
      <c r="E475" s="223"/>
      <c r="F475" s="223"/>
      <c r="G475" s="223"/>
      <c r="H475" s="224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5"/>
      <c r="B476" s="5"/>
      <c r="C476" s="5"/>
      <c r="D476" s="5"/>
      <c r="E476" s="223"/>
      <c r="F476" s="223"/>
      <c r="G476" s="223"/>
      <c r="H476" s="224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5"/>
      <c r="B477" s="5"/>
      <c r="C477" s="5"/>
      <c r="D477" s="5"/>
      <c r="E477" s="223"/>
      <c r="F477" s="223"/>
      <c r="G477" s="223"/>
      <c r="H477" s="224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5"/>
      <c r="B478" s="5"/>
      <c r="C478" s="5"/>
      <c r="D478" s="5"/>
      <c r="E478" s="223"/>
      <c r="F478" s="223"/>
      <c r="G478" s="223"/>
      <c r="H478" s="224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5"/>
      <c r="B479" s="5"/>
      <c r="C479" s="5"/>
      <c r="D479" s="5"/>
      <c r="E479" s="223"/>
      <c r="F479" s="223"/>
      <c r="G479" s="223"/>
      <c r="H479" s="224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5"/>
      <c r="B480" s="5"/>
      <c r="C480" s="5"/>
      <c r="D480" s="5"/>
      <c r="E480" s="223"/>
      <c r="F480" s="223"/>
      <c r="G480" s="223"/>
      <c r="H480" s="224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5"/>
      <c r="B481" s="5"/>
      <c r="C481" s="5"/>
      <c r="D481" s="5"/>
      <c r="E481" s="223"/>
      <c r="F481" s="223"/>
      <c r="G481" s="223"/>
      <c r="H481" s="224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5"/>
      <c r="B482" s="5"/>
      <c r="C482" s="5"/>
      <c r="D482" s="5"/>
      <c r="E482" s="223"/>
      <c r="F482" s="223"/>
      <c r="G482" s="223"/>
      <c r="H482" s="224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5"/>
      <c r="B483" s="5"/>
      <c r="C483" s="5"/>
      <c r="D483" s="5"/>
      <c r="E483" s="223"/>
      <c r="F483" s="223"/>
      <c r="G483" s="223"/>
      <c r="H483" s="224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5"/>
      <c r="B484" s="5"/>
      <c r="C484" s="5"/>
      <c r="D484" s="5"/>
      <c r="E484" s="223"/>
      <c r="F484" s="223"/>
      <c r="G484" s="223"/>
      <c r="H484" s="224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5"/>
      <c r="B485" s="5"/>
      <c r="C485" s="5"/>
      <c r="D485" s="5"/>
      <c r="E485" s="223"/>
      <c r="F485" s="223"/>
      <c r="G485" s="223"/>
      <c r="H485" s="224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5"/>
      <c r="B486" s="5"/>
      <c r="C486" s="5"/>
      <c r="D486" s="5"/>
      <c r="E486" s="223"/>
      <c r="F486" s="223"/>
      <c r="G486" s="223"/>
      <c r="H486" s="224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5"/>
      <c r="B487" s="5"/>
      <c r="C487" s="5"/>
      <c r="D487" s="5"/>
      <c r="E487" s="223"/>
      <c r="F487" s="223"/>
      <c r="G487" s="223"/>
      <c r="H487" s="224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5"/>
      <c r="B488" s="5"/>
      <c r="C488" s="5"/>
      <c r="D488" s="5"/>
      <c r="E488" s="223"/>
      <c r="F488" s="223"/>
      <c r="G488" s="223"/>
      <c r="H488" s="224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5"/>
      <c r="B489" s="5"/>
      <c r="C489" s="5"/>
      <c r="D489" s="5"/>
      <c r="E489" s="223"/>
      <c r="F489" s="223"/>
      <c r="G489" s="223"/>
      <c r="H489" s="224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5"/>
      <c r="B490" s="5"/>
      <c r="C490" s="5"/>
      <c r="D490" s="5"/>
      <c r="E490" s="223"/>
      <c r="F490" s="223"/>
      <c r="G490" s="223"/>
      <c r="H490" s="224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5"/>
      <c r="B491" s="5"/>
      <c r="C491" s="5"/>
      <c r="D491" s="5"/>
      <c r="E491" s="223"/>
      <c r="F491" s="223"/>
      <c r="G491" s="223"/>
      <c r="H491" s="224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5"/>
      <c r="B492" s="5"/>
      <c r="C492" s="5"/>
      <c r="D492" s="5"/>
      <c r="E492" s="223"/>
      <c r="F492" s="223"/>
      <c r="G492" s="223"/>
      <c r="H492" s="224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5"/>
      <c r="B493" s="5"/>
      <c r="C493" s="5"/>
      <c r="D493" s="5"/>
      <c r="E493" s="223"/>
      <c r="F493" s="223"/>
      <c r="G493" s="223"/>
      <c r="H493" s="224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5"/>
      <c r="B494" s="5"/>
      <c r="C494" s="5"/>
      <c r="D494" s="5"/>
      <c r="E494" s="223"/>
      <c r="F494" s="223"/>
      <c r="G494" s="223"/>
      <c r="H494" s="224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5"/>
      <c r="B495" s="5"/>
      <c r="C495" s="5"/>
      <c r="D495" s="5"/>
      <c r="E495" s="223"/>
      <c r="F495" s="223"/>
      <c r="G495" s="223"/>
      <c r="H495" s="224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5"/>
      <c r="B496" s="5"/>
      <c r="C496" s="5"/>
      <c r="D496" s="5"/>
      <c r="E496" s="223"/>
      <c r="F496" s="223"/>
      <c r="G496" s="223"/>
      <c r="H496" s="224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5"/>
      <c r="B497" s="5"/>
      <c r="C497" s="5"/>
      <c r="D497" s="5"/>
      <c r="E497" s="223"/>
      <c r="F497" s="223"/>
      <c r="G497" s="223"/>
      <c r="H497" s="224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5"/>
      <c r="B498" s="5"/>
      <c r="C498" s="5"/>
      <c r="D498" s="5"/>
      <c r="E498" s="223"/>
      <c r="F498" s="223"/>
      <c r="G498" s="223"/>
      <c r="H498" s="224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5"/>
      <c r="B499" s="5"/>
      <c r="C499" s="5"/>
      <c r="D499" s="5"/>
      <c r="E499" s="223"/>
      <c r="F499" s="223"/>
      <c r="G499" s="223"/>
      <c r="H499" s="224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5"/>
      <c r="B500" s="5"/>
      <c r="C500" s="5"/>
      <c r="D500" s="5"/>
      <c r="E500" s="223"/>
      <c r="F500" s="223"/>
      <c r="G500" s="223"/>
      <c r="H500" s="224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5"/>
      <c r="B501" s="5"/>
      <c r="C501" s="5"/>
      <c r="D501" s="5"/>
      <c r="E501" s="223"/>
      <c r="F501" s="223"/>
      <c r="G501" s="223"/>
      <c r="H501" s="224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5"/>
      <c r="B502" s="5"/>
      <c r="C502" s="5"/>
      <c r="D502" s="5"/>
      <c r="E502" s="223"/>
      <c r="F502" s="223"/>
      <c r="G502" s="223"/>
      <c r="H502" s="224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5"/>
      <c r="B503" s="5"/>
      <c r="C503" s="5"/>
      <c r="D503" s="5"/>
      <c r="E503" s="223"/>
      <c r="F503" s="223"/>
      <c r="G503" s="223"/>
      <c r="H503" s="224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5"/>
      <c r="B504" s="5"/>
      <c r="C504" s="5"/>
      <c r="D504" s="5"/>
      <c r="E504" s="223"/>
      <c r="F504" s="223"/>
      <c r="G504" s="223"/>
      <c r="H504" s="224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5"/>
      <c r="B505" s="5"/>
      <c r="C505" s="5"/>
      <c r="D505" s="5"/>
      <c r="E505" s="223"/>
      <c r="F505" s="223"/>
      <c r="G505" s="223"/>
      <c r="H505" s="224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5"/>
      <c r="B506" s="5"/>
      <c r="C506" s="5"/>
      <c r="D506" s="5"/>
      <c r="E506" s="223"/>
      <c r="F506" s="223"/>
      <c r="G506" s="223"/>
      <c r="H506" s="224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5"/>
      <c r="B507" s="5"/>
      <c r="C507" s="5"/>
      <c r="D507" s="5"/>
      <c r="E507" s="223"/>
      <c r="F507" s="223"/>
      <c r="G507" s="223"/>
      <c r="H507" s="224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5"/>
      <c r="B508" s="5"/>
      <c r="C508" s="5"/>
      <c r="D508" s="5"/>
      <c r="E508" s="223"/>
      <c r="F508" s="223"/>
      <c r="G508" s="223"/>
      <c r="H508" s="224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5"/>
      <c r="B509" s="5"/>
      <c r="C509" s="5"/>
      <c r="D509" s="5"/>
      <c r="E509" s="223"/>
      <c r="F509" s="223"/>
      <c r="G509" s="223"/>
      <c r="H509" s="224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5"/>
      <c r="B510" s="5"/>
      <c r="C510" s="5"/>
      <c r="D510" s="5"/>
      <c r="E510" s="223"/>
      <c r="F510" s="223"/>
      <c r="G510" s="223"/>
      <c r="H510" s="224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5"/>
      <c r="B511" s="5"/>
      <c r="C511" s="5"/>
      <c r="D511" s="5"/>
      <c r="E511" s="223"/>
      <c r="F511" s="223"/>
      <c r="G511" s="223"/>
      <c r="H511" s="224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5"/>
      <c r="B512" s="5"/>
      <c r="C512" s="5"/>
      <c r="D512" s="5"/>
      <c r="E512" s="223"/>
      <c r="F512" s="223"/>
      <c r="G512" s="223"/>
      <c r="H512" s="224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5"/>
      <c r="B513" s="5"/>
      <c r="C513" s="5"/>
      <c r="D513" s="5"/>
      <c r="E513" s="223"/>
      <c r="F513" s="223"/>
      <c r="G513" s="223"/>
      <c r="H513" s="224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5"/>
      <c r="B514" s="5"/>
      <c r="C514" s="5"/>
      <c r="D514" s="5"/>
      <c r="E514" s="223"/>
      <c r="F514" s="223"/>
      <c r="G514" s="223"/>
      <c r="H514" s="224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5"/>
      <c r="B515" s="5"/>
      <c r="C515" s="5"/>
      <c r="D515" s="5"/>
      <c r="E515" s="223"/>
      <c r="F515" s="223"/>
      <c r="G515" s="223"/>
      <c r="H515" s="224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5"/>
      <c r="B516" s="5"/>
      <c r="C516" s="5"/>
      <c r="D516" s="5"/>
      <c r="E516" s="223"/>
      <c r="F516" s="223"/>
      <c r="G516" s="223"/>
      <c r="H516" s="224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5"/>
      <c r="B517" s="5"/>
      <c r="C517" s="5"/>
      <c r="D517" s="5"/>
      <c r="E517" s="223"/>
      <c r="F517" s="223"/>
      <c r="G517" s="223"/>
      <c r="H517" s="224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5"/>
      <c r="B518" s="5"/>
      <c r="C518" s="5"/>
      <c r="D518" s="5"/>
      <c r="E518" s="223"/>
      <c r="F518" s="223"/>
      <c r="G518" s="223"/>
      <c r="H518" s="224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5"/>
      <c r="B519" s="5"/>
      <c r="C519" s="5"/>
      <c r="D519" s="5"/>
      <c r="E519" s="223"/>
      <c r="F519" s="223"/>
      <c r="G519" s="223"/>
      <c r="H519" s="224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5"/>
      <c r="B520" s="5"/>
      <c r="C520" s="5"/>
      <c r="D520" s="5"/>
      <c r="E520" s="223"/>
      <c r="F520" s="223"/>
      <c r="G520" s="223"/>
      <c r="H520" s="224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5"/>
      <c r="B521" s="5"/>
      <c r="C521" s="5"/>
      <c r="D521" s="5"/>
      <c r="E521" s="223"/>
      <c r="F521" s="223"/>
      <c r="G521" s="223"/>
      <c r="H521" s="224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5"/>
      <c r="B522" s="5"/>
      <c r="C522" s="5"/>
      <c r="D522" s="5"/>
      <c r="E522" s="223"/>
      <c r="F522" s="223"/>
      <c r="G522" s="223"/>
      <c r="H522" s="224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5"/>
      <c r="B523" s="5"/>
      <c r="C523" s="5"/>
      <c r="D523" s="5"/>
      <c r="E523" s="223"/>
      <c r="F523" s="223"/>
      <c r="G523" s="223"/>
      <c r="H523" s="224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5"/>
      <c r="B524" s="5"/>
      <c r="C524" s="5"/>
      <c r="D524" s="5"/>
      <c r="E524" s="223"/>
      <c r="F524" s="223"/>
      <c r="G524" s="223"/>
      <c r="H524" s="224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5"/>
      <c r="B525" s="5"/>
      <c r="C525" s="5"/>
      <c r="D525" s="5"/>
      <c r="E525" s="223"/>
      <c r="F525" s="223"/>
      <c r="G525" s="223"/>
      <c r="H525" s="224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5"/>
      <c r="B526" s="5"/>
      <c r="C526" s="5"/>
      <c r="D526" s="5"/>
      <c r="E526" s="223"/>
      <c r="F526" s="223"/>
      <c r="G526" s="223"/>
      <c r="H526" s="224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5"/>
      <c r="B527" s="5"/>
      <c r="C527" s="5"/>
      <c r="D527" s="5"/>
      <c r="E527" s="223"/>
      <c r="F527" s="223"/>
      <c r="G527" s="223"/>
      <c r="H527" s="224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5"/>
      <c r="B528" s="5"/>
      <c r="C528" s="5"/>
      <c r="D528" s="5"/>
      <c r="E528" s="223"/>
      <c r="F528" s="223"/>
      <c r="G528" s="223"/>
      <c r="H528" s="224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5"/>
      <c r="B529" s="5"/>
      <c r="C529" s="5"/>
      <c r="D529" s="5"/>
      <c r="E529" s="223"/>
      <c r="F529" s="223"/>
      <c r="G529" s="223"/>
      <c r="H529" s="224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5"/>
      <c r="B530" s="5"/>
      <c r="C530" s="5"/>
      <c r="D530" s="5"/>
      <c r="E530" s="223"/>
      <c r="F530" s="223"/>
      <c r="G530" s="223"/>
      <c r="H530" s="224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5"/>
      <c r="B531" s="5"/>
      <c r="C531" s="5"/>
      <c r="D531" s="5"/>
      <c r="E531" s="223"/>
      <c r="F531" s="223"/>
      <c r="G531" s="223"/>
      <c r="H531" s="224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5"/>
      <c r="B532" s="5"/>
      <c r="C532" s="5"/>
      <c r="D532" s="5"/>
      <c r="E532" s="223"/>
      <c r="F532" s="223"/>
      <c r="G532" s="223"/>
      <c r="H532" s="224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5"/>
      <c r="B533" s="5"/>
      <c r="C533" s="5"/>
      <c r="D533" s="5"/>
      <c r="E533" s="223"/>
      <c r="F533" s="223"/>
      <c r="G533" s="223"/>
      <c r="H533" s="224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5"/>
      <c r="B534" s="5"/>
      <c r="C534" s="5"/>
      <c r="D534" s="5"/>
      <c r="E534" s="223"/>
      <c r="F534" s="223"/>
      <c r="G534" s="223"/>
      <c r="H534" s="224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5"/>
      <c r="B535" s="5"/>
      <c r="C535" s="5"/>
      <c r="D535" s="5"/>
      <c r="E535" s="223"/>
      <c r="F535" s="223"/>
      <c r="G535" s="223"/>
      <c r="H535" s="224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5"/>
      <c r="B536" s="5"/>
      <c r="C536" s="5"/>
      <c r="D536" s="5"/>
      <c r="E536" s="223"/>
      <c r="F536" s="223"/>
      <c r="G536" s="223"/>
      <c r="H536" s="224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5"/>
      <c r="B537" s="5"/>
      <c r="C537" s="5"/>
      <c r="D537" s="5"/>
      <c r="E537" s="223"/>
      <c r="F537" s="223"/>
      <c r="G537" s="223"/>
      <c r="H537" s="224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5"/>
      <c r="B538" s="5"/>
      <c r="C538" s="5"/>
      <c r="D538" s="5"/>
      <c r="E538" s="223"/>
      <c r="F538" s="223"/>
      <c r="G538" s="223"/>
      <c r="H538" s="224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5"/>
      <c r="B539" s="5"/>
      <c r="C539" s="5"/>
      <c r="D539" s="5"/>
      <c r="E539" s="223"/>
      <c r="F539" s="223"/>
      <c r="G539" s="223"/>
      <c r="H539" s="224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5"/>
      <c r="B540" s="5"/>
      <c r="C540" s="5"/>
      <c r="D540" s="5"/>
      <c r="E540" s="223"/>
      <c r="F540" s="223"/>
      <c r="G540" s="223"/>
      <c r="H540" s="224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5"/>
      <c r="B541" s="5"/>
      <c r="C541" s="5"/>
      <c r="D541" s="5"/>
      <c r="E541" s="223"/>
      <c r="F541" s="223"/>
      <c r="G541" s="223"/>
      <c r="H541" s="224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5"/>
      <c r="B542" s="5"/>
      <c r="C542" s="5"/>
      <c r="D542" s="5"/>
      <c r="E542" s="223"/>
      <c r="F542" s="223"/>
      <c r="G542" s="223"/>
      <c r="H542" s="224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5"/>
      <c r="B543" s="5"/>
      <c r="C543" s="5"/>
      <c r="D543" s="5"/>
      <c r="E543" s="223"/>
      <c r="F543" s="223"/>
      <c r="G543" s="223"/>
      <c r="H543" s="224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5"/>
      <c r="B544" s="5"/>
      <c r="C544" s="5"/>
      <c r="D544" s="5"/>
      <c r="E544" s="223"/>
      <c r="F544" s="223"/>
      <c r="G544" s="223"/>
      <c r="H544" s="224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5"/>
      <c r="B545" s="5"/>
      <c r="C545" s="5"/>
      <c r="D545" s="5"/>
      <c r="E545" s="223"/>
      <c r="F545" s="223"/>
      <c r="G545" s="223"/>
      <c r="H545" s="224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5"/>
      <c r="B546" s="5"/>
      <c r="C546" s="5"/>
      <c r="D546" s="5"/>
      <c r="E546" s="223"/>
      <c r="F546" s="223"/>
      <c r="G546" s="223"/>
      <c r="H546" s="224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5"/>
      <c r="B547" s="5"/>
      <c r="C547" s="5"/>
      <c r="D547" s="5"/>
      <c r="E547" s="223"/>
      <c r="F547" s="223"/>
      <c r="G547" s="223"/>
      <c r="H547" s="224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5"/>
      <c r="B548" s="5"/>
      <c r="C548" s="5"/>
      <c r="D548" s="5"/>
      <c r="E548" s="223"/>
      <c r="F548" s="223"/>
      <c r="G548" s="223"/>
      <c r="H548" s="224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5"/>
      <c r="B549" s="5"/>
      <c r="C549" s="5"/>
      <c r="D549" s="5"/>
      <c r="E549" s="223"/>
      <c r="F549" s="223"/>
      <c r="G549" s="223"/>
      <c r="H549" s="224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5"/>
      <c r="B550" s="5"/>
      <c r="C550" s="5"/>
      <c r="D550" s="5"/>
      <c r="E550" s="223"/>
      <c r="F550" s="223"/>
      <c r="G550" s="223"/>
      <c r="H550" s="224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5"/>
      <c r="B551" s="5"/>
      <c r="C551" s="5"/>
      <c r="D551" s="5"/>
      <c r="E551" s="223"/>
      <c r="F551" s="223"/>
      <c r="G551" s="223"/>
      <c r="H551" s="224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5"/>
      <c r="B552" s="5"/>
      <c r="C552" s="5"/>
      <c r="D552" s="5"/>
      <c r="E552" s="223"/>
      <c r="F552" s="223"/>
      <c r="G552" s="223"/>
      <c r="H552" s="224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5"/>
      <c r="B553" s="5"/>
      <c r="C553" s="5"/>
      <c r="D553" s="5"/>
      <c r="E553" s="223"/>
      <c r="F553" s="223"/>
      <c r="G553" s="223"/>
      <c r="H553" s="224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5"/>
      <c r="B554" s="5"/>
      <c r="C554" s="5"/>
      <c r="D554" s="5"/>
      <c r="E554" s="223"/>
      <c r="F554" s="223"/>
      <c r="G554" s="223"/>
      <c r="H554" s="224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5"/>
      <c r="B555" s="5"/>
      <c r="C555" s="5"/>
      <c r="D555" s="5"/>
      <c r="E555" s="223"/>
      <c r="F555" s="223"/>
      <c r="G555" s="223"/>
      <c r="H555" s="224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5"/>
      <c r="B556" s="5"/>
      <c r="C556" s="5"/>
      <c r="D556" s="5"/>
      <c r="E556" s="223"/>
      <c r="F556" s="223"/>
      <c r="G556" s="223"/>
      <c r="H556" s="224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5"/>
      <c r="B557" s="5"/>
      <c r="C557" s="5"/>
      <c r="D557" s="5"/>
      <c r="E557" s="223"/>
      <c r="F557" s="223"/>
      <c r="G557" s="223"/>
      <c r="H557" s="224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5"/>
      <c r="B558" s="5"/>
      <c r="C558" s="5"/>
      <c r="D558" s="5"/>
      <c r="E558" s="223"/>
      <c r="F558" s="223"/>
      <c r="G558" s="223"/>
      <c r="H558" s="224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5"/>
      <c r="B559" s="5"/>
      <c r="C559" s="5"/>
      <c r="D559" s="5"/>
      <c r="E559" s="223"/>
      <c r="F559" s="223"/>
      <c r="G559" s="223"/>
      <c r="H559" s="224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5"/>
      <c r="B560" s="5"/>
      <c r="C560" s="5"/>
      <c r="D560" s="5"/>
      <c r="E560" s="223"/>
      <c r="F560" s="223"/>
      <c r="G560" s="223"/>
      <c r="H560" s="224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5"/>
      <c r="B561" s="5"/>
      <c r="C561" s="5"/>
      <c r="D561" s="5"/>
      <c r="E561" s="223"/>
      <c r="F561" s="223"/>
      <c r="G561" s="223"/>
      <c r="H561" s="224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5"/>
      <c r="B562" s="5"/>
      <c r="C562" s="5"/>
      <c r="D562" s="5"/>
      <c r="E562" s="223"/>
      <c r="F562" s="223"/>
      <c r="G562" s="223"/>
      <c r="H562" s="224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5"/>
      <c r="B563" s="5"/>
      <c r="C563" s="5"/>
      <c r="D563" s="5"/>
      <c r="E563" s="223"/>
      <c r="F563" s="223"/>
      <c r="G563" s="223"/>
      <c r="H563" s="224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5"/>
      <c r="B564" s="5"/>
      <c r="C564" s="5"/>
      <c r="D564" s="5"/>
      <c r="E564" s="223"/>
      <c r="F564" s="223"/>
      <c r="G564" s="223"/>
      <c r="H564" s="224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5"/>
      <c r="B565" s="5"/>
      <c r="C565" s="5"/>
      <c r="D565" s="5"/>
      <c r="E565" s="223"/>
      <c r="F565" s="223"/>
      <c r="G565" s="223"/>
      <c r="H565" s="224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5"/>
      <c r="B566" s="5"/>
      <c r="C566" s="5"/>
      <c r="D566" s="5"/>
      <c r="E566" s="223"/>
      <c r="F566" s="223"/>
      <c r="G566" s="223"/>
      <c r="H566" s="224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5"/>
      <c r="B567" s="5"/>
      <c r="C567" s="5"/>
      <c r="D567" s="5"/>
      <c r="E567" s="223"/>
      <c r="F567" s="223"/>
      <c r="G567" s="223"/>
      <c r="H567" s="224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5"/>
      <c r="B568" s="5"/>
      <c r="C568" s="5"/>
      <c r="D568" s="5"/>
      <c r="E568" s="223"/>
      <c r="F568" s="223"/>
      <c r="G568" s="223"/>
      <c r="H568" s="224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5"/>
      <c r="B569" s="5"/>
      <c r="C569" s="5"/>
      <c r="D569" s="5"/>
      <c r="E569" s="223"/>
      <c r="F569" s="223"/>
      <c r="G569" s="223"/>
      <c r="H569" s="224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5"/>
      <c r="B570" s="5"/>
      <c r="C570" s="5"/>
      <c r="D570" s="5"/>
      <c r="E570" s="223"/>
      <c r="F570" s="223"/>
      <c r="G570" s="223"/>
      <c r="H570" s="224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5"/>
      <c r="B571" s="5"/>
      <c r="C571" s="5"/>
      <c r="D571" s="5"/>
      <c r="E571" s="223"/>
      <c r="F571" s="223"/>
      <c r="G571" s="223"/>
      <c r="H571" s="224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5"/>
      <c r="B572" s="5"/>
      <c r="C572" s="5"/>
      <c r="D572" s="5"/>
      <c r="E572" s="223"/>
      <c r="F572" s="223"/>
      <c r="G572" s="223"/>
      <c r="H572" s="224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5"/>
      <c r="B573" s="5"/>
      <c r="C573" s="5"/>
      <c r="D573" s="5"/>
      <c r="E573" s="223"/>
      <c r="F573" s="223"/>
      <c r="G573" s="223"/>
      <c r="H573" s="224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5"/>
      <c r="B574" s="5"/>
      <c r="C574" s="5"/>
      <c r="D574" s="5"/>
      <c r="E574" s="223"/>
      <c r="F574" s="223"/>
      <c r="G574" s="223"/>
      <c r="H574" s="224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5"/>
      <c r="B575" s="5"/>
      <c r="C575" s="5"/>
      <c r="D575" s="5"/>
      <c r="E575" s="223"/>
      <c r="F575" s="223"/>
      <c r="G575" s="223"/>
      <c r="H575" s="224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5"/>
      <c r="B576" s="5"/>
      <c r="C576" s="5"/>
      <c r="D576" s="5"/>
      <c r="E576" s="223"/>
      <c r="F576" s="223"/>
      <c r="G576" s="223"/>
      <c r="H576" s="224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5"/>
      <c r="B577" s="5"/>
      <c r="C577" s="5"/>
      <c r="D577" s="5"/>
      <c r="E577" s="223"/>
      <c r="F577" s="223"/>
      <c r="G577" s="223"/>
      <c r="H577" s="224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5"/>
      <c r="B578" s="5"/>
      <c r="C578" s="5"/>
      <c r="D578" s="5"/>
      <c r="E578" s="223"/>
      <c r="F578" s="223"/>
      <c r="G578" s="223"/>
      <c r="H578" s="224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5"/>
      <c r="B579" s="5"/>
      <c r="C579" s="5"/>
      <c r="D579" s="5"/>
      <c r="E579" s="223"/>
      <c r="F579" s="223"/>
      <c r="G579" s="223"/>
      <c r="H579" s="224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5"/>
      <c r="B580" s="5"/>
      <c r="C580" s="5"/>
      <c r="D580" s="5"/>
      <c r="E580" s="223"/>
      <c r="F580" s="223"/>
      <c r="G580" s="223"/>
      <c r="H580" s="224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5"/>
      <c r="B581" s="5"/>
      <c r="C581" s="5"/>
      <c r="D581" s="5"/>
      <c r="E581" s="223"/>
      <c r="F581" s="223"/>
      <c r="G581" s="223"/>
      <c r="H581" s="224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5"/>
      <c r="B582" s="5"/>
      <c r="C582" s="5"/>
      <c r="D582" s="5"/>
      <c r="E582" s="223"/>
      <c r="F582" s="223"/>
      <c r="G582" s="223"/>
      <c r="H582" s="224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5"/>
      <c r="B583" s="5"/>
      <c r="C583" s="5"/>
      <c r="D583" s="5"/>
      <c r="E583" s="223"/>
      <c r="F583" s="223"/>
      <c r="G583" s="223"/>
      <c r="H583" s="224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5"/>
      <c r="B584" s="5"/>
      <c r="C584" s="5"/>
      <c r="D584" s="5"/>
      <c r="E584" s="223"/>
      <c r="F584" s="223"/>
      <c r="G584" s="223"/>
      <c r="H584" s="224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5"/>
      <c r="B585" s="5"/>
      <c r="C585" s="5"/>
      <c r="D585" s="5"/>
      <c r="E585" s="223"/>
      <c r="F585" s="223"/>
      <c r="G585" s="223"/>
      <c r="H585" s="224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5"/>
      <c r="B586" s="5"/>
      <c r="C586" s="5"/>
      <c r="D586" s="5"/>
      <c r="E586" s="223"/>
      <c r="F586" s="223"/>
      <c r="G586" s="223"/>
      <c r="H586" s="224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5"/>
      <c r="B587" s="5"/>
      <c r="C587" s="5"/>
      <c r="D587" s="5"/>
      <c r="E587" s="223"/>
      <c r="F587" s="223"/>
      <c r="G587" s="223"/>
      <c r="H587" s="224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5"/>
      <c r="B588" s="5"/>
      <c r="C588" s="5"/>
      <c r="D588" s="5"/>
      <c r="E588" s="223"/>
      <c r="F588" s="223"/>
      <c r="G588" s="223"/>
      <c r="H588" s="224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5"/>
      <c r="B589" s="5"/>
      <c r="C589" s="5"/>
      <c r="D589" s="5"/>
      <c r="E589" s="223"/>
      <c r="F589" s="223"/>
      <c r="G589" s="223"/>
      <c r="H589" s="224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5"/>
      <c r="B590" s="5"/>
      <c r="C590" s="5"/>
      <c r="D590" s="5"/>
      <c r="E590" s="223"/>
      <c r="F590" s="223"/>
      <c r="G590" s="223"/>
      <c r="H590" s="224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5"/>
      <c r="B591" s="5"/>
      <c r="C591" s="5"/>
      <c r="D591" s="5"/>
      <c r="E591" s="223"/>
      <c r="F591" s="223"/>
      <c r="G591" s="223"/>
      <c r="H591" s="224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5"/>
      <c r="B592" s="5"/>
      <c r="C592" s="5"/>
      <c r="D592" s="5"/>
      <c r="E592" s="223"/>
      <c r="F592" s="223"/>
      <c r="G592" s="223"/>
      <c r="H592" s="224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5"/>
      <c r="B593" s="5"/>
      <c r="C593" s="5"/>
      <c r="D593" s="5"/>
      <c r="E593" s="223"/>
      <c r="F593" s="223"/>
      <c r="G593" s="223"/>
      <c r="H593" s="224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5"/>
      <c r="B594" s="5"/>
      <c r="C594" s="5"/>
      <c r="D594" s="5"/>
      <c r="E594" s="223"/>
      <c r="F594" s="223"/>
      <c r="G594" s="223"/>
      <c r="H594" s="224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5"/>
      <c r="B595" s="5"/>
      <c r="C595" s="5"/>
      <c r="D595" s="5"/>
      <c r="E595" s="223"/>
      <c r="F595" s="223"/>
      <c r="G595" s="223"/>
      <c r="H595" s="224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5"/>
      <c r="B596" s="5"/>
      <c r="C596" s="5"/>
      <c r="D596" s="5"/>
      <c r="E596" s="223"/>
      <c r="F596" s="223"/>
      <c r="G596" s="223"/>
      <c r="H596" s="224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5"/>
      <c r="B597" s="5"/>
      <c r="C597" s="5"/>
      <c r="D597" s="5"/>
      <c r="E597" s="223"/>
      <c r="F597" s="223"/>
      <c r="G597" s="223"/>
      <c r="H597" s="224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5"/>
      <c r="B598" s="5"/>
      <c r="C598" s="5"/>
      <c r="D598" s="5"/>
      <c r="E598" s="223"/>
      <c r="F598" s="223"/>
      <c r="G598" s="223"/>
      <c r="H598" s="224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5"/>
      <c r="B599" s="5"/>
      <c r="C599" s="5"/>
      <c r="D599" s="5"/>
      <c r="E599" s="223"/>
      <c r="F599" s="223"/>
      <c r="G599" s="223"/>
      <c r="H599" s="224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5"/>
      <c r="B600" s="5"/>
      <c r="C600" s="5"/>
      <c r="D600" s="5"/>
      <c r="E600" s="223"/>
      <c r="F600" s="223"/>
      <c r="G600" s="223"/>
      <c r="H600" s="224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5"/>
      <c r="B601" s="5"/>
      <c r="C601" s="5"/>
      <c r="D601" s="5"/>
      <c r="E601" s="223"/>
      <c r="F601" s="223"/>
      <c r="G601" s="223"/>
      <c r="H601" s="224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5"/>
      <c r="B602" s="5"/>
      <c r="C602" s="5"/>
      <c r="D602" s="5"/>
      <c r="E602" s="223"/>
      <c r="F602" s="223"/>
      <c r="G602" s="223"/>
      <c r="H602" s="224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5"/>
      <c r="B603" s="5"/>
      <c r="C603" s="5"/>
      <c r="D603" s="5"/>
      <c r="E603" s="223"/>
      <c r="F603" s="223"/>
      <c r="G603" s="223"/>
      <c r="H603" s="224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5"/>
      <c r="B604" s="5"/>
      <c r="C604" s="5"/>
      <c r="D604" s="5"/>
      <c r="E604" s="223"/>
      <c r="F604" s="223"/>
      <c r="G604" s="223"/>
      <c r="H604" s="224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5"/>
      <c r="B605" s="5"/>
      <c r="C605" s="5"/>
      <c r="D605" s="5"/>
      <c r="E605" s="223"/>
      <c r="F605" s="223"/>
      <c r="G605" s="223"/>
      <c r="H605" s="224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5"/>
      <c r="B606" s="5"/>
      <c r="C606" s="5"/>
      <c r="D606" s="5"/>
      <c r="E606" s="223"/>
      <c r="F606" s="223"/>
      <c r="G606" s="223"/>
      <c r="H606" s="224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5"/>
      <c r="B607" s="5"/>
      <c r="C607" s="5"/>
      <c r="D607" s="5"/>
      <c r="E607" s="223"/>
      <c r="F607" s="223"/>
      <c r="G607" s="223"/>
      <c r="H607" s="224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5"/>
      <c r="B608" s="5"/>
      <c r="C608" s="5"/>
      <c r="D608" s="5"/>
      <c r="E608" s="223"/>
      <c r="F608" s="223"/>
      <c r="G608" s="223"/>
      <c r="H608" s="224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5"/>
      <c r="B609" s="5"/>
      <c r="C609" s="5"/>
      <c r="D609" s="5"/>
      <c r="E609" s="223"/>
      <c r="F609" s="223"/>
      <c r="G609" s="223"/>
      <c r="H609" s="224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5"/>
      <c r="B610" s="5"/>
      <c r="C610" s="5"/>
      <c r="D610" s="5"/>
      <c r="E610" s="223"/>
      <c r="F610" s="223"/>
      <c r="G610" s="223"/>
      <c r="H610" s="224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5"/>
      <c r="B611" s="5"/>
      <c r="C611" s="5"/>
      <c r="D611" s="5"/>
      <c r="E611" s="223"/>
      <c r="F611" s="223"/>
      <c r="G611" s="223"/>
      <c r="H611" s="224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5"/>
      <c r="B612" s="5"/>
      <c r="C612" s="5"/>
      <c r="D612" s="5"/>
      <c r="E612" s="223"/>
      <c r="F612" s="223"/>
      <c r="G612" s="223"/>
      <c r="H612" s="224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5"/>
      <c r="B613" s="5"/>
      <c r="C613" s="5"/>
      <c r="D613" s="5"/>
      <c r="E613" s="223"/>
      <c r="F613" s="223"/>
      <c r="G613" s="223"/>
      <c r="H613" s="224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5"/>
      <c r="B614" s="5"/>
      <c r="C614" s="5"/>
      <c r="D614" s="5"/>
      <c r="E614" s="223"/>
      <c r="F614" s="223"/>
      <c r="G614" s="223"/>
      <c r="H614" s="224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5"/>
      <c r="B615" s="5"/>
      <c r="C615" s="5"/>
      <c r="D615" s="5"/>
      <c r="E615" s="223"/>
      <c r="F615" s="223"/>
      <c r="G615" s="223"/>
      <c r="H615" s="224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5"/>
      <c r="B616" s="5"/>
      <c r="C616" s="5"/>
      <c r="D616" s="5"/>
      <c r="E616" s="223"/>
      <c r="F616" s="223"/>
      <c r="G616" s="223"/>
      <c r="H616" s="224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5"/>
      <c r="B617" s="5"/>
      <c r="C617" s="5"/>
      <c r="D617" s="5"/>
      <c r="E617" s="223"/>
      <c r="F617" s="223"/>
      <c r="G617" s="223"/>
      <c r="H617" s="224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5"/>
      <c r="B618" s="5"/>
      <c r="C618" s="5"/>
      <c r="D618" s="5"/>
      <c r="E618" s="223"/>
      <c r="F618" s="223"/>
      <c r="G618" s="223"/>
      <c r="H618" s="224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5"/>
      <c r="B619" s="5"/>
      <c r="C619" s="5"/>
      <c r="D619" s="5"/>
      <c r="E619" s="223"/>
      <c r="F619" s="223"/>
      <c r="G619" s="223"/>
      <c r="H619" s="224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5"/>
      <c r="B620" s="5"/>
      <c r="C620" s="5"/>
      <c r="D620" s="5"/>
      <c r="E620" s="223"/>
      <c r="F620" s="223"/>
      <c r="G620" s="223"/>
      <c r="H620" s="224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5"/>
      <c r="B621" s="5"/>
      <c r="C621" s="5"/>
      <c r="D621" s="5"/>
      <c r="E621" s="223"/>
      <c r="F621" s="223"/>
      <c r="G621" s="223"/>
      <c r="H621" s="224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5"/>
      <c r="B622" s="5"/>
      <c r="C622" s="5"/>
      <c r="D622" s="5"/>
      <c r="E622" s="223"/>
      <c r="F622" s="223"/>
      <c r="G622" s="223"/>
      <c r="H622" s="224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5"/>
      <c r="B623" s="5"/>
      <c r="C623" s="5"/>
      <c r="D623" s="5"/>
      <c r="E623" s="223"/>
      <c r="F623" s="223"/>
      <c r="G623" s="223"/>
      <c r="H623" s="224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5"/>
      <c r="B624" s="5"/>
      <c r="C624" s="5"/>
      <c r="D624" s="5"/>
      <c r="E624" s="223"/>
      <c r="F624" s="223"/>
      <c r="G624" s="223"/>
      <c r="H624" s="224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5"/>
      <c r="B625" s="5"/>
      <c r="C625" s="5"/>
      <c r="D625" s="5"/>
      <c r="E625" s="223"/>
      <c r="F625" s="223"/>
      <c r="G625" s="223"/>
      <c r="H625" s="224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5"/>
      <c r="B626" s="5"/>
      <c r="C626" s="5"/>
      <c r="D626" s="5"/>
      <c r="E626" s="223"/>
      <c r="F626" s="223"/>
      <c r="G626" s="223"/>
      <c r="H626" s="224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5"/>
      <c r="B627" s="5"/>
      <c r="C627" s="5"/>
      <c r="D627" s="5"/>
      <c r="E627" s="223"/>
      <c r="F627" s="223"/>
      <c r="G627" s="223"/>
      <c r="H627" s="224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5"/>
      <c r="B628" s="5"/>
      <c r="C628" s="5"/>
      <c r="D628" s="5"/>
      <c r="E628" s="223"/>
      <c r="F628" s="223"/>
      <c r="G628" s="223"/>
      <c r="H628" s="224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5"/>
      <c r="B629" s="5"/>
      <c r="C629" s="5"/>
      <c r="D629" s="5"/>
      <c r="E629" s="223"/>
      <c r="F629" s="223"/>
      <c r="G629" s="223"/>
      <c r="H629" s="224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5"/>
      <c r="B630" s="5"/>
      <c r="C630" s="5"/>
      <c r="D630" s="5"/>
      <c r="E630" s="223"/>
      <c r="F630" s="223"/>
      <c r="G630" s="223"/>
      <c r="H630" s="224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5"/>
      <c r="B631" s="5"/>
      <c r="C631" s="5"/>
      <c r="D631" s="5"/>
      <c r="E631" s="223"/>
      <c r="F631" s="223"/>
      <c r="G631" s="223"/>
      <c r="H631" s="224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5"/>
      <c r="B632" s="5"/>
      <c r="C632" s="5"/>
      <c r="D632" s="5"/>
      <c r="E632" s="223"/>
      <c r="F632" s="223"/>
      <c r="G632" s="223"/>
      <c r="H632" s="224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5"/>
      <c r="B633" s="5"/>
      <c r="C633" s="5"/>
      <c r="D633" s="5"/>
      <c r="E633" s="223"/>
      <c r="F633" s="223"/>
      <c r="G633" s="223"/>
      <c r="H633" s="224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5"/>
      <c r="B634" s="5"/>
      <c r="C634" s="5"/>
      <c r="D634" s="5"/>
      <c r="E634" s="223"/>
      <c r="F634" s="223"/>
      <c r="G634" s="223"/>
      <c r="H634" s="224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5"/>
      <c r="B635" s="5"/>
      <c r="C635" s="5"/>
      <c r="D635" s="5"/>
      <c r="E635" s="223"/>
      <c r="F635" s="223"/>
      <c r="G635" s="223"/>
      <c r="H635" s="224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5"/>
      <c r="B636" s="5"/>
      <c r="C636" s="5"/>
      <c r="D636" s="5"/>
      <c r="E636" s="223"/>
      <c r="F636" s="223"/>
      <c r="G636" s="223"/>
      <c r="H636" s="224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5"/>
      <c r="B637" s="5"/>
      <c r="C637" s="5"/>
      <c r="D637" s="5"/>
      <c r="E637" s="223"/>
      <c r="F637" s="223"/>
      <c r="G637" s="223"/>
      <c r="H637" s="224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5"/>
      <c r="B638" s="5"/>
      <c r="C638" s="5"/>
      <c r="D638" s="5"/>
      <c r="E638" s="223"/>
      <c r="F638" s="223"/>
      <c r="G638" s="223"/>
      <c r="H638" s="224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5"/>
      <c r="B639" s="5"/>
      <c r="C639" s="5"/>
      <c r="D639" s="5"/>
      <c r="E639" s="223"/>
      <c r="F639" s="223"/>
      <c r="G639" s="223"/>
      <c r="H639" s="224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5"/>
      <c r="B640" s="5"/>
      <c r="C640" s="5"/>
      <c r="D640" s="5"/>
      <c r="E640" s="223"/>
      <c r="F640" s="223"/>
      <c r="G640" s="223"/>
      <c r="H640" s="224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5"/>
      <c r="B641" s="5"/>
      <c r="C641" s="5"/>
      <c r="D641" s="5"/>
      <c r="E641" s="223"/>
      <c r="F641" s="223"/>
      <c r="G641" s="223"/>
      <c r="H641" s="224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5"/>
      <c r="B642" s="5"/>
      <c r="C642" s="5"/>
      <c r="D642" s="5"/>
      <c r="E642" s="223"/>
      <c r="F642" s="223"/>
      <c r="G642" s="223"/>
      <c r="H642" s="224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5"/>
      <c r="B643" s="5"/>
      <c r="C643" s="5"/>
      <c r="D643" s="5"/>
      <c r="E643" s="223"/>
      <c r="F643" s="223"/>
      <c r="G643" s="223"/>
      <c r="H643" s="224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5"/>
      <c r="B644" s="5"/>
      <c r="C644" s="5"/>
      <c r="D644" s="5"/>
      <c r="E644" s="223"/>
      <c r="F644" s="223"/>
      <c r="G644" s="223"/>
      <c r="H644" s="224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5"/>
      <c r="B645" s="5"/>
      <c r="C645" s="5"/>
      <c r="D645" s="5"/>
      <c r="E645" s="223"/>
      <c r="F645" s="223"/>
      <c r="G645" s="223"/>
      <c r="H645" s="224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5"/>
      <c r="B646" s="5"/>
      <c r="C646" s="5"/>
      <c r="D646" s="5"/>
      <c r="E646" s="223"/>
      <c r="F646" s="223"/>
      <c r="G646" s="223"/>
      <c r="H646" s="224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5"/>
      <c r="B647" s="5"/>
      <c r="C647" s="5"/>
      <c r="D647" s="5"/>
      <c r="E647" s="223"/>
      <c r="F647" s="223"/>
      <c r="G647" s="223"/>
      <c r="H647" s="224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5"/>
      <c r="B648" s="5"/>
      <c r="C648" s="5"/>
      <c r="D648" s="5"/>
      <c r="E648" s="223"/>
      <c r="F648" s="223"/>
      <c r="G648" s="223"/>
      <c r="H648" s="224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5"/>
      <c r="B649" s="5"/>
      <c r="C649" s="5"/>
      <c r="D649" s="5"/>
      <c r="E649" s="223"/>
      <c r="F649" s="223"/>
      <c r="G649" s="223"/>
      <c r="H649" s="224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5"/>
      <c r="B650" s="5"/>
      <c r="C650" s="5"/>
      <c r="D650" s="5"/>
      <c r="E650" s="223"/>
      <c r="F650" s="223"/>
      <c r="G650" s="223"/>
      <c r="H650" s="224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5"/>
      <c r="B651" s="5"/>
      <c r="C651" s="5"/>
      <c r="D651" s="5"/>
      <c r="E651" s="223"/>
      <c r="F651" s="223"/>
      <c r="G651" s="223"/>
      <c r="H651" s="224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5"/>
      <c r="B652" s="5"/>
      <c r="C652" s="5"/>
      <c r="D652" s="5"/>
      <c r="E652" s="223"/>
      <c r="F652" s="223"/>
      <c r="G652" s="223"/>
      <c r="H652" s="224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5"/>
      <c r="B653" s="5"/>
      <c r="C653" s="5"/>
      <c r="D653" s="5"/>
      <c r="E653" s="223"/>
      <c r="F653" s="223"/>
      <c r="G653" s="223"/>
      <c r="H653" s="224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5"/>
      <c r="B654" s="5"/>
      <c r="C654" s="5"/>
      <c r="D654" s="5"/>
      <c r="E654" s="223"/>
      <c r="F654" s="223"/>
      <c r="G654" s="223"/>
      <c r="H654" s="224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5"/>
      <c r="B655" s="5"/>
      <c r="C655" s="5"/>
      <c r="D655" s="5"/>
      <c r="E655" s="223"/>
      <c r="F655" s="223"/>
      <c r="G655" s="223"/>
      <c r="H655" s="224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5"/>
      <c r="B656" s="5"/>
      <c r="C656" s="5"/>
      <c r="D656" s="5"/>
      <c r="E656" s="223"/>
      <c r="F656" s="223"/>
      <c r="G656" s="223"/>
      <c r="H656" s="224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5"/>
      <c r="B657" s="5"/>
      <c r="C657" s="5"/>
      <c r="D657" s="5"/>
      <c r="E657" s="223"/>
      <c r="F657" s="223"/>
      <c r="G657" s="223"/>
      <c r="H657" s="224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5"/>
      <c r="B658" s="5"/>
      <c r="C658" s="5"/>
      <c r="D658" s="5"/>
      <c r="E658" s="223"/>
      <c r="F658" s="223"/>
      <c r="G658" s="223"/>
      <c r="H658" s="224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5"/>
      <c r="B659" s="5"/>
      <c r="C659" s="5"/>
      <c r="D659" s="5"/>
      <c r="E659" s="223"/>
      <c r="F659" s="223"/>
      <c r="G659" s="223"/>
      <c r="H659" s="224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5"/>
      <c r="B660" s="5"/>
      <c r="C660" s="5"/>
      <c r="D660" s="5"/>
      <c r="E660" s="223"/>
      <c r="F660" s="223"/>
      <c r="G660" s="223"/>
      <c r="H660" s="224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5"/>
      <c r="B661" s="5"/>
      <c r="C661" s="5"/>
      <c r="D661" s="5"/>
      <c r="E661" s="223"/>
      <c r="F661" s="223"/>
      <c r="G661" s="223"/>
      <c r="H661" s="224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5"/>
      <c r="B662" s="5"/>
      <c r="C662" s="5"/>
      <c r="D662" s="5"/>
      <c r="E662" s="223"/>
      <c r="F662" s="223"/>
      <c r="G662" s="223"/>
      <c r="H662" s="224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5"/>
      <c r="B663" s="5"/>
      <c r="C663" s="5"/>
      <c r="D663" s="5"/>
      <c r="E663" s="223"/>
      <c r="F663" s="223"/>
      <c r="G663" s="223"/>
      <c r="H663" s="224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5"/>
      <c r="B664" s="5"/>
      <c r="C664" s="5"/>
      <c r="D664" s="5"/>
      <c r="E664" s="223"/>
      <c r="F664" s="223"/>
      <c r="G664" s="223"/>
      <c r="H664" s="224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5"/>
      <c r="B665" s="5"/>
      <c r="C665" s="5"/>
      <c r="D665" s="5"/>
      <c r="E665" s="223"/>
      <c r="F665" s="223"/>
      <c r="G665" s="223"/>
      <c r="H665" s="224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5"/>
      <c r="B666" s="5"/>
      <c r="C666" s="5"/>
      <c r="D666" s="5"/>
      <c r="E666" s="223"/>
      <c r="F666" s="223"/>
      <c r="G666" s="223"/>
      <c r="H666" s="224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5"/>
      <c r="B667" s="5"/>
      <c r="C667" s="5"/>
      <c r="D667" s="5"/>
      <c r="E667" s="223"/>
      <c r="F667" s="223"/>
      <c r="G667" s="223"/>
      <c r="H667" s="224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5"/>
      <c r="B668" s="5"/>
      <c r="C668" s="5"/>
      <c r="D668" s="5"/>
      <c r="E668" s="223"/>
      <c r="F668" s="223"/>
      <c r="G668" s="223"/>
      <c r="H668" s="224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5"/>
      <c r="B669" s="5"/>
      <c r="C669" s="5"/>
      <c r="D669" s="5"/>
      <c r="E669" s="223"/>
      <c r="F669" s="223"/>
      <c r="G669" s="223"/>
      <c r="H669" s="224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5"/>
      <c r="B670" s="5"/>
      <c r="C670" s="5"/>
      <c r="D670" s="5"/>
      <c r="E670" s="223"/>
      <c r="F670" s="223"/>
      <c r="G670" s="223"/>
      <c r="H670" s="224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5"/>
      <c r="B671" s="5"/>
      <c r="C671" s="5"/>
      <c r="D671" s="5"/>
      <c r="E671" s="223"/>
      <c r="F671" s="223"/>
      <c r="G671" s="223"/>
      <c r="H671" s="224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5"/>
      <c r="B672" s="5"/>
      <c r="C672" s="5"/>
      <c r="D672" s="5"/>
      <c r="E672" s="223"/>
      <c r="F672" s="223"/>
      <c r="G672" s="223"/>
      <c r="H672" s="224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5"/>
      <c r="B673" s="5"/>
      <c r="C673" s="5"/>
      <c r="D673" s="5"/>
      <c r="E673" s="223"/>
      <c r="F673" s="223"/>
      <c r="G673" s="223"/>
      <c r="H673" s="224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5"/>
      <c r="B674" s="5"/>
      <c r="C674" s="5"/>
      <c r="D674" s="5"/>
      <c r="E674" s="223"/>
      <c r="F674" s="223"/>
      <c r="G674" s="223"/>
      <c r="H674" s="224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5"/>
      <c r="B675" s="5"/>
      <c r="C675" s="5"/>
      <c r="D675" s="5"/>
      <c r="E675" s="223"/>
      <c r="F675" s="223"/>
      <c r="G675" s="223"/>
      <c r="H675" s="224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5"/>
      <c r="B676" s="5"/>
      <c r="C676" s="5"/>
      <c r="D676" s="5"/>
      <c r="E676" s="223"/>
      <c r="F676" s="223"/>
      <c r="G676" s="223"/>
      <c r="H676" s="224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5"/>
      <c r="B677" s="5"/>
      <c r="C677" s="5"/>
      <c r="D677" s="5"/>
      <c r="E677" s="223"/>
      <c r="F677" s="223"/>
      <c r="G677" s="223"/>
      <c r="H677" s="224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5"/>
      <c r="B678" s="5"/>
      <c r="C678" s="5"/>
      <c r="D678" s="5"/>
      <c r="E678" s="223"/>
      <c r="F678" s="223"/>
      <c r="G678" s="223"/>
      <c r="H678" s="224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5"/>
      <c r="B679" s="5"/>
      <c r="C679" s="5"/>
      <c r="D679" s="5"/>
      <c r="E679" s="223"/>
      <c r="F679" s="223"/>
      <c r="G679" s="223"/>
      <c r="H679" s="224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5"/>
      <c r="B680" s="5"/>
      <c r="C680" s="5"/>
      <c r="D680" s="5"/>
      <c r="E680" s="223"/>
      <c r="F680" s="223"/>
      <c r="G680" s="223"/>
      <c r="H680" s="224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5"/>
      <c r="B681" s="5"/>
      <c r="C681" s="5"/>
      <c r="D681" s="5"/>
      <c r="E681" s="223"/>
      <c r="F681" s="223"/>
      <c r="G681" s="223"/>
      <c r="H681" s="224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5"/>
      <c r="B682" s="5"/>
      <c r="C682" s="5"/>
      <c r="D682" s="5"/>
      <c r="E682" s="223"/>
      <c r="F682" s="223"/>
      <c r="G682" s="223"/>
      <c r="H682" s="224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5"/>
      <c r="B683" s="5"/>
      <c r="C683" s="5"/>
      <c r="D683" s="5"/>
      <c r="E683" s="223"/>
      <c r="F683" s="223"/>
      <c r="G683" s="223"/>
      <c r="H683" s="224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5"/>
      <c r="B684" s="5"/>
      <c r="C684" s="5"/>
      <c r="D684" s="5"/>
      <c r="E684" s="223"/>
      <c r="F684" s="223"/>
      <c r="G684" s="223"/>
      <c r="H684" s="224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5"/>
      <c r="B685" s="5"/>
      <c r="C685" s="5"/>
      <c r="D685" s="5"/>
      <c r="E685" s="223"/>
      <c r="F685" s="223"/>
      <c r="G685" s="223"/>
      <c r="H685" s="224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5"/>
      <c r="B686" s="5"/>
      <c r="C686" s="5"/>
      <c r="D686" s="5"/>
      <c r="E686" s="223"/>
      <c r="F686" s="223"/>
      <c r="G686" s="223"/>
      <c r="H686" s="224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5"/>
      <c r="B687" s="5"/>
      <c r="C687" s="5"/>
      <c r="D687" s="5"/>
      <c r="E687" s="223"/>
      <c r="F687" s="223"/>
      <c r="G687" s="223"/>
      <c r="H687" s="224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5"/>
      <c r="B688" s="5"/>
      <c r="C688" s="5"/>
      <c r="D688" s="5"/>
      <c r="E688" s="223"/>
      <c r="F688" s="223"/>
      <c r="G688" s="223"/>
      <c r="H688" s="224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5"/>
      <c r="B689" s="5"/>
      <c r="C689" s="5"/>
      <c r="D689" s="5"/>
      <c r="E689" s="223"/>
      <c r="F689" s="223"/>
      <c r="G689" s="223"/>
      <c r="H689" s="224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5"/>
      <c r="B690" s="5"/>
      <c r="C690" s="5"/>
      <c r="D690" s="5"/>
      <c r="E690" s="223"/>
      <c r="F690" s="223"/>
      <c r="G690" s="223"/>
      <c r="H690" s="224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5"/>
      <c r="B691" s="5"/>
      <c r="C691" s="5"/>
      <c r="D691" s="5"/>
      <c r="E691" s="223"/>
      <c r="F691" s="223"/>
      <c r="G691" s="223"/>
      <c r="H691" s="224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5"/>
      <c r="B692" s="5"/>
      <c r="C692" s="5"/>
      <c r="D692" s="5"/>
      <c r="E692" s="223"/>
      <c r="F692" s="223"/>
      <c r="G692" s="223"/>
      <c r="H692" s="224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5"/>
      <c r="B693" s="5"/>
      <c r="C693" s="5"/>
      <c r="D693" s="5"/>
      <c r="E693" s="223"/>
      <c r="F693" s="223"/>
      <c r="G693" s="223"/>
      <c r="H693" s="224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5"/>
      <c r="B694" s="5"/>
      <c r="C694" s="5"/>
      <c r="D694" s="5"/>
      <c r="E694" s="223"/>
      <c r="F694" s="223"/>
      <c r="G694" s="223"/>
      <c r="H694" s="224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5"/>
      <c r="B695" s="5"/>
      <c r="C695" s="5"/>
      <c r="D695" s="5"/>
      <c r="E695" s="223"/>
      <c r="F695" s="223"/>
      <c r="G695" s="223"/>
      <c r="H695" s="224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5"/>
      <c r="B696" s="5"/>
      <c r="C696" s="5"/>
      <c r="D696" s="5"/>
      <c r="E696" s="223"/>
      <c r="F696" s="223"/>
      <c r="G696" s="223"/>
      <c r="H696" s="224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5"/>
      <c r="B697" s="5"/>
      <c r="C697" s="5"/>
      <c r="D697" s="5"/>
      <c r="E697" s="223"/>
      <c r="F697" s="223"/>
      <c r="G697" s="223"/>
      <c r="H697" s="224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5"/>
      <c r="B698" s="5"/>
      <c r="C698" s="5"/>
      <c r="D698" s="5"/>
      <c r="E698" s="223"/>
      <c r="F698" s="223"/>
      <c r="G698" s="223"/>
      <c r="H698" s="224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5"/>
      <c r="B699" s="5"/>
      <c r="C699" s="5"/>
      <c r="D699" s="5"/>
      <c r="E699" s="223"/>
      <c r="F699" s="223"/>
      <c r="G699" s="223"/>
      <c r="H699" s="224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5"/>
      <c r="B700" s="5"/>
      <c r="C700" s="5"/>
      <c r="D700" s="5"/>
      <c r="E700" s="223"/>
      <c r="F700" s="223"/>
      <c r="G700" s="223"/>
      <c r="H700" s="224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5"/>
      <c r="B701" s="5"/>
      <c r="C701" s="5"/>
      <c r="D701" s="5"/>
      <c r="E701" s="223"/>
      <c r="F701" s="223"/>
      <c r="G701" s="223"/>
      <c r="H701" s="224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5"/>
      <c r="B702" s="5"/>
      <c r="C702" s="5"/>
      <c r="D702" s="5"/>
      <c r="E702" s="223"/>
      <c r="F702" s="223"/>
      <c r="G702" s="223"/>
      <c r="H702" s="224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5"/>
      <c r="B703" s="5"/>
      <c r="C703" s="5"/>
      <c r="D703" s="5"/>
      <c r="E703" s="223"/>
      <c r="F703" s="223"/>
      <c r="G703" s="223"/>
      <c r="H703" s="224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5"/>
      <c r="B704" s="5"/>
      <c r="C704" s="5"/>
      <c r="D704" s="5"/>
      <c r="E704" s="223"/>
      <c r="F704" s="223"/>
      <c r="G704" s="223"/>
      <c r="H704" s="224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5"/>
      <c r="B705" s="5"/>
      <c r="C705" s="5"/>
      <c r="D705" s="5"/>
      <c r="E705" s="223"/>
      <c r="F705" s="223"/>
      <c r="G705" s="223"/>
      <c r="H705" s="224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5"/>
      <c r="B706" s="5"/>
      <c r="C706" s="5"/>
      <c r="D706" s="5"/>
      <c r="E706" s="223"/>
      <c r="F706" s="223"/>
      <c r="G706" s="223"/>
      <c r="H706" s="224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5"/>
      <c r="B707" s="5"/>
      <c r="C707" s="5"/>
      <c r="D707" s="5"/>
      <c r="E707" s="223"/>
      <c r="F707" s="223"/>
      <c r="G707" s="223"/>
      <c r="H707" s="224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5"/>
      <c r="B708" s="5"/>
      <c r="C708" s="5"/>
      <c r="D708" s="5"/>
      <c r="E708" s="223"/>
      <c r="F708" s="223"/>
      <c r="G708" s="223"/>
      <c r="H708" s="224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5"/>
      <c r="B709" s="5"/>
      <c r="C709" s="5"/>
      <c r="D709" s="5"/>
      <c r="E709" s="223"/>
      <c r="F709" s="223"/>
      <c r="G709" s="223"/>
      <c r="H709" s="224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5"/>
      <c r="B710" s="5"/>
      <c r="C710" s="5"/>
      <c r="D710" s="5"/>
      <c r="E710" s="223"/>
      <c r="F710" s="223"/>
      <c r="G710" s="223"/>
      <c r="H710" s="224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5"/>
      <c r="B711" s="5"/>
      <c r="C711" s="5"/>
      <c r="D711" s="5"/>
      <c r="E711" s="223"/>
      <c r="F711" s="223"/>
      <c r="G711" s="223"/>
      <c r="H711" s="224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5"/>
      <c r="B712" s="5"/>
      <c r="C712" s="5"/>
      <c r="D712" s="5"/>
      <c r="E712" s="223"/>
      <c r="F712" s="223"/>
      <c r="G712" s="223"/>
      <c r="H712" s="224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5"/>
      <c r="B713" s="5"/>
      <c r="C713" s="5"/>
      <c r="D713" s="5"/>
      <c r="E713" s="223"/>
      <c r="F713" s="223"/>
      <c r="G713" s="223"/>
      <c r="H713" s="224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5"/>
      <c r="B714" s="5"/>
      <c r="C714" s="5"/>
      <c r="D714" s="5"/>
      <c r="E714" s="223"/>
      <c r="F714" s="223"/>
      <c r="G714" s="223"/>
      <c r="H714" s="224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5"/>
      <c r="B715" s="5"/>
      <c r="C715" s="5"/>
      <c r="D715" s="5"/>
      <c r="E715" s="223"/>
      <c r="F715" s="223"/>
      <c r="G715" s="223"/>
      <c r="H715" s="224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5"/>
      <c r="B716" s="5"/>
      <c r="C716" s="5"/>
      <c r="D716" s="5"/>
      <c r="E716" s="223"/>
      <c r="F716" s="223"/>
      <c r="G716" s="223"/>
      <c r="H716" s="224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5"/>
      <c r="B717" s="5"/>
      <c r="C717" s="5"/>
      <c r="D717" s="5"/>
      <c r="E717" s="223"/>
      <c r="F717" s="223"/>
      <c r="G717" s="223"/>
      <c r="H717" s="224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5"/>
      <c r="B718" s="5"/>
      <c r="C718" s="5"/>
      <c r="D718" s="5"/>
      <c r="E718" s="223"/>
      <c r="F718" s="223"/>
      <c r="G718" s="223"/>
      <c r="H718" s="224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5"/>
      <c r="B719" s="5"/>
      <c r="C719" s="5"/>
      <c r="D719" s="5"/>
      <c r="E719" s="223"/>
      <c r="F719" s="223"/>
      <c r="G719" s="223"/>
      <c r="H719" s="224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5"/>
      <c r="B720" s="5"/>
      <c r="C720" s="5"/>
      <c r="D720" s="5"/>
      <c r="E720" s="223"/>
      <c r="F720" s="223"/>
      <c r="G720" s="223"/>
      <c r="H720" s="224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5"/>
      <c r="B721" s="5"/>
      <c r="C721" s="5"/>
      <c r="D721" s="5"/>
      <c r="E721" s="223"/>
      <c r="F721" s="223"/>
      <c r="G721" s="223"/>
      <c r="H721" s="224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5"/>
      <c r="B722" s="5"/>
      <c r="C722" s="5"/>
      <c r="D722" s="5"/>
      <c r="E722" s="223"/>
      <c r="F722" s="223"/>
      <c r="G722" s="223"/>
      <c r="H722" s="224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5"/>
      <c r="B723" s="5"/>
      <c r="C723" s="5"/>
      <c r="D723" s="5"/>
      <c r="E723" s="223"/>
      <c r="F723" s="223"/>
      <c r="G723" s="223"/>
      <c r="H723" s="224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5"/>
      <c r="B724" s="5"/>
      <c r="C724" s="5"/>
      <c r="D724" s="5"/>
      <c r="E724" s="223"/>
      <c r="F724" s="223"/>
      <c r="G724" s="223"/>
      <c r="H724" s="224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5"/>
      <c r="B725" s="5"/>
      <c r="C725" s="5"/>
      <c r="D725" s="5"/>
      <c r="E725" s="223"/>
      <c r="F725" s="223"/>
      <c r="G725" s="223"/>
      <c r="H725" s="224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5"/>
      <c r="B726" s="5"/>
      <c r="C726" s="5"/>
      <c r="D726" s="5"/>
      <c r="E726" s="223"/>
      <c r="F726" s="223"/>
      <c r="G726" s="223"/>
      <c r="H726" s="224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5"/>
      <c r="B727" s="5"/>
      <c r="C727" s="5"/>
      <c r="D727" s="5"/>
      <c r="E727" s="223"/>
      <c r="F727" s="223"/>
      <c r="G727" s="223"/>
      <c r="H727" s="224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5"/>
      <c r="B728" s="5"/>
      <c r="C728" s="5"/>
      <c r="D728" s="5"/>
      <c r="E728" s="223"/>
      <c r="F728" s="223"/>
      <c r="G728" s="223"/>
      <c r="H728" s="224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5"/>
      <c r="B729" s="5"/>
      <c r="C729" s="5"/>
      <c r="D729" s="5"/>
      <c r="E729" s="223"/>
      <c r="F729" s="223"/>
      <c r="G729" s="223"/>
      <c r="H729" s="224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5"/>
      <c r="B730" s="5"/>
      <c r="C730" s="5"/>
      <c r="D730" s="5"/>
      <c r="E730" s="223"/>
      <c r="F730" s="223"/>
      <c r="G730" s="223"/>
      <c r="H730" s="224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5"/>
      <c r="B731" s="5"/>
      <c r="C731" s="5"/>
      <c r="D731" s="5"/>
      <c r="E731" s="223"/>
      <c r="F731" s="223"/>
      <c r="G731" s="223"/>
      <c r="H731" s="224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5"/>
      <c r="B732" s="5"/>
      <c r="C732" s="5"/>
      <c r="D732" s="5"/>
      <c r="E732" s="223"/>
      <c r="F732" s="223"/>
      <c r="G732" s="223"/>
      <c r="H732" s="224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5"/>
      <c r="B733" s="5"/>
      <c r="C733" s="5"/>
      <c r="D733" s="5"/>
      <c r="E733" s="223"/>
      <c r="F733" s="223"/>
      <c r="G733" s="223"/>
      <c r="H733" s="224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5"/>
      <c r="B734" s="5"/>
      <c r="C734" s="5"/>
      <c r="D734" s="5"/>
      <c r="E734" s="223"/>
      <c r="F734" s="223"/>
      <c r="G734" s="223"/>
      <c r="H734" s="224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5"/>
      <c r="B735" s="5"/>
      <c r="C735" s="5"/>
      <c r="D735" s="5"/>
      <c r="E735" s="223"/>
      <c r="F735" s="223"/>
      <c r="G735" s="223"/>
      <c r="H735" s="224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5"/>
      <c r="B736" s="5"/>
      <c r="C736" s="5"/>
      <c r="D736" s="5"/>
      <c r="E736" s="223"/>
      <c r="F736" s="223"/>
      <c r="G736" s="223"/>
      <c r="H736" s="224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5"/>
      <c r="B737" s="5"/>
      <c r="C737" s="5"/>
      <c r="D737" s="5"/>
      <c r="E737" s="223"/>
      <c r="F737" s="223"/>
      <c r="G737" s="223"/>
      <c r="H737" s="224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5"/>
      <c r="B738" s="5"/>
      <c r="C738" s="5"/>
      <c r="D738" s="5"/>
      <c r="E738" s="223"/>
      <c r="F738" s="223"/>
      <c r="G738" s="223"/>
      <c r="H738" s="224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5"/>
      <c r="B739" s="5"/>
      <c r="C739" s="5"/>
      <c r="D739" s="5"/>
      <c r="E739" s="223"/>
      <c r="F739" s="223"/>
      <c r="G739" s="223"/>
      <c r="H739" s="224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5"/>
      <c r="B740" s="5"/>
      <c r="C740" s="5"/>
      <c r="D740" s="5"/>
      <c r="E740" s="223"/>
      <c r="F740" s="223"/>
      <c r="G740" s="223"/>
      <c r="H740" s="224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5"/>
      <c r="B741" s="5"/>
      <c r="C741" s="5"/>
      <c r="D741" s="5"/>
      <c r="E741" s="223"/>
      <c r="F741" s="223"/>
      <c r="G741" s="223"/>
      <c r="H741" s="224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5"/>
      <c r="B742" s="5"/>
      <c r="C742" s="5"/>
      <c r="D742" s="5"/>
      <c r="E742" s="223"/>
      <c r="F742" s="223"/>
      <c r="G742" s="223"/>
      <c r="H742" s="224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5"/>
      <c r="B743" s="5"/>
      <c r="C743" s="5"/>
      <c r="D743" s="5"/>
      <c r="E743" s="223"/>
      <c r="F743" s="223"/>
      <c r="G743" s="223"/>
      <c r="H743" s="224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5"/>
      <c r="B744" s="5"/>
      <c r="C744" s="5"/>
      <c r="D744" s="5"/>
      <c r="E744" s="223"/>
      <c r="F744" s="223"/>
      <c r="G744" s="223"/>
      <c r="H744" s="224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5"/>
      <c r="B745" s="5"/>
      <c r="C745" s="5"/>
      <c r="D745" s="5"/>
      <c r="E745" s="223"/>
      <c r="F745" s="223"/>
      <c r="G745" s="223"/>
      <c r="H745" s="224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5"/>
      <c r="B746" s="5"/>
      <c r="C746" s="5"/>
      <c r="D746" s="5"/>
      <c r="E746" s="223"/>
      <c r="F746" s="223"/>
      <c r="G746" s="223"/>
      <c r="H746" s="224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5"/>
      <c r="B747" s="5"/>
      <c r="C747" s="5"/>
      <c r="D747" s="5"/>
      <c r="E747" s="223"/>
      <c r="F747" s="223"/>
      <c r="G747" s="223"/>
      <c r="H747" s="224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5"/>
      <c r="B748" s="5"/>
      <c r="C748" s="5"/>
      <c r="D748" s="5"/>
      <c r="E748" s="223"/>
      <c r="F748" s="223"/>
      <c r="G748" s="223"/>
      <c r="H748" s="224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5"/>
      <c r="B749" s="5"/>
      <c r="C749" s="5"/>
      <c r="D749" s="5"/>
      <c r="E749" s="223"/>
      <c r="F749" s="223"/>
      <c r="G749" s="223"/>
      <c r="H749" s="224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5"/>
      <c r="B750" s="5"/>
      <c r="C750" s="5"/>
      <c r="D750" s="5"/>
      <c r="E750" s="223"/>
      <c r="F750" s="223"/>
      <c r="G750" s="223"/>
      <c r="H750" s="224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5"/>
      <c r="B751" s="5"/>
      <c r="C751" s="5"/>
      <c r="D751" s="5"/>
      <c r="E751" s="223"/>
      <c r="F751" s="223"/>
      <c r="G751" s="223"/>
      <c r="H751" s="224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5"/>
      <c r="B752" s="5"/>
      <c r="C752" s="5"/>
      <c r="D752" s="5"/>
      <c r="E752" s="223"/>
      <c r="F752" s="223"/>
      <c r="G752" s="223"/>
      <c r="H752" s="224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5"/>
      <c r="B753" s="5"/>
      <c r="C753" s="5"/>
      <c r="D753" s="5"/>
      <c r="E753" s="223"/>
      <c r="F753" s="223"/>
      <c r="G753" s="223"/>
      <c r="H753" s="224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5"/>
      <c r="B754" s="5"/>
      <c r="C754" s="5"/>
      <c r="D754" s="5"/>
      <c r="E754" s="223"/>
      <c r="F754" s="223"/>
      <c r="G754" s="223"/>
      <c r="H754" s="224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5"/>
      <c r="B755" s="5"/>
      <c r="C755" s="5"/>
      <c r="D755" s="5"/>
      <c r="E755" s="223"/>
      <c r="F755" s="223"/>
      <c r="G755" s="223"/>
      <c r="H755" s="224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5"/>
      <c r="B756" s="5"/>
      <c r="C756" s="5"/>
      <c r="D756" s="5"/>
      <c r="E756" s="223"/>
      <c r="F756" s="223"/>
      <c r="G756" s="223"/>
      <c r="H756" s="224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5"/>
      <c r="B757" s="5"/>
      <c r="C757" s="5"/>
      <c r="D757" s="5"/>
      <c r="E757" s="223"/>
      <c r="F757" s="223"/>
      <c r="G757" s="223"/>
      <c r="H757" s="224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5"/>
      <c r="B758" s="5"/>
      <c r="C758" s="5"/>
      <c r="D758" s="5"/>
      <c r="E758" s="223"/>
      <c r="F758" s="223"/>
      <c r="G758" s="223"/>
      <c r="H758" s="224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5"/>
      <c r="B759" s="5"/>
      <c r="C759" s="5"/>
      <c r="D759" s="5"/>
      <c r="E759" s="223"/>
      <c r="F759" s="223"/>
      <c r="G759" s="223"/>
      <c r="H759" s="224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5"/>
      <c r="B760" s="5"/>
      <c r="C760" s="5"/>
      <c r="D760" s="5"/>
      <c r="E760" s="223"/>
      <c r="F760" s="223"/>
      <c r="G760" s="223"/>
      <c r="H760" s="224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5"/>
      <c r="B761" s="5"/>
      <c r="C761" s="5"/>
      <c r="D761" s="5"/>
      <c r="E761" s="223"/>
      <c r="F761" s="223"/>
      <c r="G761" s="223"/>
      <c r="H761" s="224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5"/>
      <c r="B762" s="5"/>
      <c r="C762" s="5"/>
      <c r="D762" s="5"/>
      <c r="E762" s="223"/>
      <c r="F762" s="223"/>
      <c r="G762" s="223"/>
      <c r="H762" s="224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5"/>
      <c r="B763" s="5"/>
      <c r="C763" s="5"/>
      <c r="D763" s="5"/>
      <c r="E763" s="223"/>
      <c r="F763" s="223"/>
      <c r="G763" s="223"/>
      <c r="H763" s="224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5"/>
      <c r="B764" s="5"/>
      <c r="C764" s="5"/>
      <c r="D764" s="5"/>
      <c r="E764" s="223"/>
      <c r="F764" s="223"/>
      <c r="G764" s="223"/>
      <c r="H764" s="224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5"/>
      <c r="B765" s="5"/>
      <c r="C765" s="5"/>
      <c r="D765" s="5"/>
      <c r="E765" s="223"/>
      <c r="F765" s="223"/>
      <c r="G765" s="223"/>
      <c r="H765" s="224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5"/>
      <c r="B766" s="5"/>
      <c r="C766" s="5"/>
      <c r="D766" s="5"/>
      <c r="E766" s="223"/>
      <c r="F766" s="223"/>
      <c r="G766" s="223"/>
      <c r="H766" s="224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5"/>
      <c r="B767" s="5"/>
      <c r="C767" s="5"/>
      <c r="D767" s="5"/>
      <c r="E767" s="223"/>
      <c r="F767" s="223"/>
      <c r="G767" s="223"/>
      <c r="H767" s="224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5"/>
      <c r="B768" s="5"/>
      <c r="C768" s="5"/>
      <c r="D768" s="5"/>
      <c r="E768" s="223"/>
      <c r="F768" s="223"/>
      <c r="G768" s="223"/>
      <c r="H768" s="224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5"/>
      <c r="B769" s="5"/>
      <c r="C769" s="5"/>
      <c r="D769" s="5"/>
      <c r="E769" s="223"/>
      <c r="F769" s="223"/>
      <c r="G769" s="223"/>
      <c r="H769" s="224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5"/>
      <c r="B770" s="5"/>
      <c r="C770" s="5"/>
      <c r="D770" s="5"/>
      <c r="E770" s="223"/>
      <c r="F770" s="223"/>
      <c r="G770" s="223"/>
      <c r="H770" s="224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5"/>
      <c r="B771" s="5"/>
      <c r="C771" s="5"/>
      <c r="D771" s="5"/>
      <c r="E771" s="223"/>
      <c r="F771" s="223"/>
      <c r="G771" s="223"/>
      <c r="H771" s="224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5"/>
      <c r="B772" s="5"/>
      <c r="C772" s="5"/>
      <c r="D772" s="5"/>
      <c r="E772" s="223"/>
      <c r="F772" s="223"/>
      <c r="G772" s="223"/>
      <c r="H772" s="224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5"/>
      <c r="B773" s="5"/>
      <c r="C773" s="5"/>
      <c r="D773" s="5"/>
      <c r="E773" s="223"/>
      <c r="F773" s="223"/>
      <c r="G773" s="223"/>
      <c r="H773" s="224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5"/>
      <c r="B774" s="5"/>
      <c r="C774" s="5"/>
      <c r="D774" s="5"/>
      <c r="E774" s="223"/>
      <c r="F774" s="223"/>
      <c r="G774" s="223"/>
      <c r="H774" s="224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5"/>
      <c r="B775" s="5"/>
      <c r="C775" s="5"/>
      <c r="D775" s="5"/>
      <c r="E775" s="223"/>
      <c r="F775" s="223"/>
      <c r="G775" s="223"/>
      <c r="H775" s="224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5"/>
      <c r="B776" s="5"/>
      <c r="C776" s="5"/>
      <c r="D776" s="5"/>
      <c r="E776" s="223"/>
      <c r="F776" s="223"/>
      <c r="G776" s="223"/>
      <c r="H776" s="224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5"/>
      <c r="B777" s="5"/>
      <c r="C777" s="5"/>
      <c r="D777" s="5"/>
      <c r="E777" s="223"/>
      <c r="F777" s="223"/>
      <c r="G777" s="223"/>
      <c r="H777" s="224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5"/>
      <c r="B778" s="5"/>
      <c r="C778" s="5"/>
      <c r="D778" s="5"/>
      <c r="E778" s="223"/>
      <c r="F778" s="223"/>
      <c r="G778" s="223"/>
      <c r="H778" s="224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5"/>
      <c r="B779" s="5"/>
      <c r="C779" s="5"/>
      <c r="D779" s="5"/>
      <c r="E779" s="223"/>
      <c r="F779" s="223"/>
      <c r="G779" s="223"/>
      <c r="H779" s="224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5"/>
      <c r="B780" s="5"/>
      <c r="C780" s="5"/>
      <c r="D780" s="5"/>
      <c r="E780" s="223"/>
      <c r="F780" s="223"/>
      <c r="G780" s="223"/>
      <c r="H780" s="224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5"/>
      <c r="B781" s="5"/>
      <c r="C781" s="5"/>
      <c r="D781" s="5"/>
      <c r="E781" s="223"/>
      <c r="F781" s="223"/>
      <c r="G781" s="223"/>
      <c r="H781" s="224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5"/>
      <c r="B782" s="5"/>
      <c r="C782" s="5"/>
      <c r="D782" s="5"/>
      <c r="E782" s="223"/>
      <c r="F782" s="223"/>
      <c r="G782" s="223"/>
      <c r="H782" s="224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5"/>
      <c r="B783" s="5"/>
      <c r="C783" s="5"/>
      <c r="D783" s="5"/>
      <c r="E783" s="223"/>
      <c r="F783" s="223"/>
      <c r="G783" s="223"/>
      <c r="H783" s="224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5"/>
      <c r="B784" s="5"/>
      <c r="C784" s="5"/>
      <c r="D784" s="5"/>
      <c r="E784" s="223"/>
      <c r="F784" s="223"/>
      <c r="G784" s="223"/>
      <c r="H784" s="224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5"/>
      <c r="B785" s="5"/>
      <c r="C785" s="5"/>
      <c r="D785" s="5"/>
      <c r="E785" s="223"/>
      <c r="F785" s="223"/>
      <c r="G785" s="223"/>
      <c r="H785" s="224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5"/>
      <c r="B786" s="5"/>
      <c r="C786" s="5"/>
      <c r="D786" s="5"/>
      <c r="E786" s="223"/>
      <c r="F786" s="223"/>
      <c r="G786" s="223"/>
      <c r="H786" s="224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5"/>
      <c r="B787" s="5"/>
      <c r="C787" s="5"/>
      <c r="D787" s="5"/>
      <c r="E787" s="223"/>
      <c r="F787" s="223"/>
      <c r="G787" s="223"/>
      <c r="H787" s="224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5"/>
      <c r="B788" s="5"/>
      <c r="C788" s="5"/>
      <c r="D788" s="5"/>
      <c r="E788" s="223"/>
      <c r="F788" s="223"/>
      <c r="G788" s="223"/>
      <c r="H788" s="224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5"/>
      <c r="B789" s="5"/>
      <c r="C789" s="5"/>
      <c r="D789" s="5"/>
      <c r="E789" s="223"/>
      <c r="F789" s="223"/>
      <c r="G789" s="223"/>
      <c r="H789" s="224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5"/>
      <c r="B790" s="5"/>
      <c r="C790" s="5"/>
      <c r="D790" s="5"/>
      <c r="E790" s="223"/>
      <c r="F790" s="223"/>
      <c r="G790" s="223"/>
      <c r="H790" s="224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5"/>
      <c r="B791" s="5"/>
      <c r="C791" s="5"/>
      <c r="D791" s="5"/>
      <c r="E791" s="223"/>
      <c r="F791" s="223"/>
      <c r="G791" s="223"/>
      <c r="H791" s="224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5"/>
      <c r="B792" s="5"/>
      <c r="C792" s="5"/>
      <c r="D792" s="5"/>
      <c r="E792" s="223"/>
      <c r="F792" s="223"/>
      <c r="G792" s="223"/>
      <c r="H792" s="224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5"/>
      <c r="B793" s="5"/>
      <c r="C793" s="5"/>
      <c r="D793" s="5"/>
      <c r="E793" s="223"/>
      <c r="F793" s="223"/>
      <c r="G793" s="223"/>
      <c r="H793" s="224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5"/>
      <c r="B794" s="5"/>
      <c r="C794" s="5"/>
      <c r="D794" s="5"/>
      <c r="E794" s="223"/>
      <c r="F794" s="223"/>
      <c r="G794" s="223"/>
      <c r="H794" s="224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5"/>
      <c r="B795" s="5"/>
      <c r="C795" s="5"/>
      <c r="D795" s="5"/>
      <c r="E795" s="223"/>
      <c r="F795" s="223"/>
      <c r="G795" s="223"/>
      <c r="H795" s="224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5"/>
      <c r="B796" s="5"/>
      <c r="C796" s="5"/>
      <c r="D796" s="5"/>
      <c r="E796" s="223"/>
      <c r="F796" s="223"/>
      <c r="G796" s="223"/>
      <c r="H796" s="224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5"/>
      <c r="B797" s="5"/>
      <c r="C797" s="5"/>
      <c r="D797" s="5"/>
      <c r="E797" s="223"/>
      <c r="F797" s="223"/>
      <c r="G797" s="223"/>
      <c r="H797" s="224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5"/>
      <c r="B798" s="5"/>
      <c r="C798" s="5"/>
      <c r="D798" s="5"/>
      <c r="E798" s="223"/>
      <c r="F798" s="223"/>
      <c r="G798" s="223"/>
      <c r="H798" s="224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5"/>
      <c r="B799" s="5"/>
      <c r="C799" s="5"/>
      <c r="D799" s="5"/>
      <c r="E799" s="223"/>
      <c r="F799" s="223"/>
      <c r="G799" s="223"/>
      <c r="H799" s="224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5"/>
      <c r="B800" s="5"/>
      <c r="C800" s="5"/>
      <c r="D800" s="5"/>
      <c r="E800" s="223"/>
      <c r="F800" s="223"/>
      <c r="G800" s="223"/>
      <c r="H800" s="224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5"/>
      <c r="B801" s="5"/>
      <c r="C801" s="5"/>
      <c r="D801" s="5"/>
      <c r="E801" s="223"/>
      <c r="F801" s="223"/>
      <c r="G801" s="223"/>
      <c r="H801" s="224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5"/>
      <c r="B802" s="5"/>
      <c r="C802" s="5"/>
      <c r="D802" s="5"/>
      <c r="E802" s="223"/>
      <c r="F802" s="223"/>
      <c r="G802" s="223"/>
      <c r="H802" s="224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5"/>
      <c r="B803" s="5"/>
      <c r="C803" s="5"/>
      <c r="D803" s="5"/>
      <c r="E803" s="223"/>
      <c r="F803" s="223"/>
      <c r="G803" s="223"/>
      <c r="H803" s="224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5"/>
      <c r="B804" s="5"/>
      <c r="C804" s="5"/>
      <c r="D804" s="5"/>
      <c r="E804" s="223"/>
      <c r="F804" s="223"/>
      <c r="G804" s="223"/>
      <c r="H804" s="224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5"/>
      <c r="B805" s="5"/>
      <c r="C805" s="5"/>
      <c r="D805" s="5"/>
      <c r="E805" s="223"/>
      <c r="F805" s="223"/>
      <c r="G805" s="223"/>
      <c r="H805" s="224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5"/>
      <c r="B806" s="5"/>
      <c r="C806" s="5"/>
      <c r="D806" s="5"/>
      <c r="E806" s="223"/>
      <c r="F806" s="223"/>
      <c r="G806" s="223"/>
      <c r="H806" s="224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5"/>
      <c r="B807" s="5"/>
      <c r="C807" s="5"/>
      <c r="D807" s="5"/>
      <c r="E807" s="223"/>
      <c r="F807" s="223"/>
      <c r="G807" s="223"/>
      <c r="H807" s="224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5"/>
      <c r="B808" s="5"/>
      <c r="C808" s="5"/>
      <c r="D808" s="5"/>
      <c r="E808" s="223"/>
      <c r="F808" s="223"/>
      <c r="G808" s="223"/>
      <c r="H808" s="224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5"/>
      <c r="B809" s="5"/>
      <c r="C809" s="5"/>
      <c r="D809" s="5"/>
      <c r="E809" s="223"/>
      <c r="F809" s="223"/>
      <c r="G809" s="223"/>
      <c r="H809" s="224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5"/>
      <c r="B810" s="5"/>
      <c r="C810" s="5"/>
      <c r="D810" s="5"/>
      <c r="E810" s="223"/>
      <c r="F810" s="223"/>
      <c r="G810" s="223"/>
      <c r="H810" s="224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5"/>
      <c r="B811" s="5"/>
      <c r="C811" s="5"/>
      <c r="D811" s="5"/>
      <c r="E811" s="223"/>
      <c r="F811" s="223"/>
      <c r="G811" s="223"/>
      <c r="H811" s="224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5"/>
      <c r="B812" s="5"/>
      <c r="C812" s="5"/>
      <c r="D812" s="5"/>
      <c r="E812" s="223"/>
      <c r="F812" s="223"/>
      <c r="G812" s="223"/>
      <c r="H812" s="224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5"/>
      <c r="B813" s="5"/>
      <c r="C813" s="5"/>
      <c r="D813" s="5"/>
      <c r="E813" s="223"/>
      <c r="F813" s="223"/>
      <c r="G813" s="223"/>
      <c r="H813" s="224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5"/>
      <c r="B814" s="5"/>
      <c r="C814" s="5"/>
      <c r="D814" s="5"/>
      <c r="E814" s="223"/>
      <c r="F814" s="223"/>
      <c r="G814" s="223"/>
      <c r="H814" s="224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5"/>
      <c r="B815" s="5"/>
      <c r="C815" s="5"/>
      <c r="D815" s="5"/>
      <c r="E815" s="223"/>
      <c r="F815" s="223"/>
      <c r="G815" s="223"/>
      <c r="H815" s="224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5"/>
      <c r="B816" s="5"/>
      <c r="C816" s="5"/>
      <c r="D816" s="5"/>
      <c r="E816" s="223"/>
      <c r="F816" s="223"/>
      <c r="G816" s="223"/>
      <c r="H816" s="224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5"/>
      <c r="B817" s="5"/>
      <c r="C817" s="5"/>
      <c r="D817" s="5"/>
      <c r="E817" s="223"/>
      <c r="F817" s="223"/>
      <c r="G817" s="223"/>
      <c r="H817" s="224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5"/>
      <c r="B818" s="5"/>
      <c r="C818" s="5"/>
      <c r="D818" s="5"/>
      <c r="E818" s="223"/>
      <c r="F818" s="223"/>
      <c r="G818" s="223"/>
      <c r="H818" s="224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5"/>
      <c r="B819" s="5"/>
      <c r="C819" s="5"/>
      <c r="D819" s="5"/>
      <c r="E819" s="223"/>
      <c r="F819" s="223"/>
      <c r="G819" s="223"/>
      <c r="H819" s="224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5"/>
      <c r="B820" s="5"/>
      <c r="C820" s="5"/>
      <c r="D820" s="5"/>
      <c r="E820" s="223"/>
      <c r="F820" s="223"/>
      <c r="G820" s="223"/>
      <c r="H820" s="224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5"/>
      <c r="B821" s="5"/>
      <c r="C821" s="5"/>
      <c r="D821" s="5"/>
      <c r="E821" s="223"/>
      <c r="F821" s="223"/>
      <c r="G821" s="223"/>
      <c r="H821" s="224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5"/>
      <c r="B822" s="5"/>
      <c r="C822" s="5"/>
      <c r="D822" s="5"/>
      <c r="E822" s="223"/>
      <c r="F822" s="223"/>
      <c r="G822" s="223"/>
      <c r="H822" s="224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5"/>
      <c r="B823" s="5"/>
      <c r="C823" s="5"/>
      <c r="D823" s="5"/>
      <c r="E823" s="223"/>
      <c r="F823" s="223"/>
      <c r="G823" s="223"/>
      <c r="H823" s="224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5"/>
      <c r="B824" s="5"/>
      <c r="C824" s="5"/>
      <c r="D824" s="5"/>
      <c r="E824" s="223"/>
      <c r="F824" s="223"/>
      <c r="G824" s="223"/>
      <c r="H824" s="224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5"/>
      <c r="B825" s="5"/>
      <c r="C825" s="5"/>
      <c r="D825" s="5"/>
      <c r="E825" s="223"/>
      <c r="F825" s="223"/>
      <c r="G825" s="223"/>
      <c r="H825" s="224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5"/>
      <c r="B826" s="5"/>
      <c r="C826" s="5"/>
      <c r="D826" s="5"/>
      <c r="E826" s="223"/>
      <c r="F826" s="223"/>
      <c r="G826" s="223"/>
      <c r="H826" s="224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5"/>
      <c r="B827" s="5"/>
      <c r="C827" s="5"/>
      <c r="D827" s="5"/>
      <c r="E827" s="223"/>
      <c r="F827" s="223"/>
      <c r="G827" s="223"/>
      <c r="H827" s="224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5"/>
      <c r="B828" s="5"/>
      <c r="C828" s="5"/>
      <c r="D828" s="5"/>
      <c r="E828" s="223"/>
      <c r="F828" s="223"/>
      <c r="G828" s="223"/>
      <c r="H828" s="224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5"/>
      <c r="B829" s="5"/>
      <c r="C829" s="5"/>
      <c r="D829" s="5"/>
      <c r="E829" s="223"/>
      <c r="F829" s="223"/>
      <c r="G829" s="223"/>
      <c r="H829" s="224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5"/>
      <c r="B830" s="5"/>
      <c r="C830" s="5"/>
      <c r="D830" s="5"/>
      <c r="E830" s="223"/>
      <c r="F830" s="223"/>
      <c r="G830" s="223"/>
      <c r="H830" s="224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5"/>
      <c r="B831" s="5"/>
      <c r="C831" s="5"/>
      <c r="D831" s="5"/>
      <c r="E831" s="223"/>
      <c r="F831" s="223"/>
      <c r="G831" s="223"/>
      <c r="H831" s="224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5"/>
      <c r="B832" s="5"/>
      <c r="C832" s="5"/>
      <c r="D832" s="5"/>
      <c r="E832" s="223"/>
      <c r="F832" s="223"/>
      <c r="G832" s="223"/>
      <c r="H832" s="224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5"/>
      <c r="B833" s="5"/>
      <c r="C833" s="5"/>
      <c r="D833" s="5"/>
      <c r="E833" s="223"/>
      <c r="F833" s="223"/>
      <c r="G833" s="223"/>
      <c r="H833" s="224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5"/>
      <c r="B834" s="5"/>
      <c r="C834" s="5"/>
      <c r="D834" s="5"/>
      <c r="E834" s="223"/>
      <c r="F834" s="223"/>
      <c r="G834" s="223"/>
      <c r="H834" s="224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5"/>
      <c r="B835" s="5"/>
      <c r="C835" s="5"/>
      <c r="D835" s="5"/>
      <c r="E835" s="223"/>
      <c r="F835" s="223"/>
      <c r="G835" s="223"/>
      <c r="H835" s="224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5"/>
      <c r="B836" s="5"/>
      <c r="C836" s="5"/>
      <c r="D836" s="5"/>
      <c r="E836" s="223"/>
      <c r="F836" s="223"/>
      <c r="G836" s="223"/>
      <c r="H836" s="224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5"/>
      <c r="B837" s="5"/>
      <c r="C837" s="5"/>
      <c r="D837" s="5"/>
      <c r="E837" s="223"/>
      <c r="F837" s="223"/>
      <c r="G837" s="223"/>
      <c r="H837" s="224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5"/>
      <c r="B838" s="5"/>
      <c r="C838" s="5"/>
      <c r="D838" s="5"/>
      <c r="E838" s="223"/>
      <c r="F838" s="223"/>
      <c r="G838" s="223"/>
      <c r="H838" s="224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5"/>
      <c r="B839" s="5"/>
      <c r="C839" s="5"/>
      <c r="D839" s="5"/>
      <c r="E839" s="223"/>
      <c r="F839" s="223"/>
      <c r="G839" s="223"/>
      <c r="H839" s="224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5"/>
      <c r="B840" s="5"/>
      <c r="C840" s="5"/>
      <c r="D840" s="5"/>
      <c r="E840" s="223"/>
      <c r="F840" s="223"/>
      <c r="G840" s="223"/>
      <c r="H840" s="224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5"/>
      <c r="B841" s="5"/>
      <c r="C841" s="5"/>
      <c r="D841" s="5"/>
      <c r="E841" s="223"/>
      <c r="F841" s="223"/>
      <c r="G841" s="223"/>
      <c r="H841" s="224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5"/>
      <c r="B842" s="5"/>
      <c r="C842" s="5"/>
      <c r="D842" s="5"/>
      <c r="E842" s="223"/>
      <c r="F842" s="223"/>
      <c r="G842" s="223"/>
      <c r="H842" s="224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5"/>
      <c r="B843" s="5"/>
      <c r="C843" s="5"/>
      <c r="D843" s="5"/>
      <c r="E843" s="223"/>
      <c r="F843" s="223"/>
      <c r="G843" s="223"/>
      <c r="H843" s="224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5"/>
      <c r="B844" s="5"/>
      <c r="C844" s="5"/>
      <c r="D844" s="5"/>
      <c r="E844" s="223"/>
      <c r="F844" s="223"/>
      <c r="G844" s="223"/>
      <c r="H844" s="224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5"/>
      <c r="B845" s="5"/>
      <c r="C845" s="5"/>
      <c r="D845" s="5"/>
      <c r="E845" s="223"/>
      <c r="F845" s="223"/>
      <c r="G845" s="223"/>
      <c r="H845" s="224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5"/>
      <c r="B846" s="5"/>
      <c r="C846" s="5"/>
      <c r="D846" s="5"/>
      <c r="E846" s="223"/>
      <c r="F846" s="223"/>
      <c r="G846" s="223"/>
      <c r="H846" s="224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5"/>
      <c r="B847" s="5"/>
      <c r="C847" s="5"/>
      <c r="D847" s="5"/>
      <c r="E847" s="223"/>
      <c r="F847" s="223"/>
      <c r="G847" s="223"/>
      <c r="H847" s="224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5"/>
      <c r="B848" s="5"/>
      <c r="C848" s="5"/>
      <c r="D848" s="5"/>
      <c r="E848" s="223"/>
      <c r="F848" s="223"/>
      <c r="G848" s="223"/>
      <c r="H848" s="224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5"/>
      <c r="B849" s="5"/>
      <c r="C849" s="5"/>
      <c r="D849" s="5"/>
      <c r="E849" s="223"/>
      <c r="F849" s="223"/>
      <c r="G849" s="223"/>
      <c r="H849" s="224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5"/>
      <c r="B850" s="5"/>
      <c r="C850" s="5"/>
      <c r="D850" s="5"/>
      <c r="E850" s="223"/>
      <c r="F850" s="223"/>
      <c r="G850" s="223"/>
      <c r="H850" s="224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5"/>
      <c r="B851" s="5"/>
      <c r="C851" s="5"/>
      <c r="D851" s="5"/>
      <c r="E851" s="223"/>
      <c r="F851" s="223"/>
      <c r="G851" s="223"/>
      <c r="H851" s="224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5"/>
      <c r="B852" s="5"/>
      <c r="C852" s="5"/>
      <c r="D852" s="5"/>
      <c r="E852" s="223"/>
      <c r="F852" s="223"/>
      <c r="G852" s="223"/>
      <c r="H852" s="224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5"/>
      <c r="B853" s="5"/>
      <c r="C853" s="5"/>
      <c r="D853" s="5"/>
      <c r="E853" s="223"/>
      <c r="F853" s="223"/>
      <c r="G853" s="223"/>
      <c r="H853" s="224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5"/>
      <c r="B854" s="5"/>
      <c r="C854" s="5"/>
      <c r="D854" s="5"/>
      <c r="E854" s="223"/>
      <c r="F854" s="223"/>
      <c r="G854" s="223"/>
      <c r="H854" s="224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5"/>
      <c r="B855" s="5"/>
      <c r="C855" s="5"/>
      <c r="D855" s="5"/>
      <c r="E855" s="223"/>
      <c r="F855" s="223"/>
      <c r="G855" s="223"/>
      <c r="H855" s="224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5"/>
      <c r="B856" s="5"/>
      <c r="C856" s="5"/>
      <c r="D856" s="5"/>
      <c r="E856" s="223"/>
      <c r="F856" s="223"/>
      <c r="G856" s="223"/>
      <c r="H856" s="224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5"/>
      <c r="B857" s="5"/>
      <c r="C857" s="5"/>
      <c r="D857" s="5"/>
      <c r="E857" s="223"/>
      <c r="F857" s="223"/>
      <c r="G857" s="223"/>
      <c r="H857" s="224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5"/>
      <c r="B858" s="5"/>
      <c r="C858" s="5"/>
      <c r="D858" s="5"/>
      <c r="E858" s="223"/>
      <c r="F858" s="223"/>
      <c r="G858" s="223"/>
      <c r="H858" s="224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5"/>
      <c r="B859" s="5"/>
      <c r="C859" s="5"/>
      <c r="D859" s="5"/>
      <c r="E859" s="223"/>
      <c r="F859" s="223"/>
      <c r="G859" s="223"/>
      <c r="H859" s="224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5"/>
      <c r="B860" s="5"/>
      <c r="C860" s="5"/>
      <c r="D860" s="5"/>
      <c r="E860" s="223"/>
      <c r="F860" s="223"/>
      <c r="G860" s="223"/>
      <c r="H860" s="224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5"/>
      <c r="B861" s="5"/>
      <c r="C861" s="5"/>
      <c r="D861" s="5"/>
      <c r="E861" s="223"/>
      <c r="F861" s="223"/>
      <c r="G861" s="223"/>
      <c r="H861" s="224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5"/>
      <c r="B862" s="5"/>
      <c r="C862" s="5"/>
      <c r="D862" s="5"/>
      <c r="E862" s="223"/>
      <c r="F862" s="223"/>
      <c r="G862" s="223"/>
      <c r="H862" s="224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5"/>
      <c r="B863" s="5"/>
      <c r="C863" s="5"/>
      <c r="D863" s="5"/>
      <c r="E863" s="223"/>
      <c r="F863" s="223"/>
      <c r="G863" s="223"/>
      <c r="H863" s="224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5"/>
      <c r="B864" s="5"/>
      <c r="C864" s="5"/>
      <c r="D864" s="5"/>
      <c r="E864" s="223"/>
      <c r="F864" s="223"/>
      <c r="G864" s="223"/>
      <c r="H864" s="224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5"/>
      <c r="B865" s="5"/>
      <c r="C865" s="5"/>
      <c r="D865" s="5"/>
      <c r="E865" s="223"/>
      <c r="F865" s="223"/>
      <c r="G865" s="223"/>
      <c r="H865" s="224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5"/>
      <c r="B866" s="5"/>
      <c r="C866" s="5"/>
      <c r="D866" s="5"/>
      <c r="E866" s="223"/>
      <c r="F866" s="223"/>
      <c r="G866" s="223"/>
      <c r="H866" s="224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5"/>
      <c r="B867" s="5"/>
      <c r="C867" s="5"/>
      <c r="D867" s="5"/>
      <c r="E867" s="223"/>
      <c r="F867" s="223"/>
      <c r="G867" s="223"/>
      <c r="H867" s="224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5"/>
      <c r="B868" s="5"/>
      <c r="C868" s="5"/>
      <c r="D868" s="5"/>
      <c r="E868" s="223"/>
      <c r="F868" s="223"/>
      <c r="G868" s="223"/>
      <c r="H868" s="224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5"/>
      <c r="B869" s="5"/>
      <c r="C869" s="5"/>
      <c r="D869" s="5"/>
      <c r="E869" s="223"/>
      <c r="F869" s="223"/>
      <c r="G869" s="223"/>
      <c r="H869" s="224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5"/>
      <c r="B870" s="5"/>
      <c r="C870" s="5"/>
      <c r="D870" s="5"/>
      <c r="E870" s="223"/>
      <c r="F870" s="223"/>
      <c r="G870" s="223"/>
      <c r="H870" s="224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5"/>
      <c r="B871" s="5"/>
      <c r="C871" s="5"/>
      <c r="D871" s="5"/>
      <c r="E871" s="223"/>
      <c r="F871" s="223"/>
      <c r="G871" s="223"/>
      <c r="H871" s="224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5"/>
      <c r="B872" s="5"/>
      <c r="C872" s="5"/>
      <c r="D872" s="5"/>
      <c r="E872" s="223"/>
      <c r="F872" s="223"/>
      <c r="G872" s="223"/>
      <c r="H872" s="224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5"/>
      <c r="B873" s="5"/>
      <c r="C873" s="5"/>
      <c r="D873" s="5"/>
      <c r="E873" s="223"/>
      <c r="F873" s="223"/>
      <c r="G873" s="223"/>
      <c r="H873" s="224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5"/>
      <c r="B874" s="5"/>
      <c r="C874" s="5"/>
      <c r="D874" s="5"/>
      <c r="E874" s="223"/>
      <c r="F874" s="223"/>
      <c r="G874" s="223"/>
      <c r="H874" s="224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5"/>
      <c r="B875" s="5"/>
      <c r="C875" s="5"/>
      <c r="D875" s="5"/>
      <c r="E875" s="223"/>
      <c r="F875" s="223"/>
      <c r="G875" s="223"/>
      <c r="H875" s="224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5"/>
      <c r="B876" s="5"/>
      <c r="C876" s="5"/>
      <c r="D876" s="5"/>
      <c r="E876" s="223"/>
      <c r="F876" s="223"/>
      <c r="G876" s="223"/>
      <c r="H876" s="224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5"/>
      <c r="B877" s="5"/>
      <c r="C877" s="5"/>
      <c r="D877" s="5"/>
      <c r="E877" s="223"/>
      <c r="F877" s="223"/>
      <c r="G877" s="223"/>
      <c r="H877" s="224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5"/>
      <c r="B878" s="5"/>
      <c r="C878" s="5"/>
      <c r="D878" s="5"/>
      <c r="E878" s="223"/>
      <c r="F878" s="223"/>
      <c r="G878" s="223"/>
      <c r="H878" s="224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5"/>
      <c r="B879" s="5"/>
      <c r="C879" s="5"/>
      <c r="D879" s="5"/>
      <c r="E879" s="223"/>
      <c r="F879" s="223"/>
      <c r="G879" s="223"/>
      <c r="H879" s="224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5"/>
      <c r="B880" s="5"/>
      <c r="C880" s="5"/>
      <c r="D880" s="5"/>
      <c r="E880" s="223"/>
      <c r="F880" s="223"/>
      <c r="G880" s="223"/>
      <c r="H880" s="224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5"/>
      <c r="B881" s="5"/>
      <c r="C881" s="5"/>
      <c r="D881" s="5"/>
      <c r="E881" s="223"/>
      <c r="F881" s="223"/>
      <c r="G881" s="223"/>
      <c r="H881" s="224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5"/>
      <c r="B882" s="5"/>
      <c r="C882" s="5"/>
      <c r="D882" s="5"/>
      <c r="E882" s="223"/>
      <c r="F882" s="223"/>
      <c r="G882" s="223"/>
      <c r="H882" s="224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5"/>
      <c r="B883" s="5"/>
      <c r="C883" s="5"/>
      <c r="D883" s="5"/>
      <c r="E883" s="223"/>
      <c r="F883" s="223"/>
      <c r="G883" s="223"/>
      <c r="H883" s="224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5"/>
      <c r="B884" s="5"/>
      <c r="C884" s="5"/>
      <c r="D884" s="5"/>
      <c r="E884" s="223"/>
      <c r="F884" s="223"/>
      <c r="G884" s="223"/>
      <c r="H884" s="224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5"/>
      <c r="B885" s="5"/>
      <c r="C885" s="5"/>
      <c r="D885" s="5"/>
      <c r="E885" s="223"/>
      <c r="F885" s="223"/>
      <c r="G885" s="223"/>
      <c r="H885" s="224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5"/>
      <c r="B886" s="5"/>
      <c r="C886" s="5"/>
      <c r="D886" s="5"/>
      <c r="E886" s="223"/>
      <c r="F886" s="223"/>
      <c r="G886" s="223"/>
      <c r="H886" s="224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5"/>
      <c r="B887" s="5"/>
      <c r="C887" s="5"/>
      <c r="D887" s="5"/>
      <c r="E887" s="223"/>
      <c r="F887" s="223"/>
      <c r="G887" s="223"/>
      <c r="H887" s="224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5"/>
      <c r="B888" s="5"/>
      <c r="C888" s="5"/>
      <c r="D888" s="5"/>
      <c r="E888" s="223"/>
      <c r="F888" s="223"/>
      <c r="G888" s="223"/>
      <c r="H888" s="224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5"/>
      <c r="B889" s="5"/>
      <c r="C889" s="5"/>
      <c r="D889" s="5"/>
      <c r="E889" s="223"/>
      <c r="F889" s="223"/>
      <c r="G889" s="223"/>
      <c r="H889" s="224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5"/>
      <c r="B890" s="5"/>
      <c r="C890" s="5"/>
      <c r="D890" s="5"/>
      <c r="E890" s="223"/>
      <c r="F890" s="223"/>
      <c r="G890" s="223"/>
      <c r="H890" s="224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5"/>
      <c r="B891" s="5"/>
      <c r="C891" s="5"/>
      <c r="D891" s="5"/>
      <c r="E891" s="223"/>
      <c r="F891" s="223"/>
      <c r="G891" s="223"/>
      <c r="H891" s="224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5"/>
      <c r="B892" s="5"/>
      <c r="C892" s="5"/>
      <c r="D892" s="5"/>
      <c r="E892" s="223"/>
      <c r="F892" s="223"/>
      <c r="G892" s="223"/>
      <c r="H892" s="224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5"/>
      <c r="B893" s="5"/>
      <c r="C893" s="5"/>
      <c r="D893" s="5"/>
      <c r="E893" s="223"/>
      <c r="F893" s="223"/>
      <c r="G893" s="223"/>
      <c r="H893" s="224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5"/>
      <c r="B894" s="5"/>
      <c r="C894" s="5"/>
      <c r="D894" s="5"/>
      <c r="E894" s="223"/>
      <c r="F894" s="223"/>
      <c r="G894" s="223"/>
      <c r="H894" s="224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5"/>
      <c r="B895" s="5"/>
      <c r="C895" s="5"/>
      <c r="D895" s="5"/>
      <c r="E895" s="223"/>
      <c r="F895" s="223"/>
      <c r="G895" s="223"/>
      <c r="H895" s="224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5"/>
      <c r="B896" s="5"/>
      <c r="C896" s="5"/>
      <c r="D896" s="5"/>
      <c r="E896" s="223"/>
      <c r="F896" s="223"/>
      <c r="G896" s="223"/>
      <c r="H896" s="224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5"/>
      <c r="B897" s="5"/>
      <c r="C897" s="5"/>
      <c r="D897" s="5"/>
      <c r="E897" s="223"/>
      <c r="F897" s="223"/>
      <c r="G897" s="223"/>
      <c r="H897" s="224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5"/>
      <c r="B898" s="5"/>
      <c r="C898" s="5"/>
      <c r="D898" s="5"/>
      <c r="E898" s="223"/>
      <c r="F898" s="223"/>
      <c r="G898" s="223"/>
      <c r="H898" s="224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5"/>
      <c r="B899" s="5"/>
      <c r="C899" s="5"/>
      <c r="D899" s="5"/>
      <c r="E899" s="223"/>
      <c r="F899" s="223"/>
      <c r="G899" s="223"/>
      <c r="H899" s="224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5"/>
      <c r="B900" s="5"/>
      <c r="C900" s="5"/>
      <c r="D900" s="5"/>
      <c r="E900" s="223"/>
      <c r="F900" s="223"/>
      <c r="G900" s="223"/>
      <c r="H900" s="224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5"/>
      <c r="B901" s="5"/>
      <c r="C901" s="5"/>
      <c r="D901" s="5"/>
      <c r="E901" s="223"/>
      <c r="F901" s="223"/>
      <c r="G901" s="223"/>
      <c r="H901" s="224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5"/>
      <c r="B902" s="5"/>
      <c r="C902" s="5"/>
      <c r="D902" s="5"/>
      <c r="E902" s="223"/>
      <c r="F902" s="223"/>
      <c r="G902" s="223"/>
      <c r="H902" s="224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5"/>
      <c r="B903" s="5"/>
      <c r="C903" s="5"/>
      <c r="D903" s="5"/>
      <c r="E903" s="223"/>
      <c r="F903" s="223"/>
      <c r="G903" s="223"/>
      <c r="H903" s="224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5"/>
      <c r="B904" s="5"/>
      <c r="C904" s="5"/>
      <c r="D904" s="5"/>
      <c r="E904" s="223"/>
      <c r="F904" s="223"/>
      <c r="G904" s="223"/>
      <c r="H904" s="224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5"/>
      <c r="B905" s="5"/>
      <c r="C905" s="5"/>
      <c r="D905" s="5"/>
      <c r="E905" s="223"/>
      <c r="F905" s="223"/>
      <c r="G905" s="223"/>
      <c r="H905" s="224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5"/>
      <c r="B906" s="5"/>
      <c r="C906" s="5"/>
      <c r="D906" s="5"/>
      <c r="E906" s="223"/>
      <c r="F906" s="223"/>
      <c r="G906" s="223"/>
      <c r="H906" s="224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5"/>
      <c r="B907" s="5"/>
      <c r="C907" s="5"/>
      <c r="D907" s="5"/>
      <c r="E907" s="223"/>
      <c r="F907" s="223"/>
      <c r="G907" s="223"/>
      <c r="H907" s="224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5"/>
      <c r="B908" s="5"/>
      <c r="C908" s="5"/>
      <c r="D908" s="5"/>
      <c r="E908" s="223"/>
      <c r="F908" s="223"/>
      <c r="G908" s="223"/>
      <c r="H908" s="224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5"/>
      <c r="B909" s="5"/>
      <c r="C909" s="5"/>
      <c r="D909" s="5"/>
      <c r="E909" s="223"/>
      <c r="F909" s="223"/>
      <c r="G909" s="223"/>
      <c r="H909" s="224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5"/>
      <c r="B910" s="5"/>
      <c r="C910" s="5"/>
      <c r="D910" s="5"/>
      <c r="E910" s="223"/>
      <c r="F910" s="223"/>
      <c r="G910" s="223"/>
      <c r="H910" s="224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5"/>
      <c r="B911" s="5"/>
      <c r="C911" s="5"/>
      <c r="D911" s="5"/>
      <c r="E911" s="223"/>
      <c r="F911" s="223"/>
      <c r="G911" s="223"/>
      <c r="H911" s="224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5"/>
      <c r="B912" s="5"/>
      <c r="C912" s="5"/>
      <c r="D912" s="5"/>
      <c r="E912" s="223"/>
      <c r="F912" s="223"/>
      <c r="G912" s="223"/>
      <c r="H912" s="224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5"/>
      <c r="B913" s="5"/>
      <c r="C913" s="5"/>
      <c r="D913" s="5"/>
      <c r="E913" s="223"/>
      <c r="F913" s="223"/>
      <c r="G913" s="223"/>
      <c r="H913" s="224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5"/>
      <c r="B914" s="5"/>
      <c r="C914" s="5"/>
      <c r="D914" s="5"/>
      <c r="E914" s="223"/>
      <c r="F914" s="223"/>
      <c r="G914" s="223"/>
      <c r="H914" s="224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5"/>
      <c r="B915" s="5"/>
      <c r="C915" s="5"/>
      <c r="D915" s="5"/>
      <c r="E915" s="223"/>
      <c r="F915" s="223"/>
      <c r="G915" s="223"/>
      <c r="H915" s="224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5"/>
      <c r="B916" s="5"/>
      <c r="C916" s="5"/>
      <c r="D916" s="5"/>
      <c r="E916" s="223"/>
      <c r="F916" s="223"/>
      <c r="G916" s="223"/>
      <c r="H916" s="224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5"/>
      <c r="B917" s="5"/>
      <c r="C917" s="5"/>
      <c r="D917" s="5"/>
      <c r="E917" s="223"/>
      <c r="F917" s="223"/>
      <c r="G917" s="223"/>
      <c r="H917" s="224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5"/>
      <c r="B918" s="5"/>
      <c r="C918" s="5"/>
      <c r="D918" s="5"/>
      <c r="E918" s="223"/>
      <c r="F918" s="223"/>
      <c r="G918" s="223"/>
      <c r="H918" s="224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5"/>
      <c r="B919" s="5"/>
      <c r="C919" s="5"/>
      <c r="D919" s="5"/>
      <c r="E919" s="223"/>
      <c r="F919" s="223"/>
      <c r="G919" s="223"/>
      <c r="H919" s="224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5"/>
      <c r="B920" s="5"/>
      <c r="C920" s="5"/>
      <c r="D920" s="5"/>
      <c r="E920" s="223"/>
      <c r="F920" s="223"/>
      <c r="G920" s="223"/>
      <c r="H920" s="224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5"/>
      <c r="B921" s="5"/>
      <c r="C921" s="5"/>
      <c r="D921" s="5"/>
      <c r="E921" s="223"/>
      <c r="F921" s="223"/>
      <c r="G921" s="223"/>
      <c r="H921" s="224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5"/>
      <c r="B922" s="5"/>
      <c r="C922" s="5"/>
      <c r="D922" s="5"/>
      <c r="E922" s="223"/>
      <c r="F922" s="223"/>
      <c r="G922" s="223"/>
      <c r="H922" s="224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5"/>
      <c r="B923" s="5"/>
      <c r="C923" s="5"/>
      <c r="D923" s="5"/>
      <c r="E923" s="223"/>
      <c r="F923" s="223"/>
      <c r="G923" s="223"/>
      <c r="H923" s="224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5"/>
      <c r="B924" s="5"/>
      <c r="C924" s="5"/>
      <c r="D924" s="5"/>
      <c r="E924" s="223"/>
      <c r="F924" s="223"/>
      <c r="G924" s="223"/>
      <c r="H924" s="224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5"/>
      <c r="B925" s="5"/>
      <c r="C925" s="5"/>
      <c r="D925" s="5"/>
      <c r="E925" s="223"/>
      <c r="F925" s="223"/>
      <c r="G925" s="223"/>
      <c r="H925" s="224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5"/>
      <c r="B926" s="5"/>
      <c r="C926" s="5"/>
      <c r="D926" s="5"/>
      <c r="E926" s="223"/>
      <c r="F926" s="223"/>
      <c r="G926" s="223"/>
      <c r="H926" s="224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5"/>
      <c r="B927" s="5"/>
      <c r="C927" s="5"/>
      <c r="D927" s="5"/>
      <c r="E927" s="223"/>
      <c r="F927" s="223"/>
      <c r="G927" s="223"/>
      <c r="H927" s="224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5"/>
      <c r="B928" s="5"/>
      <c r="C928" s="5"/>
      <c r="D928" s="5"/>
      <c r="E928" s="223"/>
      <c r="F928" s="223"/>
      <c r="G928" s="223"/>
      <c r="H928" s="224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5"/>
      <c r="B929" s="5"/>
      <c r="C929" s="5"/>
      <c r="D929" s="5"/>
      <c r="E929" s="223"/>
      <c r="F929" s="223"/>
      <c r="G929" s="223"/>
      <c r="H929" s="224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5"/>
      <c r="B930" s="5"/>
      <c r="C930" s="5"/>
      <c r="D930" s="5"/>
      <c r="E930" s="223"/>
      <c r="F930" s="223"/>
      <c r="G930" s="223"/>
      <c r="H930" s="224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5"/>
      <c r="B931" s="5"/>
      <c r="C931" s="5"/>
      <c r="D931" s="5"/>
      <c r="E931" s="223"/>
      <c r="F931" s="223"/>
      <c r="G931" s="223"/>
      <c r="H931" s="224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5"/>
      <c r="B932" s="5"/>
      <c r="C932" s="5"/>
      <c r="D932" s="5"/>
      <c r="E932" s="223"/>
      <c r="F932" s="223"/>
      <c r="G932" s="223"/>
      <c r="H932" s="224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5"/>
      <c r="B933" s="5"/>
      <c r="C933" s="5"/>
      <c r="D933" s="5"/>
      <c r="E933" s="223"/>
      <c r="F933" s="223"/>
      <c r="G933" s="223"/>
      <c r="H933" s="224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5"/>
      <c r="B934" s="5"/>
      <c r="C934" s="5"/>
      <c r="D934" s="5"/>
      <c r="E934" s="223"/>
      <c r="F934" s="223"/>
      <c r="G934" s="223"/>
      <c r="H934" s="224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5"/>
      <c r="B935" s="5"/>
      <c r="C935" s="5"/>
      <c r="D935" s="5"/>
      <c r="E935" s="223"/>
      <c r="F935" s="223"/>
      <c r="G935" s="223"/>
      <c r="H935" s="224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5"/>
      <c r="B936" s="5"/>
      <c r="C936" s="5"/>
      <c r="D936" s="5"/>
      <c r="E936" s="223"/>
      <c r="F936" s="223"/>
      <c r="G936" s="223"/>
      <c r="H936" s="224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5"/>
      <c r="B937" s="5"/>
      <c r="C937" s="5"/>
      <c r="D937" s="5"/>
      <c r="E937" s="223"/>
      <c r="F937" s="223"/>
      <c r="G937" s="223"/>
      <c r="H937" s="224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5"/>
      <c r="B938" s="5"/>
      <c r="C938" s="5"/>
      <c r="D938" s="5"/>
      <c r="E938" s="223"/>
      <c r="F938" s="223"/>
      <c r="G938" s="223"/>
      <c r="H938" s="224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5"/>
      <c r="B939" s="5"/>
      <c r="C939" s="5"/>
      <c r="D939" s="5"/>
      <c r="E939" s="223"/>
      <c r="F939" s="223"/>
      <c r="G939" s="223"/>
      <c r="H939" s="224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5"/>
      <c r="B940" s="5"/>
      <c r="C940" s="5"/>
      <c r="D940" s="5"/>
      <c r="E940" s="223"/>
      <c r="F940" s="223"/>
      <c r="G940" s="223"/>
      <c r="H940" s="224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5"/>
      <c r="B941" s="5"/>
      <c r="C941" s="5"/>
      <c r="D941" s="5"/>
      <c r="E941" s="223"/>
      <c r="F941" s="223"/>
      <c r="G941" s="223"/>
      <c r="H941" s="224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5"/>
      <c r="B942" s="5"/>
      <c r="C942" s="5"/>
      <c r="D942" s="5"/>
      <c r="E942" s="223"/>
      <c r="F942" s="223"/>
      <c r="G942" s="223"/>
      <c r="H942" s="224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5"/>
      <c r="B943" s="5"/>
      <c r="C943" s="5"/>
      <c r="D943" s="5"/>
      <c r="E943" s="223"/>
      <c r="F943" s="223"/>
      <c r="G943" s="223"/>
      <c r="H943" s="224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5"/>
      <c r="B944" s="5"/>
      <c r="C944" s="5"/>
      <c r="D944" s="5"/>
      <c r="E944" s="223"/>
      <c r="F944" s="223"/>
      <c r="G944" s="223"/>
      <c r="H944" s="224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5"/>
      <c r="B945" s="5"/>
      <c r="C945" s="5"/>
      <c r="D945" s="5"/>
      <c r="E945" s="223"/>
      <c r="F945" s="223"/>
      <c r="G945" s="223"/>
      <c r="H945" s="224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5"/>
      <c r="B946" s="5"/>
      <c r="C946" s="5"/>
      <c r="D946" s="5"/>
      <c r="E946" s="223"/>
      <c r="F946" s="223"/>
      <c r="G946" s="223"/>
      <c r="H946" s="224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5"/>
      <c r="B947" s="5"/>
      <c r="C947" s="5"/>
      <c r="D947" s="5"/>
      <c r="E947" s="223"/>
      <c r="F947" s="223"/>
      <c r="G947" s="223"/>
      <c r="H947" s="224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5"/>
      <c r="B948" s="5"/>
      <c r="C948" s="5"/>
      <c r="D948" s="5"/>
      <c r="E948" s="223"/>
      <c r="F948" s="223"/>
      <c r="G948" s="223"/>
      <c r="H948" s="224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5"/>
      <c r="B949" s="5"/>
      <c r="C949" s="5"/>
      <c r="D949" s="5"/>
      <c r="E949" s="223"/>
      <c r="F949" s="223"/>
      <c r="G949" s="223"/>
      <c r="H949" s="224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5"/>
      <c r="B950" s="5"/>
      <c r="C950" s="5"/>
      <c r="D950" s="5"/>
      <c r="E950" s="223"/>
      <c r="F950" s="223"/>
      <c r="G950" s="223"/>
      <c r="H950" s="224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5"/>
      <c r="B951" s="5"/>
      <c r="C951" s="5"/>
      <c r="D951" s="5"/>
      <c r="E951" s="223"/>
      <c r="F951" s="223"/>
      <c r="G951" s="223"/>
      <c r="H951" s="224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5"/>
      <c r="B952" s="5"/>
      <c r="C952" s="5"/>
      <c r="D952" s="5"/>
      <c r="E952" s="223"/>
      <c r="F952" s="223"/>
      <c r="G952" s="223"/>
      <c r="H952" s="224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5"/>
      <c r="B953" s="5"/>
      <c r="C953" s="5"/>
      <c r="D953" s="5"/>
      <c r="E953" s="223"/>
      <c r="F953" s="223"/>
      <c r="G953" s="223"/>
      <c r="H953" s="224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5"/>
      <c r="B954" s="5"/>
      <c r="C954" s="5"/>
      <c r="D954" s="5"/>
      <c r="E954" s="223"/>
      <c r="F954" s="223"/>
      <c r="G954" s="223"/>
      <c r="H954" s="224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5"/>
      <c r="B955" s="5"/>
      <c r="C955" s="5"/>
      <c r="D955" s="5"/>
      <c r="E955" s="223"/>
      <c r="F955" s="223"/>
      <c r="G955" s="223"/>
      <c r="H955" s="224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5"/>
      <c r="B956" s="5"/>
      <c r="C956" s="5"/>
      <c r="D956" s="5"/>
      <c r="E956" s="223"/>
      <c r="F956" s="223"/>
      <c r="G956" s="223"/>
      <c r="H956" s="224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5"/>
      <c r="B957" s="5"/>
      <c r="C957" s="5"/>
      <c r="D957" s="5"/>
      <c r="E957" s="223"/>
      <c r="F957" s="223"/>
      <c r="G957" s="223"/>
      <c r="H957" s="224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5"/>
      <c r="B958" s="5"/>
      <c r="C958" s="5"/>
      <c r="D958" s="5"/>
      <c r="E958" s="223"/>
      <c r="F958" s="223"/>
      <c r="G958" s="223"/>
      <c r="H958" s="224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5"/>
      <c r="B959" s="5"/>
      <c r="C959" s="5"/>
      <c r="D959" s="5"/>
      <c r="E959" s="223"/>
      <c r="F959" s="223"/>
      <c r="G959" s="223"/>
      <c r="H959" s="224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5"/>
      <c r="B960" s="5"/>
      <c r="C960" s="5"/>
      <c r="D960" s="5"/>
      <c r="E960" s="223"/>
      <c r="F960" s="223"/>
      <c r="G960" s="223"/>
      <c r="H960" s="224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5"/>
      <c r="B961" s="5"/>
      <c r="C961" s="5"/>
      <c r="D961" s="5"/>
      <c r="E961" s="223"/>
      <c r="F961" s="223"/>
      <c r="G961" s="223"/>
      <c r="H961" s="224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5"/>
      <c r="B962" s="5"/>
      <c r="C962" s="5"/>
      <c r="D962" s="5"/>
      <c r="E962" s="223"/>
      <c r="F962" s="223"/>
      <c r="G962" s="223"/>
      <c r="H962" s="224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5"/>
      <c r="B963" s="5"/>
      <c r="C963" s="5"/>
      <c r="D963" s="5"/>
      <c r="E963" s="223"/>
      <c r="F963" s="223"/>
      <c r="G963" s="223"/>
      <c r="H963" s="224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5"/>
      <c r="B964" s="5"/>
      <c r="C964" s="5"/>
      <c r="D964" s="5"/>
      <c r="E964" s="223"/>
      <c r="F964" s="223"/>
      <c r="G964" s="223"/>
      <c r="H964" s="224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5"/>
      <c r="B965" s="5"/>
      <c r="C965" s="5"/>
      <c r="D965" s="5"/>
      <c r="E965" s="223"/>
      <c r="F965" s="223"/>
      <c r="G965" s="223"/>
      <c r="H965" s="224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5"/>
      <c r="B966" s="5"/>
      <c r="C966" s="5"/>
      <c r="D966" s="5"/>
      <c r="E966" s="223"/>
      <c r="F966" s="223"/>
      <c r="G966" s="223"/>
      <c r="H966" s="224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5"/>
      <c r="B967" s="5"/>
      <c r="C967" s="5"/>
      <c r="D967" s="5"/>
      <c r="E967" s="223"/>
      <c r="F967" s="223"/>
      <c r="G967" s="223"/>
      <c r="H967" s="224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5"/>
      <c r="B968" s="5"/>
      <c r="C968" s="5"/>
      <c r="D968" s="5"/>
      <c r="E968" s="223"/>
      <c r="F968" s="223"/>
      <c r="G968" s="223"/>
      <c r="H968" s="224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5"/>
      <c r="B969" s="5"/>
      <c r="C969" s="5"/>
      <c r="D969" s="5"/>
      <c r="E969" s="223"/>
      <c r="F969" s="223"/>
      <c r="G969" s="223"/>
      <c r="H969" s="224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5"/>
      <c r="B970" s="5"/>
      <c r="C970" s="5"/>
      <c r="D970" s="5"/>
      <c r="E970" s="223"/>
      <c r="F970" s="223"/>
      <c r="G970" s="223"/>
      <c r="H970" s="224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5"/>
      <c r="B971" s="5"/>
      <c r="C971" s="5"/>
      <c r="D971" s="5"/>
      <c r="E971" s="223"/>
      <c r="F971" s="223"/>
      <c r="G971" s="223"/>
      <c r="H971" s="224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5"/>
      <c r="B972" s="5"/>
      <c r="C972" s="5"/>
      <c r="D972" s="5"/>
      <c r="E972" s="223"/>
      <c r="F972" s="223"/>
      <c r="G972" s="223"/>
      <c r="H972" s="224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5"/>
      <c r="B973" s="5"/>
      <c r="C973" s="5"/>
      <c r="D973" s="5"/>
      <c r="E973" s="223"/>
      <c r="F973" s="223"/>
      <c r="G973" s="223"/>
      <c r="H973" s="224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5"/>
      <c r="B974" s="5"/>
      <c r="C974" s="5"/>
      <c r="D974" s="5"/>
      <c r="E974" s="223"/>
      <c r="F974" s="223"/>
      <c r="G974" s="223"/>
      <c r="H974" s="224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5"/>
      <c r="B975" s="5"/>
      <c r="C975" s="5"/>
      <c r="D975" s="5"/>
      <c r="E975" s="223"/>
      <c r="F975" s="223"/>
      <c r="G975" s="223"/>
      <c r="H975" s="224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5"/>
      <c r="B976" s="5"/>
      <c r="C976" s="5"/>
      <c r="D976" s="5"/>
      <c r="E976" s="223"/>
      <c r="F976" s="223"/>
      <c r="G976" s="223"/>
      <c r="H976" s="224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5"/>
      <c r="B977" s="5"/>
      <c r="C977" s="5"/>
      <c r="D977" s="5"/>
      <c r="E977" s="223"/>
      <c r="F977" s="223"/>
      <c r="G977" s="223"/>
      <c r="H977" s="224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5"/>
      <c r="B978" s="5"/>
      <c r="C978" s="5"/>
      <c r="D978" s="5"/>
      <c r="E978" s="223"/>
      <c r="F978" s="223"/>
      <c r="G978" s="223"/>
      <c r="H978" s="224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5"/>
      <c r="B979" s="5"/>
      <c r="C979" s="5"/>
      <c r="D979" s="5"/>
      <c r="E979" s="223"/>
      <c r="F979" s="223"/>
      <c r="G979" s="223"/>
      <c r="H979" s="224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5"/>
      <c r="B980" s="5"/>
      <c r="C980" s="5"/>
      <c r="D980" s="5"/>
      <c r="E980" s="223"/>
      <c r="F980" s="223"/>
      <c r="G980" s="223"/>
      <c r="H980" s="224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5"/>
      <c r="B981" s="5"/>
      <c r="C981" s="5"/>
      <c r="D981" s="5"/>
      <c r="E981" s="223"/>
      <c r="F981" s="223"/>
      <c r="G981" s="223"/>
      <c r="H981" s="224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5"/>
      <c r="B982" s="5"/>
      <c r="C982" s="5"/>
      <c r="D982" s="5"/>
      <c r="E982" s="223"/>
      <c r="F982" s="223"/>
      <c r="G982" s="223"/>
      <c r="H982" s="224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5"/>
      <c r="B983" s="5"/>
      <c r="C983" s="5"/>
      <c r="D983" s="5"/>
      <c r="E983" s="223"/>
      <c r="F983" s="223"/>
      <c r="G983" s="223"/>
      <c r="H983" s="224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5"/>
      <c r="B984" s="5"/>
      <c r="C984" s="5"/>
      <c r="D984" s="5"/>
      <c r="E984" s="223"/>
      <c r="F984" s="223"/>
      <c r="G984" s="223"/>
      <c r="H984" s="224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5"/>
      <c r="B985" s="5"/>
      <c r="C985" s="5"/>
      <c r="D985" s="5"/>
      <c r="E985" s="223"/>
      <c r="F985" s="223"/>
      <c r="G985" s="223"/>
      <c r="H985" s="224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5"/>
      <c r="B986" s="5"/>
      <c r="C986" s="5"/>
      <c r="D986" s="5"/>
      <c r="E986" s="223"/>
      <c r="F986" s="223"/>
      <c r="G986" s="223"/>
      <c r="H986" s="224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5"/>
      <c r="B987" s="5"/>
      <c r="C987" s="5"/>
      <c r="D987" s="5"/>
      <c r="E987" s="223"/>
      <c r="F987" s="223"/>
      <c r="G987" s="223"/>
      <c r="H987" s="224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5"/>
      <c r="B988" s="5"/>
      <c r="C988" s="5"/>
      <c r="D988" s="5"/>
      <c r="E988" s="223"/>
      <c r="F988" s="223"/>
      <c r="G988" s="223"/>
      <c r="H988" s="224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5"/>
      <c r="B989" s="5"/>
      <c r="C989" s="5"/>
      <c r="D989" s="5"/>
      <c r="E989" s="223"/>
      <c r="F989" s="223"/>
      <c r="G989" s="223"/>
      <c r="H989" s="224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5"/>
      <c r="B990" s="5"/>
      <c r="C990" s="5"/>
      <c r="D990" s="5"/>
      <c r="E990" s="223"/>
      <c r="F990" s="223"/>
      <c r="G990" s="223"/>
      <c r="H990" s="224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5"/>
      <c r="B991" s="5"/>
      <c r="C991" s="5"/>
      <c r="D991" s="5"/>
      <c r="E991" s="223"/>
      <c r="F991" s="223"/>
      <c r="G991" s="223"/>
      <c r="H991" s="224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5"/>
      <c r="B992" s="5"/>
      <c r="C992" s="5"/>
      <c r="D992" s="5"/>
      <c r="E992" s="223"/>
      <c r="F992" s="223"/>
      <c r="G992" s="223"/>
      <c r="H992" s="224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5"/>
      <c r="B993" s="5"/>
      <c r="C993" s="5"/>
      <c r="D993" s="5"/>
      <c r="E993" s="223"/>
      <c r="F993" s="223"/>
      <c r="G993" s="223"/>
      <c r="H993" s="224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5"/>
      <c r="B994" s="5"/>
      <c r="C994" s="5"/>
      <c r="D994" s="5"/>
      <c r="E994" s="223"/>
      <c r="F994" s="223"/>
      <c r="G994" s="223"/>
      <c r="H994" s="224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5"/>
      <c r="B995" s="5"/>
      <c r="C995" s="5"/>
      <c r="D995" s="5"/>
      <c r="E995" s="223"/>
      <c r="F995" s="223"/>
      <c r="G995" s="223"/>
      <c r="H995" s="224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5"/>
      <c r="B996" s="5"/>
      <c r="C996" s="5"/>
      <c r="D996" s="5"/>
      <c r="E996" s="223"/>
      <c r="F996" s="223"/>
      <c r="G996" s="223"/>
      <c r="H996" s="224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5"/>
      <c r="B997" s="5"/>
      <c r="C997" s="5"/>
      <c r="D997" s="5"/>
      <c r="E997" s="223"/>
      <c r="F997" s="223"/>
      <c r="G997" s="223"/>
      <c r="H997" s="224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5"/>
      <c r="B998" s="5"/>
      <c r="C998" s="5"/>
      <c r="D998" s="5"/>
      <c r="E998" s="223"/>
      <c r="F998" s="223"/>
      <c r="G998" s="223"/>
      <c r="H998" s="224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5"/>
      <c r="B999" s="5"/>
      <c r="C999" s="5"/>
      <c r="D999" s="5"/>
      <c r="E999" s="223"/>
      <c r="F999" s="223"/>
      <c r="G999" s="223"/>
      <c r="H999" s="224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5"/>
      <c r="B1000" s="5"/>
      <c r="C1000" s="5"/>
      <c r="D1000" s="5"/>
      <c r="E1000" s="223"/>
      <c r="F1000" s="223"/>
      <c r="G1000" s="223"/>
      <c r="H1000" s="224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A3:H3"/>
    <mergeCell ref="A4:H4"/>
    <mergeCell ref="A7:H7"/>
    <mergeCell ref="A31:B31"/>
  </mergeCells>
  <printOptions/>
  <pageMargins bottom="0.75" footer="0.0" header="0.0" left="0.7" right="0.2" top="0.75"/>
  <pageSetup orientation="portrait"/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14"/>
    <col customWidth="1" min="2" max="2" width="25.57"/>
    <col customWidth="1" min="3" max="3" width="16.29"/>
    <col customWidth="1" min="4" max="4" width="6.57"/>
    <col customWidth="1" min="5" max="5" width="15.29"/>
    <col customWidth="1" min="6" max="7" width="17.57"/>
    <col customWidth="1" min="8" max="8" width="15.29"/>
    <col customWidth="1" min="9" max="11" width="9.14"/>
    <col customWidth="1" min="12" max="26" width="8.71"/>
  </cols>
  <sheetData>
    <row r="1" ht="6.75" customHeight="1">
      <c r="A1" s="5"/>
      <c r="B1" s="5"/>
      <c r="C1" s="5"/>
      <c r="D1" s="5"/>
      <c r="E1" s="223"/>
      <c r="F1" s="223"/>
      <c r="G1" s="223"/>
      <c r="H1" s="224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.5" hidden="1" customHeight="1">
      <c r="A2" s="5"/>
      <c r="B2" s="5"/>
      <c r="C2" s="5"/>
      <c r="D2" s="5"/>
      <c r="E2" s="223"/>
      <c r="F2" s="223"/>
      <c r="G2" s="223"/>
      <c r="H2" s="224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2" t="s">
        <v>0</v>
      </c>
      <c r="B3" s="3"/>
      <c r="C3" s="3"/>
      <c r="D3" s="3"/>
      <c r="E3" s="3"/>
      <c r="F3" s="3"/>
      <c r="G3" s="3"/>
      <c r="H3" s="4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6" t="s">
        <v>2</v>
      </c>
      <c r="B4" s="3"/>
      <c r="C4" s="3"/>
      <c r="D4" s="3"/>
      <c r="E4" s="3"/>
      <c r="F4" s="3"/>
      <c r="G4" s="3"/>
      <c r="H4" s="4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6.5" customHeight="1">
      <c r="A5" s="5"/>
      <c r="B5" s="5"/>
      <c r="C5" s="5"/>
      <c r="D5" s="5"/>
      <c r="E5" s="223"/>
      <c r="F5" s="223"/>
      <c r="G5" s="223"/>
      <c r="H5" s="224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5"/>
      <c r="B6" s="5"/>
      <c r="C6" s="5"/>
      <c r="D6" s="5"/>
      <c r="E6" s="223"/>
      <c r="F6" s="223"/>
      <c r="G6" s="223"/>
      <c r="H6" s="224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6.5" customHeight="1">
      <c r="A7" s="12"/>
      <c r="B7" s="3"/>
      <c r="C7" s="3"/>
      <c r="D7" s="3"/>
      <c r="E7" s="3"/>
      <c r="F7" s="3"/>
      <c r="G7" s="3"/>
      <c r="H7" s="4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8.0" customHeight="1">
      <c r="A8" s="250"/>
      <c r="B8" s="121"/>
      <c r="C8" s="121"/>
      <c r="D8" s="121"/>
      <c r="E8" s="250"/>
      <c r="F8" s="250"/>
      <c r="G8" s="250"/>
      <c r="H8" s="224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143" t="s">
        <v>220</v>
      </c>
      <c r="B9" s="143" t="s">
        <v>4</v>
      </c>
      <c r="C9" s="143" t="s">
        <v>5</v>
      </c>
      <c r="D9" s="143" t="s">
        <v>225</v>
      </c>
      <c r="E9" s="147" t="s">
        <v>226</v>
      </c>
      <c r="F9" s="147" t="s">
        <v>9</v>
      </c>
      <c r="G9" s="147" t="s">
        <v>118</v>
      </c>
      <c r="H9" s="143" t="s">
        <v>119</v>
      </c>
      <c r="I9" s="225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24.75" customHeight="1">
      <c r="A10" s="251" t="s">
        <v>14</v>
      </c>
      <c r="B10" s="252" t="s">
        <v>233</v>
      </c>
      <c r="C10" s="151"/>
      <c r="D10" s="151">
        <v>31.0</v>
      </c>
      <c r="E10" s="253">
        <v>200000.0</v>
      </c>
      <c r="F10" s="253">
        <f>D10*6451.61-200000</f>
        <v>-0.09</v>
      </c>
      <c r="G10" s="253"/>
      <c r="H10" s="256" t="s">
        <v>16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4.75" customHeight="1">
      <c r="A11" s="251" t="s">
        <v>18</v>
      </c>
      <c r="B11" s="252" t="s">
        <v>168</v>
      </c>
      <c r="C11" s="151"/>
      <c r="D11" s="151">
        <v>31.0</v>
      </c>
      <c r="E11" s="253">
        <v>130000.0</v>
      </c>
      <c r="F11" s="254">
        <f>D11*4193.5483</f>
        <v>129999.9973</v>
      </c>
      <c r="G11" s="253">
        <f>SUM(130000-30000-50000-50000)</f>
        <v>0</v>
      </c>
      <c r="H11" s="255" t="s">
        <v>84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4.75" customHeight="1">
      <c r="A12" s="251" t="s">
        <v>22</v>
      </c>
      <c r="B12" s="149" t="s">
        <v>144</v>
      </c>
      <c r="C12" s="232" t="s">
        <v>199</v>
      </c>
      <c r="D12" s="151">
        <v>18.0</v>
      </c>
      <c r="E12" s="253">
        <v>145000.0</v>
      </c>
      <c r="F12" s="253">
        <f>D12*4677.41-84193</f>
        <v>0.38</v>
      </c>
      <c r="G12" s="253"/>
      <c r="H12" s="256" t="s">
        <v>74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4.75" customHeight="1">
      <c r="A13" s="251" t="s">
        <v>25</v>
      </c>
      <c r="B13" s="149" t="s">
        <v>169</v>
      </c>
      <c r="C13" s="232" t="s">
        <v>201</v>
      </c>
      <c r="D13" s="151">
        <v>17.0</v>
      </c>
      <c r="E13" s="253">
        <v>85000.0</v>
      </c>
      <c r="F13" s="253">
        <f>D13*2741.93-30161-16452</f>
        <v>-0.19</v>
      </c>
      <c r="G13" s="253"/>
      <c r="H13" s="256" t="s">
        <v>227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4.75" customHeight="1">
      <c r="A14" s="251" t="s">
        <v>27</v>
      </c>
      <c r="B14" s="149" t="s">
        <v>28</v>
      </c>
      <c r="C14" s="232" t="s">
        <v>201</v>
      </c>
      <c r="D14" s="151">
        <v>17.0</v>
      </c>
      <c r="E14" s="253">
        <v>50000.0</v>
      </c>
      <c r="F14" s="253">
        <f>D14*1612.9-27419</f>
        <v>0.3</v>
      </c>
      <c r="G14" s="253"/>
      <c r="H14" s="256" t="s">
        <v>228</v>
      </c>
      <c r="I14" s="5"/>
      <c r="J14" s="5"/>
      <c r="K14" s="51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4.75" customHeight="1">
      <c r="A15" s="251" t="s">
        <v>30</v>
      </c>
      <c r="B15" s="252" t="s">
        <v>222</v>
      </c>
      <c r="C15" s="151"/>
      <c r="D15" s="151">
        <v>31.0</v>
      </c>
      <c r="E15" s="253">
        <v>50000.0</v>
      </c>
      <c r="F15" s="253">
        <f>D15*1612.9-20000</f>
        <v>29999.9</v>
      </c>
      <c r="G15" s="253"/>
      <c r="H15" s="256" t="s">
        <v>223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4.75" customHeight="1">
      <c r="A16" s="251" t="s">
        <v>34</v>
      </c>
      <c r="B16" s="252" t="s">
        <v>81</v>
      </c>
      <c r="C16" s="232">
        <v>45813.0</v>
      </c>
      <c r="D16" s="151">
        <v>26.0</v>
      </c>
      <c r="E16" s="253">
        <v>40000.0</v>
      </c>
      <c r="F16" s="253">
        <f>D16*1290.322</f>
        <v>33548.372</v>
      </c>
      <c r="G16" s="253"/>
      <c r="H16" s="256" t="s">
        <v>231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4.75" customHeight="1">
      <c r="A17" s="251" t="s">
        <v>37</v>
      </c>
      <c r="B17" s="257" t="s">
        <v>120</v>
      </c>
      <c r="C17" s="151"/>
      <c r="D17" s="151">
        <v>30.0</v>
      </c>
      <c r="E17" s="253">
        <v>50000.0</v>
      </c>
      <c r="F17" s="253">
        <f>D17*1612.903</f>
        <v>48387.09</v>
      </c>
      <c r="G17" s="253"/>
      <c r="H17" s="256" t="s">
        <v>231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4.75" customHeight="1">
      <c r="A18" s="251" t="s">
        <v>41</v>
      </c>
      <c r="B18" s="252" t="s">
        <v>224</v>
      </c>
      <c r="C18" s="232" t="s">
        <v>199</v>
      </c>
      <c r="D18" s="151">
        <v>18.0</v>
      </c>
      <c r="E18" s="253">
        <v>35000.0</v>
      </c>
      <c r="F18" s="253">
        <f>D18*1129.032</f>
        <v>20322.576</v>
      </c>
      <c r="G18" s="253"/>
      <c r="H18" s="256" t="s">
        <v>231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4.75" customHeight="1">
      <c r="A19" s="251" t="s">
        <v>44</v>
      </c>
      <c r="B19" s="252" t="s">
        <v>232</v>
      </c>
      <c r="C19" s="232">
        <v>45996.0</v>
      </c>
      <c r="D19" s="151">
        <v>20.0</v>
      </c>
      <c r="E19" s="253">
        <v>20000.0</v>
      </c>
      <c r="F19" s="253">
        <f t="shared" ref="F19:F20" si="1">D19*645.161</f>
        <v>12903.22</v>
      </c>
      <c r="G19" s="253"/>
      <c r="H19" s="256" t="s">
        <v>36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4.75" customHeight="1">
      <c r="A20" s="251" t="s">
        <v>47</v>
      </c>
      <c r="B20" s="257" t="s">
        <v>38</v>
      </c>
      <c r="C20" s="232">
        <v>45935.0</v>
      </c>
      <c r="D20" s="151">
        <v>22.0</v>
      </c>
      <c r="E20" s="253">
        <v>20000.0</v>
      </c>
      <c r="F20" s="253">
        <f t="shared" si="1"/>
        <v>14193.542</v>
      </c>
      <c r="G20" s="253"/>
      <c r="H20" s="256" t="s">
        <v>43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4.75" customHeight="1">
      <c r="A21" s="251" t="s">
        <v>49</v>
      </c>
      <c r="B21" s="252"/>
      <c r="C21" s="151"/>
      <c r="D21" s="151"/>
      <c r="E21" s="253"/>
      <c r="F21" s="253"/>
      <c r="G21" s="253"/>
      <c r="H21" s="256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4.75" customHeight="1">
      <c r="A22" s="251" t="s">
        <v>51</v>
      </c>
      <c r="B22" s="252" t="s">
        <v>233</v>
      </c>
      <c r="C22" s="253" t="s">
        <v>234</v>
      </c>
      <c r="D22" s="258"/>
      <c r="E22" s="253"/>
      <c r="F22" s="253">
        <v>100000.0</v>
      </c>
      <c r="G22" s="253"/>
      <c r="H22" s="256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4.75" customHeight="1">
      <c r="A23" s="251" t="s">
        <v>53</v>
      </c>
      <c r="B23" s="252"/>
      <c r="C23" s="151"/>
      <c r="D23" s="151"/>
      <c r="E23" s="253"/>
      <c r="F23" s="253"/>
      <c r="G23" s="253"/>
      <c r="H23" s="256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4.75" customHeight="1">
      <c r="A24" s="251" t="s">
        <v>55</v>
      </c>
      <c r="B24" s="252"/>
      <c r="C24" s="151"/>
      <c r="D24" s="151"/>
      <c r="E24" s="253"/>
      <c r="F24" s="253"/>
      <c r="G24" s="253"/>
      <c r="H24" s="256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4.75" customHeight="1">
      <c r="A25" s="252"/>
      <c r="B25" s="252"/>
      <c r="C25" s="151"/>
      <c r="D25" s="151"/>
      <c r="E25" s="253"/>
      <c r="F25" s="253"/>
      <c r="G25" s="253"/>
      <c r="H25" s="256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4.75" customHeight="1">
      <c r="A26" s="252"/>
      <c r="B26" s="252"/>
      <c r="C26" s="151"/>
      <c r="D26" s="151"/>
      <c r="E26" s="253"/>
      <c r="F26" s="253"/>
      <c r="G26" s="253"/>
      <c r="H26" s="256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4.75" customHeight="1">
      <c r="A27" s="252"/>
      <c r="B27" s="252"/>
      <c r="C27" s="151"/>
      <c r="D27" s="151"/>
      <c r="E27" s="253"/>
      <c r="F27" s="253"/>
      <c r="G27" s="253"/>
      <c r="H27" s="256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4.75" customHeight="1">
      <c r="A28" s="252"/>
      <c r="B28" s="252"/>
      <c r="C28" s="151"/>
      <c r="D28" s="151"/>
      <c r="E28" s="253"/>
      <c r="F28" s="253"/>
      <c r="G28" s="253"/>
      <c r="H28" s="256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4.75" customHeight="1">
      <c r="A29" s="252"/>
      <c r="B29" s="252"/>
      <c r="C29" s="151"/>
      <c r="D29" s="151"/>
      <c r="E29" s="253"/>
      <c r="F29" s="253"/>
      <c r="G29" s="253"/>
      <c r="H29" s="256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4.75" customHeight="1">
      <c r="A30" s="252"/>
      <c r="B30" s="252"/>
      <c r="C30" s="151"/>
      <c r="D30" s="151"/>
      <c r="E30" s="253"/>
      <c r="F30" s="253"/>
      <c r="G30" s="253"/>
      <c r="H30" s="256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4.75" customHeight="1">
      <c r="A31" s="252"/>
      <c r="B31" s="252"/>
      <c r="C31" s="151"/>
      <c r="D31" s="151"/>
      <c r="E31" s="253"/>
      <c r="F31" s="253"/>
      <c r="G31" s="253"/>
      <c r="H31" s="256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24.75" customHeight="1">
      <c r="A32" s="252"/>
      <c r="B32" s="252"/>
      <c r="C32" s="151"/>
      <c r="D32" s="151"/>
      <c r="E32" s="253"/>
      <c r="F32" s="253"/>
      <c r="G32" s="253"/>
      <c r="H32" s="256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24.75" customHeight="1">
      <c r="A33" s="189" t="s">
        <v>78</v>
      </c>
      <c r="B33" s="190"/>
      <c r="C33" s="191"/>
      <c r="D33" s="191"/>
      <c r="E33" s="152">
        <f t="shared" ref="E33:F33" si="2">SUM(E10:E32)</f>
        <v>825000</v>
      </c>
      <c r="F33" s="152">
        <f t="shared" si="2"/>
        <v>389355.0973</v>
      </c>
      <c r="G33" s="152"/>
      <c r="H33" s="256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121"/>
      <c r="B34" s="121"/>
      <c r="C34" s="121"/>
      <c r="D34" s="121"/>
      <c r="E34" s="250"/>
      <c r="F34" s="250"/>
      <c r="G34" s="250"/>
      <c r="H34" s="224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121"/>
      <c r="B35" s="121"/>
      <c r="C35" s="121"/>
      <c r="D35" s="121"/>
      <c r="E35" s="250"/>
      <c r="F35" s="250"/>
      <c r="G35" s="250"/>
      <c r="H35" s="224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121"/>
      <c r="B36" s="121"/>
      <c r="C36" s="121"/>
      <c r="D36" s="121"/>
      <c r="E36" s="250"/>
      <c r="F36" s="250"/>
      <c r="G36" s="250"/>
      <c r="H36" s="224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121"/>
      <c r="B37" s="121"/>
      <c r="C37" s="121"/>
      <c r="D37" s="121"/>
      <c r="E37" s="250"/>
      <c r="F37" s="250"/>
      <c r="G37" s="250"/>
      <c r="H37" s="224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121"/>
      <c r="B38" s="121"/>
      <c r="C38" s="121"/>
      <c r="D38" s="121"/>
      <c r="E38" s="250"/>
      <c r="F38" s="250"/>
      <c r="G38" s="250"/>
      <c r="H38" s="224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6.5" customHeight="1">
      <c r="A39" s="121"/>
      <c r="B39" s="121"/>
      <c r="C39" s="121"/>
      <c r="D39" s="121"/>
      <c r="E39" s="250"/>
      <c r="F39" s="250"/>
      <c r="G39" s="250"/>
      <c r="H39" s="224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6.5" customHeight="1">
      <c r="A40" s="121"/>
      <c r="B40" s="121"/>
      <c r="C40" s="121"/>
      <c r="D40" s="121"/>
      <c r="E40" s="250"/>
      <c r="F40" s="250"/>
      <c r="G40" s="250"/>
      <c r="H40" s="224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6.5" customHeight="1">
      <c r="A41" s="121"/>
      <c r="B41" s="121"/>
      <c r="C41" s="121"/>
      <c r="D41" s="121"/>
      <c r="E41" s="250"/>
      <c r="F41" s="250"/>
      <c r="G41" s="250"/>
      <c r="H41" s="224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121"/>
      <c r="B42" s="121"/>
      <c r="C42" s="121"/>
      <c r="D42" s="121"/>
      <c r="E42" s="250"/>
      <c r="F42" s="250"/>
      <c r="G42" s="250"/>
      <c r="H42" s="224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121"/>
      <c r="B43" s="121"/>
      <c r="C43" s="121"/>
      <c r="D43" s="121"/>
      <c r="E43" s="250"/>
      <c r="F43" s="250"/>
      <c r="G43" s="250"/>
      <c r="H43" s="224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5"/>
      <c r="B44" s="5"/>
      <c r="C44" s="5"/>
      <c r="D44" s="5"/>
      <c r="E44" s="223"/>
      <c r="F44" s="223"/>
      <c r="G44" s="223"/>
      <c r="H44" s="224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5"/>
      <c r="B45" s="5"/>
      <c r="C45" s="5"/>
      <c r="D45" s="5"/>
      <c r="E45" s="223"/>
      <c r="F45" s="223"/>
      <c r="G45" s="223"/>
      <c r="H45" s="224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5"/>
      <c r="B46" s="5"/>
      <c r="C46" s="5"/>
      <c r="D46" s="5"/>
      <c r="E46" s="223"/>
      <c r="F46" s="223"/>
      <c r="G46" s="223"/>
      <c r="H46" s="224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5"/>
      <c r="B47" s="5"/>
      <c r="C47" s="5"/>
      <c r="D47" s="5"/>
      <c r="E47" s="223"/>
      <c r="F47" s="223"/>
      <c r="G47" s="223"/>
      <c r="H47" s="224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5"/>
      <c r="B48" s="5"/>
      <c r="C48" s="5"/>
      <c r="D48" s="5"/>
      <c r="E48" s="223"/>
      <c r="F48" s="223"/>
      <c r="G48" s="223"/>
      <c r="H48" s="224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5"/>
      <c r="B49" s="5"/>
      <c r="C49" s="5"/>
      <c r="D49" s="5"/>
      <c r="E49" s="223"/>
      <c r="F49" s="223"/>
      <c r="G49" s="223"/>
      <c r="H49" s="224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5"/>
      <c r="B50" s="5"/>
      <c r="C50" s="5"/>
      <c r="D50" s="5"/>
      <c r="E50" s="223"/>
      <c r="F50" s="223"/>
      <c r="G50" s="223"/>
      <c r="H50" s="224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5"/>
      <c r="B51" s="5"/>
      <c r="C51" s="5"/>
      <c r="D51" s="5"/>
      <c r="E51" s="223"/>
      <c r="F51" s="223"/>
      <c r="G51" s="223"/>
      <c r="H51" s="224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5"/>
      <c r="B52" s="5"/>
      <c r="C52" s="5"/>
      <c r="D52" s="5"/>
      <c r="E52" s="223"/>
      <c r="F52" s="223"/>
      <c r="G52" s="223"/>
      <c r="H52" s="224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5"/>
      <c r="B53" s="5"/>
      <c r="C53" s="5"/>
      <c r="D53" s="5"/>
      <c r="E53" s="223"/>
      <c r="F53" s="223"/>
      <c r="G53" s="223"/>
      <c r="H53" s="224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5"/>
      <c r="B54" s="5"/>
      <c r="C54" s="5"/>
      <c r="D54" s="5"/>
      <c r="E54" s="223"/>
      <c r="F54" s="223"/>
      <c r="G54" s="223"/>
      <c r="H54" s="224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5"/>
      <c r="B55" s="5"/>
      <c r="C55" s="5"/>
      <c r="D55" s="5"/>
      <c r="E55" s="223"/>
      <c r="F55" s="223"/>
      <c r="G55" s="223"/>
      <c r="H55" s="224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6.5" customHeight="1">
      <c r="A56" s="5"/>
      <c r="B56" s="5"/>
      <c r="C56" s="5"/>
      <c r="D56" s="5"/>
      <c r="E56" s="223"/>
      <c r="F56" s="223"/>
      <c r="G56" s="223"/>
      <c r="H56" s="224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6.5" customHeight="1">
      <c r="A57" s="5"/>
      <c r="B57" s="5"/>
      <c r="C57" s="5"/>
      <c r="D57" s="5"/>
      <c r="E57" s="223"/>
      <c r="F57" s="223"/>
      <c r="G57" s="223"/>
      <c r="H57" s="224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5"/>
      <c r="B58" s="5"/>
      <c r="C58" s="5"/>
      <c r="D58" s="5"/>
      <c r="E58" s="223"/>
      <c r="F58" s="223"/>
      <c r="G58" s="223"/>
      <c r="H58" s="224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5"/>
      <c r="B59" s="5"/>
      <c r="C59" s="5"/>
      <c r="D59" s="5"/>
      <c r="E59" s="223"/>
      <c r="F59" s="223"/>
      <c r="G59" s="223"/>
      <c r="H59" s="224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5"/>
      <c r="B60" s="5"/>
      <c r="C60" s="5"/>
      <c r="D60" s="5"/>
      <c r="E60" s="223"/>
      <c r="F60" s="223"/>
      <c r="G60" s="223"/>
      <c r="H60" s="224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5"/>
      <c r="B61" s="5"/>
      <c r="C61" s="5"/>
      <c r="D61" s="5"/>
      <c r="E61" s="223"/>
      <c r="F61" s="223"/>
      <c r="G61" s="223"/>
      <c r="H61" s="224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5"/>
      <c r="B62" s="5"/>
      <c r="C62" s="5"/>
      <c r="D62" s="5"/>
      <c r="E62" s="223"/>
      <c r="F62" s="223"/>
      <c r="G62" s="223"/>
      <c r="H62" s="224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5"/>
      <c r="B63" s="5"/>
      <c r="C63" s="5"/>
      <c r="D63" s="5"/>
      <c r="E63" s="223"/>
      <c r="F63" s="223"/>
      <c r="G63" s="223"/>
      <c r="H63" s="224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5"/>
      <c r="B64" s="5"/>
      <c r="C64" s="5"/>
      <c r="D64" s="5"/>
      <c r="E64" s="223"/>
      <c r="F64" s="223"/>
      <c r="G64" s="223"/>
      <c r="H64" s="224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5"/>
      <c r="B65" s="5"/>
      <c r="C65" s="5"/>
      <c r="D65" s="5"/>
      <c r="E65" s="223"/>
      <c r="F65" s="223"/>
      <c r="G65" s="223"/>
      <c r="H65" s="224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5"/>
      <c r="B66" s="5"/>
      <c r="C66" s="5"/>
      <c r="D66" s="5"/>
      <c r="E66" s="223"/>
      <c r="F66" s="223"/>
      <c r="G66" s="223"/>
      <c r="H66" s="224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5"/>
      <c r="B67" s="5"/>
      <c r="C67" s="5"/>
      <c r="D67" s="5"/>
      <c r="E67" s="223"/>
      <c r="F67" s="223"/>
      <c r="G67" s="223"/>
      <c r="H67" s="224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5"/>
      <c r="B68" s="5"/>
      <c r="C68" s="5"/>
      <c r="D68" s="5"/>
      <c r="E68" s="223"/>
      <c r="F68" s="223"/>
      <c r="G68" s="223"/>
      <c r="H68" s="224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5"/>
      <c r="B69" s="5"/>
      <c r="C69" s="5"/>
      <c r="D69" s="5"/>
      <c r="E69" s="223"/>
      <c r="F69" s="223"/>
      <c r="G69" s="223"/>
      <c r="H69" s="224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5"/>
      <c r="B70" s="5"/>
      <c r="C70" s="5"/>
      <c r="D70" s="5"/>
      <c r="E70" s="223"/>
      <c r="F70" s="223"/>
      <c r="G70" s="223"/>
      <c r="H70" s="224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5"/>
      <c r="B71" s="5"/>
      <c r="C71" s="5"/>
      <c r="D71" s="5"/>
      <c r="E71" s="223"/>
      <c r="F71" s="223"/>
      <c r="G71" s="223"/>
      <c r="H71" s="224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5"/>
      <c r="B72" s="5"/>
      <c r="C72" s="5"/>
      <c r="D72" s="5"/>
      <c r="E72" s="223"/>
      <c r="F72" s="223"/>
      <c r="G72" s="223"/>
      <c r="H72" s="224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5"/>
      <c r="B73" s="5"/>
      <c r="C73" s="5"/>
      <c r="D73" s="5"/>
      <c r="E73" s="223"/>
      <c r="F73" s="223"/>
      <c r="G73" s="223"/>
      <c r="H73" s="224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5"/>
      <c r="B74" s="5"/>
      <c r="C74" s="5"/>
      <c r="D74" s="5"/>
      <c r="E74" s="223"/>
      <c r="F74" s="223"/>
      <c r="G74" s="223"/>
      <c r="H74" s="224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5"/>
      <c r="B75" s="5"/>
      <c r="C75" s="5"/>
      <c r="D75" s="5"/>
      <c r="E75" s="223"/>
      <c r="F75" s="223"/>
      <c r="G75" s="223"/>
      <c r="H75" s="224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5"/>
      <c r="B76" s="5"/>
      <c r="C76" s="5"/>
      <c r="D76" s="5"/>
      <c r="E76" s="223"/>
      <c r="F76" s="223"/>
      <c r="G76" s="223"/>
      <c r="H76" s="224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5"/>
      <c r="B77" s="5"/>
      <c r="C77" s="5"/>
      <c r="D77" s="5"/>
      <c r="E77" s="223"/>
      <c r="F77" s="223"/>
      <c r="G77" s="223"/>
      <c r="H77" s="224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5"/>
      <c r="B78" s="5"/>
      <c r="C78" s="5"/>
      <c r="D78" s="5"/>
      <c r="E78" s="223"/>
      <c r="F78" s="223"/>
      <c r="G78" s="223"/>
      <c r="H78" s="224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5"/>
      <c r="B79" s="5"/>
      <c r="C79" s="5"/>
      <c r="D79" s="5"/>
      <c r="E79" s="223"/>
      <c r="F79" s="223"/>
      <c r="G79" s="223"/>
      <c r="H79" s="224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5"/>
      <c r="B80" s="5"/>
      <c r="C80" s="5"/>
      <c r="D80" s="5"/>
      <c r="E80" s="223"/>
      <c r="F80" s="223"/>
      <c r="G80" s="223"/>
      <c r="H80" s="224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5"/>
      <c r="B81" s="5"/>
      <c r="C81" s="5"/>
      <c r="D81" s="5"/>
      <c r="E81" s="223"/>
      <c r="F81" s="223"/>
      <c r="G81" s="223"/>
      <c r="H81" s="224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5"/>
      <c r="B82" s="5"/>
      <c r="C82" s="5"/>
      <c r="D82" s="5"/>
      <c r="E82" s="223"/>
      <c r="F82" s="223"/>
      <c r="G82" s="223"/>
      <c r="H82" s="224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5"/>
      <c r="B83" s="5"/>
      <c r="C83" s="5"/>
      <c r="D83" s="5"/>
      <c r="E83" s="223"/>
      <c r="F83" s="223"/>
      <c r="G83" s="223"/>
      <c r="H83" s="224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5"/>
      <c r="B84" s="5"/>
      <c r="C84" s="5"/>
      <c r="D84" s="5"/>
      <c r="E84" s="223"/>
      <c r="F84" s="223"/>
      <c r="G84" s="223"/>
      <c r="H84" s="224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5"/>
      <c r="B85" s="5"/>
      <c r="C85" s="5"/>
      <c r="D85" s="5"/>
      <c r="E85" s="223"/>
      <c r="F85" s="223"/>
      <c r="G85" s="223"/>
      <c r="H85" s="224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5"/>
      <c r="B86" s="5"/>
      <c r="C86" s="5"/>
      <c r="D86" s="5"/>
      <c r="E86" s="223"/>
      <c r="F86" s="223"/>
      <c r="G86" s="223"/>
      <c r="H86" s="224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5"/>
      <c r="B87" s="5"/>
      <c r="C87" s="5"/>
      <c r="D87" s="5"/>
      <c r="E87" s="223"/>
      <c r="F87" s="223"/>
      <c r="G87" s="223"/>
      <c r="H87" s="224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5"/>
      <c r="B88" s="5"/>
      <c r="C88" s="5"/>
      <c r="D88" s="5"/>
      <c r="E88" s="223"/>
      <c r="F88" s="223"/>
      <c r="G88" s="223"/>
      <c r="H88" s="224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5"/>
      <c r="B89" s="5"/>
      <c r="C89" s="5"/>
      <c r="D89" s="5"/>
      <c r="E89" s="223"/>
      <c r="F89" s="223"/>
      <c r="G89" s="223"/>
      <c r="H89" s="224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5"/>
      <c r="B90" s="5"/>
      <c r="C90" s="5"/>
      <c r="D90" s="5"/>
      <c r="E90" s="223"/>
      <c r="F90" s="223"/>
      <c r="G90" s="223"/>
      <c r="H90" s="224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5"/>
      <c r="B91" s="5"/>
      <c r="C91" s="5"/>
      <c r="D91" s="5"/>
      <c r="E91" s="223"/>
      <c r="F91" s="223"/>
      <c r="G91" s="223"/>
      <c r="H91" s="224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5"/>
      <c r="B92" s="5"/>
      <c r="C92" s="5"/>
      <c r="D92" s="5"/>
      <c r="E92" s="223"/>
      <c r="F92" s="223"/>
      <c r="G92" s="223"/>
      <c r="H92" s="224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5"/>
      <c r="B93" s="5"/>
      <c r="C93" s="5"/>
      <c r="D93" s="5"/>
      <c r="E93" s="223"/>
      <c r="F93" s="223"/>
      <c r="G93" s="223"/>
      <c r="H93" s="224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5"/>
      <c r="B94" s="5"/>
      <c r="C94" s="5"/>
      <c r="D94" s="5"/>
      <c r="E94" s="223"/>
      <c r="F94" s="223"/>
      <c r="G94" s="223"/>
      <c r="H94" s="224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5"/>
      <c r="B95" s="5"/>
      <c r="C95" s="5"/>
      <c r="D95" s="5"/>
      <c r="E95" s="223"/>
      <c r="F95" s="223"/>
      <c r="G95" s="223"/>
      <c r="H95" s="224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5"/>
      <c r="B96" s="5"/>
      <c r="C96" s="5"/>
      <c r="D96" s="5"/>
      <c r="E96" s="223"/>
      <c r="F96" s="223"/>
      <c r="G96" s="223"/>
      <c r="H96" s="224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5"/>
      <c r="B97" s="5"/>
      <c r="C97" s="5"/>
      <c r="D97" s="5"/>
      <c r="E97" s="223"/>
      <c r="F97" s="223"/>
      <c r="G97" s="223"/>
      <c r="H97" s="224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5"/>
      <c r="B98" s="5"/>
      <c r="C98" s="5"/>
      <c r="D98" s="5"/>
      <c r="E98" s="223"/>
      <c r="F98" s="223"/>
      <c r="G98" s="223"/>
      <c r="H98" s="224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5"/>
      <c r="B99" s="5"/>
      <c r="C99" s="5"/>
      <c r="D99" s="5"/>
      <c r="E99" s="223"/>
      <c r="F99" s="223"/>
      <c r="G99" s="223"/>
      <c r="H99" s="224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5"/>
      <c r="B100" s="5"/>
      <c r="C100" s="5"/>
      <c r="D100" s="5"/>
      <c r="E100" s="223"/>
      <c r="F100" s="223"/>
      <c r="G100" s="223"/>
      <c r="H100" s="224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5"/>
      <c r="B101" s="5"/>
      <c r="C101" s="5"/>
      <c r="D101" s="5"/>
      <c r="E101" s="223"/>
      <c r="F101" s="223"/>
      <c r="G101" s="223"/>
      <c r="H101" s="224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5"/>
      <c r="B102" s="5"/>
      <c r="C102" s="5"/>
      <c r="D102" s="5"/>
      <c r="E102" s="223"/>
      <c r="F102" s="223"/>
      <c r="G102" s="223"/>
      <c r="H102" s="224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5"/>
      <c r="B103" s="5"/>
      <c r="C103" s="5"/>
      <c r="D103" s="5"/>
      <c r="E103" s="223"/>
      <c r="F103" s="223"/>
      <c r="G103" s="223"/>
      <c r="H103" s="224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5"/>
      <c r="B104" s="5"/>
      <c r="C104" s="5"/>
      <c r="D104" s="5"/>
      <c r="E104" s="223"/>
      <c r="F104" s="223"/>
      <c r="G104" s="223"/>
      <c r="H104" s="224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5"/>
      <c r="B105" s="5"/>
      <c r="C105" s="5"/>
      <c r="D105" s="5"/>
      <c r="E105" s="223"/>
      <c r="F105" s="223"/>
      <c r="G105" s="223"/>
      <c r="H105" s="224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5"/>
      <c r="B106" s="5"/>
      <c r="C106" s="5"/>
      <c r="D106" s="5"/>
      <c r="E106" s="223"/>
      <c r="F106" s="223"/>
      <c r="G106" s="223"/>
      <c r="H106" s="224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5"/>
      <c r="B107" s="5"/>
      <c r="C107" s="5"/>
      <c r="D107" s="5"/>
      <c r="E107" s="223"/>
      <c r="F107" s="223"/>
      <c r="G107" s="223"/>
      <c r="H107" s="224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5"/>
      <c r="B108" s="5"/>
      <c r="C108" s="5"/>
      <c r="D108" s="5"/>
      <c r="E108" s="223"/>
      <c r="F108" s="223"/>
      <c r="G108" s="223"/>
      <c r="H108" s="224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5"/>
      <c r="B109" s="5"/>
      <c r="C109" s="5"/>
      <c r="D109" s="5"/>
      <c r="E109" s="223"/>
      <c r="F109" s="223"/>
      <c r="G109" s="223"/>
      <c r="H109" s="224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5"/>
      <c r="B110" s="5"/>
      <c r="C110" s="5"/>
      <c r="D110" s="5"/>
      <c r="E110" s="223"/>
      <c r="F110" s="223"/>
      <c r="G110" s="223"/>
      <c r="H110" s="224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5"/>
      <c r="B111" s="5"/>
      <c r="C111" s="5"/>
      <c r="D111" s="5"/>
      <c r="E111" s="223"/>
      <c r="F111" s="223"/>
      <c r="G111" s="223"/>
      <c r="H111" s="224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5"/>
      <c r="B112" s="5"/>
      <c r="C112" s="5"/>
      <c r="D112" s="5"/>
      <c r="E112" s="223"/>
      <c r="F112" s="223"/>
      <c r="G112" s="223"/>
      <c r="H112" s="224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5"/>
      <c r="B113" s="5"/>
      <c r="C113" s="5"/>
      <c r="D113" s="5"/>
      <c r="E113" s="223"/>
      <c r="F113" s="223"/>
      <c r="G113" s="223"/>
      <c r="H113" s="224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5"/>
      <c r="B114" s="5"/>
      <c r="C114" s="5"/>
      <c r="D114" s="5"/>
      <c r="E114" s="223"/>
      <c r="F114" s="223"/>
      <c r="G114" s="223"/>
      <c r="H114" s="224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5"/>
      <c r="B115" s="5"/>
      <c r="C115" s="5"/>
      <c r="D115" s="5"/>
      <c r="E115" s="223"/>
      <c r="F115" s="223"/>
      <c r="G115" s="223"/>
      <c r="H115" s="224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5"/>
      <c r="B116" s="5"/>
      <c r="C116" s="5"/>
      <c r="D116" s="5"/>
      <c r="E116" s="223"/>
      <c r="F116" s="223"/>
      <c r="G116" s="223"/>
      <c r="H116" s="224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5"/>
      <c r="B117" s="5"/>
      <c r="C117" s="5"/>
      <c r="D117" s="5"/>
      <c r="E117" s="223"/>
      <c r="F117" s="223"/>
      <c r="G117" s="223"/>
      <c r="H117" s="224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5"/>
      <c r="B118" s="5"/>
      <c r="C118" s="5"/>
      <c r="D118" s="5"/>
      <c r="E118" s="223"/>
      <c r="F118" s="223"/>
      <c r="G118" s="223"/>
      <c r="H118" s="224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5"/>
      <c r="B119" s="5"/>
      <c r="C119" s="5"/>
      <c r="D119" s="5"/>
      <c r="E119" s="223"/>
      <c r="F119" s="223"/>
      <c r="G119" s="223"/>
      <c r="H119" s="224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5"/>
      <c r="B120" s="5"/>
      <c r="C120" s="5"/>
      <c r="D120" s="5"/>
      <c r="E120" s="223"/>
      <c r="F120" s="223"/>
      <c r="G120" s="223"/>
      <c r="H120" s="224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5"/>
      <c r="B121" s="5"/>
      <c r="C121" s="5"/>
      <c r="D121" s="5"/>
      <c r="E121" s="223"/>
      <c r="F121" s="223"/>
      <c r="G121" s="223"/>
      <c r="H121" s="224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5"/>
      <c r="B122" s="5"/>
      <c r="C122" s="5"/>
      <c r="D122" s="5"/>
      <c r="E122" s="223"/>
      <c r="F122" s="223"/>
      <c r="G122" s="223"/>
      <c r="H122" s="224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5"/>
      <c r="B123" s="5"/>
      <c r="C123" s="5"/>
      <c r="D123" s="5"/>
      <c r="E123" s="223"/>
      <c r="F123" s="223"/>
      <c r="G123" s="223"/>
      <c r="H123" s="224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5"/>
      <c r="B124" s="5"/>
      <c r="C124" s="5"/>
      <c r="D124" s="5"/>
      <c r="E124" s="223"/>
      <c r="F124" s="223"/>
      <c r="G124" s="223"/>
      <c r="H124" s="224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5"/>
      <c r="B125" s="5"/>
      <c r="C125" s="5"/>
      <c r="D125" s="5"/>
      <c r="E125" s="223"/>
      <c r="F125" s="223"/>
      <c r="G125" s="223"/>
      <c r="H125" s="224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5"/>
      <c r="B126" s="5"/>
      <c r="C126" s="5"/>
      <c r="D126" s="5"/>
      <c r="E126" s="223"/>
      <c r="F126" s="223"/>
      <c r="G126" s="223"/>
      <c r="H126" s="224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5"/>
      <c r="B127" s="5"/>
      <c r="C127" s="5"/>
      <c r="D127" s="5"/>
      <c r="E127" s="223"/>
      <c r="F127" s="223"/>
      <c r="G127" s="223"/>
      <c r="H127" s="224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5"/>
      <c r="B128" s="5"/>
      <c r="C128" s="5"/>
      <c r="D128" s="5"/>
      <c r="E128" s="223"/>
      <c r="F128" s="223"/>
      <c r="G128" s="223"/>
      <c r="H128" s="224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5"/>
      <c r="B129" s="5"/>
      <c r="C129" s="5"/>
      <c r="D129" s="5"/>
      <c r="E129" s="223"/>
      <c r="F129" s="223"/>
      <c r="G129" s="223"/>
      <c r="H129" s="224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5"/>
      <c r="B130" s="5"/>
      <c r="C130" s="5"/>
      <c r="D130" s="5"/>
      <c r="E130" s="223"/>
      <c r="F130" s="223"/>
      <c r="G130" s="223"/>
      <c r="H130" s="224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5"/>
      <c r="B131" s="5"/>
      <c r="C131" s="5"/>
      <c r="D131" s="5"/>
      <c r="E131" s="223"/>
      <c r="F131" s="223"/>
      <c r="G131" s="223"/>
      <c r="H131" s="224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5"/>
      <c r="B132" s="5"/>
      <c r="C132" s="5"/>
      <c r="D132" s="5"/>
      <c r="E132" s="223"/>
      <c r="F132" s="223"/>
      <c r="G132" s="223"/>
      <c r="H132" s="224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5"/>
      <c r="B133" s="5"/>
      <c r="C133" s="5"/>
      <c r="D133" s="5"/>
      <c r="E133" s="223"/>
      <c r="F133" s="223"/>
      <c r="G133" s="223"/>
      <c r="H133" s="224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5"/>
      <c r="B134" s="5"/>
      <c r="C134" s="5"/>
      <c r="D134" s="5"/>
      <c r="E134" s="223"/>
      <c r="F134" s="223"/>
      <c r="G134" s="223"/>
      <c r="H134" s="224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5"/>
      <c r="B135" s="5"/>
      <c r="C135" s="5"/>
      <c r="D135" s="5"/>
      <c r="E135" s="223"/>
      <c r="F135" s="223"/>
      <c r="G135" s="223"/>
      <c r="H135" s="224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5"/>
      <c r="B136" s="5"/>
      <c r="C136" s="5"/>
      <c r="D136" s="5"/>
      <c r="E136" s="223"/>
      <c r="F136" s="223"/>
      <c r="G136" s="223"/>
      <c r="H136" s="224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5"/>
      <c r="B137" s="5"/>
      <c r="C137" s="5"/>
      <c r="D137" s="5"/>
      <c r="E137" s="223"/>
      <c r="F137" s="223"/>
      <c r="G137" s="223"/>
      <c r="H137" s="224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5"/>
      <c r="B138" s="5"/>
      <c r="C138" s="5"/>
      <c r="D138" s="5"/>
      <c r="E138" s="223"/>
      <c r="F138" s="223"/>
      <c r="G138" s="223"/>
      <c r="H138" s="224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5"/>
      <c r="B139" s="5"/>
      <c r="C139" s="5"/>
      <c r="D139" s="5"/>
      <c r="E139" s="223"/>
      <c r="F139" s="223"/>
      <c r="G139" s="223"/>
      <c r="H139" s="224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5"/>
      <c r="B140" s="5"/>
      <c r="C140" s="5"/>
      <c r="D140" s="5"/>
      <c r="E140" s="223"/>
      <c r="F140" s="223"/>
      <c r="G140" s="223"/>
      <c r="H140" s="224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5"/>
      <c r="B141" s="5"/>
      <c r="C141" s="5"/>
      <c r="D141" s="5"/>
      <c r="E141" s="223"/>
      <c r="F141" s="223"/>
      <c r="G141" s="223"/>
      <c r="H141" s="224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5"/>
      <c r="B142" s="5"/>
      <c r="C142" s="5"/>
      <c r="D142" s="5"/>
      <c r="E142" s="223"/>
      <c r="F142" s="223"/>
      <c r="G142" s="223"/>
      <c r="H142" s="224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5"/>
      <c r="B143" s="5"/>
      <c r="C143" s="5"/>
      <c r="D143" s="5"/>
      <c r="E143" s="223"/>
      <c r="F143" s="223"/>
      <c r="G143" s="223"/>
      <c r="H143" s="224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5"/>
      <c r="B144" s="5"/>
      <c r="C144" s="5"/>
      <c r="D144" s="5"/>
      <c r="E144" s="223"/>
      <c r="F144" s="223"/>
      <c r="G144" s="223"/>
      <c r="H144" s="224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5"/>
      <c r="B145" s="5"/>
      <c r="C145" s="5"/>
      <c r="D145" s="5"/>
      <c r="E145" s="223"/>
      <c r="F145" s="223"/>
      <c r="G145" s="223"/>
      <c r="H145" s="224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5"/>
      <c r="B146" s="5"/>
      <c r="C146" s="5"/>
      <c r="D146" s="5"/>
      <c r="E146" s="223"/>
      <c r="F146" s="223"/>
      <c r="G146" s="223"/>
      <c r="H146" s="224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5"/>
      <c r="B147" s="5"/>
      <c r="C147" s="5"/>
      <c r="D147" s="5"/>
      <c r="E147" s="223"/>
      <c r="F147" s="223"/>
      <c r="G147" s="223"/>
      <c r="H147" s="224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5"/>
      <c r="B148" s="5"/>
      <c r="C148" s="5"/>
      <c r="D148" s="5"/>
      <c r="E148" s="223"/>
      <c r="F148" s="223"/>
      <c r="G148" s="223"/>
      <c r="H148" s="224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5"/>
      <c r="B149" s="5"/>
      <c r="C149" s="5"/>
      <c r="D149" s="5"/>
      <c r="E149" s="223"/>
      <c r="F149" s="223"/>
      <c r="G149" s="223"/>
      <c r="H149" s="224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5"/>
      <c r="B150" s="5"/>
      <c r="C150" s="5"/>
      <c r="D150" s="5"/>
      <c r="E150" s="223"/>
      <c r="F150" s="223"/>
      <c r="G150" s="223"/>
      <c r="H150" s="224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5"/>
      <c r="B151" s="5"/>
      <c r="C151" s="5"/>
      <c r="D151" s="5"/>
      <c r="E151" s="223"/>
      <c r="F151" s="223"/>
      <c r="G151" s="223"/>
      <c r="H151" s="224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5"/>
      <c r="B152" s="5"/>
      <c r="C152" s="5"/>
      <c r="D152" s="5"/>
      <c r="E152" s="223"/>
      <c r="F152" s="223"/>
      <c r="G152" s="223"/>
      <c r="H152" s="224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5"/>
      <c r="B153" s="5"/>
      <c r="C153" s="5"/>
      <c r="D153" s="5"/>
      <c r="E153" s="223"/>
      <c r="F153" s="223"/>
      <c r="G153" s="223"/>
      <c r="H153" s="224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5"/>
      <c r="B154" s="5"/>
      <c r="C154" s="5"/>
      <c r="D154" s="5"/>
      <c r="E154" s="223"/>
      <c r="F154" s="223"/>
      <c r="G154" s="223"/>
      <c r="H154" s="224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5"/>
      <c r="B155" s="5"/>
      <c r="C155" s="5"/>
      <c r="D155" s="5"/>
      <c r="E155" s="223"/>
      <c r="F155" s="223"/>
      <c r="G155" s="223"/>
      <c r="H155" s="224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5"/>
      <c r="B156" s="5"/>
      <c r="C156" s="5"/>
      <c r="D156" s="5"/>
      <c r="E156" s="223"/>
      <c r="F156" s="223"/>
      <c r="G156" s="223"/>
      <c r="H156" s="224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5"/>
      <c r="B157" s="5"/>
      <c r="C157" s="5"/>
      <c r="D157" s="5"/>
      <c r="E157" s="223"/>
      <c r="F157" s="223"/>
      <c r="G157" s="223"/>
      <c r="H157" s="224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5"/>
      <c r="B158" s="5"/>
      <c r="C158" s="5"/>
      <c r="D158" s="5"/>
      <c r="E158" s="223"/>
      <c r="F158" s="223"/>
      <c r="G158" s="223"/>
      <c r="H158" s="224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5"/>
      <c r="B159" s="5"/>
      <c r="C159" s="5"/>
      <c r="D159" s="5"/>
      <c r="E159" s="223"/>
      <c r="F159" s="223"/>
      <c r="G159" s="223"/>
      <c r="H159" s="224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5"/>
      <c r="B160" s="5"/>
      <c r="C160" s="5"/>
      <c r="D160" s="5"/>
      <c r="E160" s="223"/>
      <c r="F160" s="223"/>
      <c r="G160" s="223"/>
      <c r="H160" s="224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5"/>
      <c r="B161" s="5"/>
      <c r="C161" s="5"/>
      <c r="D161" s="5"/>
      <c r="E161" s="223"/>
      <c r="F161" s="223"/>
      <c r="G161" s="223"/>
      <c r="H161" s="224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5"/>
      <c r="B162" s="5"/>
      <c r="C162" s="5"/>
      <c r="D162" s="5"/>
      <c r="E162" s="223"/>
      <c r="F162" s="223"/>
      <c r="G162" s="223"/>
      <c r="H162" s="224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5"/>
      <c r="B163" s="5"/>
      <c r="C163" s="5"/>
      <c r="D163" s="5"/>
      <c r="E163" s="223"/>
      <c r="F163" s="223"/>
      <c r="G163" s="223"/>
      <c r="H163" s="224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5"/>
      <c r="B164" s="5"/>
      <c r="C164" s="5"/>
      <c r="D164" s="5"/>
      <c r="E164" s="223"/>
      <c r="F164" s="223"/>
      <c r="G164" s="223"/>
      <c r="H164" s="224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5"/>
      <c r="B165" s="5"/>
      <c r="C165" s="5"/>
      <c r="D165" s="5"/>
      <c r="E165" s="223"/>
      <c r="F165" s="223"/>
      <c r="G165" s="223"/>
      <c r="H165" s="224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5"/>
      <c r="B166" s="5"/>
      <c r="C166" s="5"/>
      <c r="D166" s="5"/>
      <c r="E166" s="223"/>
      <c r="F166" s="223"/>
      <c r="G166" s="223"/>
      <c r="H166" s="224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5"/>
      <c r="B167" s="5"/>
      <c r="C167" s="5"/>
      <c r="D167" s="5"/>
      <c r="E167" s="223"/>
      <c r="F167" s="223"/>
      <c r="G167" s="223"/>
      <c r="H167" s="224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5"/>
      <c r="B168" s="5"/>
      <c r="C168" s="5"/>
      <c r="D168" s="5"/>
      <c r="E168" s="223"/>
      <c r="F168" s="223"/>
      <c r="G168" s="223"/>
      <c r="H168" s="224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5"/>
      <c r="B169" s="5"/>
      <c r="C169" s="5"/>
      <c r="D169" s="5"/>
      <c r="E169" s="223"/>
      <c r="F169" s="223"/>
      <c r="G169" s="223"/>
      <c r="H169" s="224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5"/>
      <c r="B170" s="5"/>
      <c r="C170" s="5"/>
      <c r="D170" s="5"/>
      <c r="E170" s="223"/>
      <c r="F170" s="223"/>
      <c r="G170" s="223"/>
      <c r="H170" s="224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5"/>
      <c r="B171" s="5"/>
      <c r="C171" s="5"/>
      <c r="D171" s="5"/>
      <c r="E171" s="223"/>
      <c r="F171" s="223"/>
      <c r="G171" s="223"/>
      <c r="H171" s="224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5"/>
      <c r="B172" s="5"/>
      <c r="C172" s="5"/>
      <c r="D172" s="5"/>
      <c r="E172" s="223"/>
      <c r="F172" s="223"/>
      <c r="G172" s="223"/>
      <c r="H172" s="224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5"/>
      <c r="B173" s="5"/>
      <c r="C173" s="5"/>
      <c r="D173" s="5"/>
      <c r="E173" s="223"/>
      <c r="F173" s="223"/>
      <c r="G173" s="223"/>
      <c r="H173" s="224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5"/>
      <c r="B174" s="5"/>
      <c r="C174" s="5"/>
      <c r="D174" s="5"/>
      <c r="E174" s="223"/>
      <c r="F174" s="223"/>
      <c r="G174" s="223"/>
      <c r="H174" s="224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5"/>
      <c r="B175" s="5"/>
      <c r="C175" s="5"/>
      <c r="D175" s="5"/>
      <c r="E175" s="223"/>
      <c r="F175" s="223"/>
      <c r="G175" s="223"/>
      <c r="H175" s="224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5"/>
      <c r="B176" s="5"/>
      <c r="C176" s="5"/>
      <c r="D176" s="5"/>
      <c r="E176" s="223"/>
      <c r="F176" s="223"/>
      <c r="G176" s="223"/>
      <c r="H176" s="224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5"/>
      <c r="B177" s="5"/>
      <c r="C177" s="5"/>
      <c r="D177" s="5"/>
      <c r="E177" s="223"/>
      <c r="F177" s="223"/>
      <c r="G177" s="223"/>
      <c r="H177" s="224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5"/>
      <c r="B178" s="5"/>
      <c r="C178" s="5"/>
      <c r="D178" s="5"/>
      <c r="E178" s="223"/>
      <c r="F178" s="223"/>
      <c r="G178" s="223"/>
      <c r="H178" s="224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5"/>
      <c r="B179" s="5"/>
      <c r="C179" s="5"/>
      <c r="D179" s="5"/>
      <c r="E179" s="223"/>
      <c r="F179" s="223"/>
      <c r="G179" s="223"/>
      <c r="H179" s="224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5"/>
      <c r="B180" s="5"/>
      <c r="C180" s="5"/>
      <c r="D180" s="5"/>
      <c r="E180" s="223"/>
      <c r="F180" s="223"/>
      <c r="G180" s="223"/>
      <c r="H180" s="224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5"/>
      <c r="B181" s="5"/>
      <c r="C181" s="5"/>
      <c r="D181" s="5"/>
      <c r="E181" s="223"/>
      <c r="F181" s="223"/>
      <c r="G181" s="223"/>
      <c r="H181" s="224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5"/>
      <c r="B182" s="5"/>
      <c r="C182" s="5"/>
      <c r="D182" s="5"/>
      <c r="E182" s="223"/>
      <c r="F182" s="223"/>
      <c r="G182" s="223"/>
      <c r="H182" s="224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5"/>
      <c r="B183" s="5"/>
      <c r="C183" s="5"/>
      <c r="D183" s="5"/>
      <c r="E183" s="223"/>
      <c r="F183" s="223"/>
      <c r="G183" s="223"/>
      <c r="H183" s="224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5"/>
      <c r="B184" s="5"/>
      <c r="C184" s="5"/>
      <c r="D184" s="5"/>
      <c r="E184" s="223"/>
      <c r="F184" s="223"/>
      <c r="G184" s="223"/>
      <c r="H184" s="224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5"/>
      <c r="B185" s="5"/>
      <c r="C185" s="5"/>
      <c r="D185" s="5"/>
      <c r="E185" s="223"/>
      <c r="F185" s="223"/>
      <c r="G185" s="223"/>
      <c r="H185" s="224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5"/>
      <c r="B186" s="5"/>
      <c r="C186" s="5"/>
      <c r="D186" s="5"/>
      <c r="E186" s="223"/>
      <c r="F186" s="223"/>
      <c r="G186" s="223"/>
      <c r="H186" s="224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5"/>
      <c r="B187" s="5"/>
      <c r="C187" s="5"/>
      <c r="D187" s="5"/>
      <c r="E187" s="223"/>
      <c r="F187" s="223"/>
      <c r="G187" s="223"/>
      <c r="H187" s="224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5"/>
      <c r="B188" s="5"/>
      <c r="C188" s="5"/>
      <c r="D188" s="5"/>
      <c r="E188" s="223"/>
      <c r="F188" s="223"/>
      <c r="G188" s="223"/>
      <c r="H188" s="224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5"/>
      <c r="B189" s="5"/>
      <c r="C189" s="5"/>
      <c r="D189" s="5"/>
      <c r="E189" s="223"/>
      <c r="F189" s="223"/>
      <c r="G189" s="223"/>
      <c r="H189" s="224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5"/>
      <c r="B190" s="5"/>
      <c r="C190" s="5"/>
      <c r="D190" s="5"/>
      <c r="E190" s="223"/>
      <c r="F190" s="223"/>
      <c r="G190" s="223"/>
      <c r="H190" s="224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5"/>
      <c r="B191" s="5"/>
      <c r="C191" s="5"/>
      <c r="D191" s="5"/>
      <c r="E191" s="223"/>
      <c r="F191" s="223"/>
      <c r="G191" s="223"/>
      <c r="H191" s="224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5"/>
      <c r="B192" s="5"/>
      <c r="C192" s="5"/>
      <c r="D192" s="5"/>
      <c r="E192" s="223"/>
      <c r="F192" s="223"/>
      <c r="G192" s="223"/>
      <c r="H192" s="224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5"/>
      <c r="B193" s="5"/>
      <c r="C193" s="5"/>
      <c r="D193" s="5"/>
      <c r="E193" s="223"/>
      <c r="F193" s="223"/>
      <c r="G193" s="223"/>
      <c r="H193" s="224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5"/>
      <c r="B194" s="5"/>
      <c r="C194" s="5"/>
      <c r="D194" s="5"/>
      <c r="E194" s="223"/>
      <c r="F194" s="223"/>
      <c r="G194" s="223"/>
      <c r="H194" s="224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5"/>
      <c r="B195" s="5"/>
      <c r="C195" s="5"/>
      <c r="D195" s="5"/>
      <c r="E195" s="223"/>
      <c r="F195" s="223"/>
      <c r="G195" s="223"/>
      <c r="H195" s="224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5"/>
      <c r="B196" s="5"/>
      <c r="C196" s="5"/>
      <c r="D196" s="5"/>
      <c r="E196" s="223"/>
      <c r="F196" s="223"/>
      <c r="G196" s="223"/>
      <c r="H196" s="224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5"/>
      <c r="B197" s="5"/>
      <c r="C197" s="5"/>
      <c r="D197" s="5"/>
      <c r="E197" s="223"/>
      <c r="F197" s="223"/>
      <c r="G197" s="223"/>
      <c r="H197" s="224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5"/>
      <c r="B198" s="5"/>
      <c r="C198" s="5"/>
      <c r="D198" s="5"/>
      <c r="E198" s="223"/>
      <c r="F198" s="223"/>
      <c r="G198" s="223"/>
      <c r="H198" s="224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5"/>
      <c r="B199" s="5"/>
      <c r="C199" s="5"/>
      <c r="D199" s="5"/>
      <c r="E199" s="223"/>
      <c r="F199" s="223"/>
      <c r="G199" s="223"/>
      <c r="H199" s="224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5"/>
      <c r="B200" s="5"/>
      <c r="C200" s="5"/>
      <c r="D200" s="5"/>
      <c r="E200" s="223"/>
      <c r="F200" s="223"/>
      <c r="G200" s="223"/>
      <c r="H200" s="224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5"/>
      <c r="B201" s="5"/>
      <c r="C201" s="5"/>
      <c r="D201" s="5"/>
      <c r="E201" s="223"/>
      <c r="F201" s="223"/>
      <c r="G201" s="223"/>
      <c r="H201" s="224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5"/>
      <c r="B202" s="5"/>
      <c r="C202" s="5"/>
      <c r="D202" s="5"/>
      <c r="E202" s="223"/>
      <c r="F202" s="223"/>
      <c r="G202" s="223"/>
      <c r="H202" s="224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5"/>
      <c r="B203" s="5"/>
      <c r="C203" s="5"/>
      <c r="D203" s="5"/>
      <c r="E203" s="223"/>
      <c r="F203" s="223"/>
      <c r="G203" s="223"/>
      <c r="H203" s="224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5"/>
      <c r="B204" s="5"/>
      <c r="C204" s="5"/>
      <c r="D204" s="5"/>
      <c r="E204" s="223"/>
      <c r="F204" s="223"/>
      <c r="G204" s="223"/>
      <c r="H204" s="224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5"/>
      <c r="B205" s="5"/>
      <c r="C205" s="5"/>
      <c r="D205" s="5"/>
      <c r="E205" s="223"/>
      <c r="F205" s="223"/>
      <c r="G205" s="223"/>
      <c r="H205" s="224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5"/>
      <c r="B206" s="5"/>
      <c r="C206" s="5"/>
      <c r="D206" s="5"/>
      <c r="E206" s="223"/>
      <c r="F206" s="223"/>
      <c r="G206" s="223"/>
      <c r="H206" s="224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5"/>
      <c r="B207" s="5"/>
      <c r="C207" s="5"/>
      <c r="D207" s="5"/>
      <c r="E207" s="223"/>
      <c r="F207" s="223"/>
      <c r="G207" s="223"/>
      <c r="H207" s="224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5"/>
      <c r="B208" s="5"/>
      <c r="C208" s="5"/>
      <c r="D208" s="5"/>
      <c r="E208" s="223"/>
      <c r="F208" s="223"/>
      <c r="G208" s="223"/>
      <c r="H208" s="224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5"/>
      <c r="B209" s="5"/>
      <c r="C209" s="5"/>
      <c r="D209" s="5"/>
      <c r="E209" s="223"/>
      <c r="F209" s="223"/>
      <c r="G209" s="223"/>
      <c r="H209" s="224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5"/>
      <c r="B210" s="5"/>
      <c r="C210" s="5"/>
      <c r="D210" s="5"/>
      <c r="E210" s="223"/>
      <c r="F210" s="223"/>
      <c r="G210" s="223"/>
      <c r="H210" s="224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5"/>
      <c r="B211" s="5"/>
      <c r="C211" s="5"/>
      <c r="D211" s="5"/>
      <c r="E211" s="223"/>
      <c r="F211" s="223"/>
      <c r="G211" s="223"/>
      <c r="H211" s="224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5"/>
      <c r="B212" s="5"/>
      <c r="C212" s="5"/>
      <c r="D212" s="5"/>
      <c r="E212" s="223"/>
      <c r="F212" s="223"/>
      <c r="G212" s="223"/>
      <c r="H212" s="224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5"/>
      <c r="B213" s="5"/>
      <c r="C213" s="5"/>
      <c r="D213" s="5"/>
      <c r="E213" s="223"/>
      <c r="F213" s="223"/>
      <c r="G213" s="223"/>
      <c r="H213" s="224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5"/>
      <c r="B214" s="5"/>
      <c r="C214" s="5"/>
      <c r="D214" s="5"/>
      <c r="E214" s="223"/>
      <c r="F214" s="223"/>
      <c r="G214" s="223"/>
      <c r="H214" s="224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5"/>
      <c r="B215" s="5"/>
      <c r="C215" s="5"/>
      <c r="D215" s="5"/>
      <c r="E215" s="223"/>
      <c r="F215" s="223"/>
      <c r="G215" s="223"/>
      <c r="H215" s="224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5"/>
      <c r="B216" s="5"/>
      <c r="C216" s="5"/>
      <c r="D216" s="5"/>
      <c r="E216" s="223"/>
      <c r="F216" s="223"/>
      <c r="G216" s="223"/>
      <c r="H216" s="224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5"/>
      <c r="B217" s="5"/>
      <c r="C217" s="5"/>
      <c r="D217" s="5"/>
      <c r="E217" s="223"/>
      <c r="F217" s="223"/>
      <c r="G217" s="223"/>
      <c r="H217" s="224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5"/>
      <c r="B218" s="5"/>
      <c r="C218" s="5"/>
      <c r="D218" s="5"/>
      <c r="E218" s="223"/>
      <c r="F218" s="223"/>
      <c r="G218" s="223"/>
      <c r="H218" s="224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5"/>
      <c r="B219" s="5"/>
      <c r="C219" s="5"/>
      <c r="D219" s="5"/>
      <c r="E219" s="223"/>
      <c r="F219" s="223"/>
      <c r="G219" s="223"/>
      <c r="H219" s="224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5"/>
      <c r="B220" s="5"/>
      <c r="C220" s="5"/>
      <c r="D220" s="5"/>
      <c r="E220" s="223"/>
      <c r="F220" s="223"/>
      <c r="G220" s="223"/>
      <c r="H220" s="224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5"/>
      <c r="B221" s="5"/>
      <c r="C221" s="5"/>
      <c r="D221" s="5"/>
      <c r="E221" s="223"/>
      <c r="F221" s="223"/>
      <c r="G221" s="223"/>
      <c r="H221" s="224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5"/>
      <c r="B222" s="5"/>
      <c r="C222" s="5"/>
      <c r="D222" s="5"/>
      <c r="E222" s="223"/>
      <c r="F222" s="223"/>
      <c r="G222" s="223"/>
      <c r="H222" s="224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5"/>
      <c r="B223" s="5"/>
      <c r="C223" s="5"/>
      <c r="D223" s="5"/>
      <c r="E223" s="223"/>
      <c r="F223" s="223"/>
      <c r="G223" s="223"/>
      <c r="H223" s="224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5"/>
      <c r="B224" s="5"/>
      <c r="C224" s="5"/>
      <c r="D224" s="5"/>
      <c r="E224" s="223"/>
      <c r="F224" s="223"/>
      <c r="G224" s="223"/>
      <c r="H224" s="224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5"/>
      <c r="B225" s="5"/>
      <c r="C225" s="5"/>
      <c r="D225" s="5"/>
      <c r="E225" s="223"/>
      <c r="F225" s="223"/>
      <c r="G225" s="223"/>
      <c r="H225" s="224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5"/>
      <c r="B226" s="5"/>
      <c r="C226" s="5"/>
      <c r="D226" s="5"/>
      <c r="E226" s="223"/>
      <c r="F226" s="223"/>
      <c r="G226" s="223"/>
      <c r="H226" s="224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5"/>
      <c r="B227" s="5"/>
      <c r="C227" s="5"/>
      <c r="D227" s="5"/>
      <c r="E227" s="223"/>
      <c r="F227" s="223"/>
      <c r="G227" s="223"/>
      <c r="H227" s="224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5"/>
      <c r="B228" s="5"/>
      <c r="C228" s="5"/>
      <c r="D228" s="5"/>
      <c r="E228" s="223"/>
      <c r="F228" s="223"/>
      <c r="G228" s="223"/>
      <c r="H228" s="224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5"/>
      <c r="B229" s="5"/>
      <c r="C229" s="5"/>
      <c r="D229" s="5"/>
      <c r="E229" s="223"/>
      <c r="F229" s="223"/>
      <c r="G229" s="223"/>
      <c r="H229" s="224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5"/>
      <c r="B230" s="5"/>
      <c r="C230" s="5"/>
      <c r="D230" s="5"/>
      <c r="E230" s="223"/>
      <c r="F230" s="223"/>
      <c r="G230" s="223"/>
      <c r="H230" s="224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5"/>
      <c r="B231" s="5"/>
      <c r="C231" s="5"/>
      <c r="D231" s="5"/>
      <c r="E231" s="223"/>
      <c r="F231" s="223"/>
      <c r="G231" s="223"/>
      <c r="H231" s="224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5"/>
      <c r="B232" s="5"/>
      <c r="C232" s="5"/>
      <c r="D232" s="5"/>
      <c r="E232" s="223"/>
      <c r="F232" s="223"/>
      <c r="G232" s="223"/>
      <c r="H232" s="224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5"/>
      <c r="B233" s="5"/>
      <c r="C233" s="5"/>
      <c r="D233" s="5"/>
      <c r="E233" s="223"/>
      <c r="F233" s="223"/>
      <c r="G233" s="223"/>
      <c r="H233" s="224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5"/>
      <c r="B234" s="5"/>
      <c r="C234" s="5"/>
      <c r="D234" s="5"/>
      <c r="E234" s="223"/>
      <c r="F234" s="223"/>
      <c r="G234" s="223"/>
      <c r="H234" s="224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5"/>
      <c r="B235" s="5"/>
      <c r="C235" s="5"/>
      <c r="D235" s="5"/>
      <c r="E235" s="223"/>
      <c r="F235" s="223"/>
      <c r="G235" s="223"/>
      <c r="H235" s="224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5"/>
      <c r="B236" s="5"/>
      <c r="C236" s="5"/>
      <c r="D236" s="5"/>
      <c r="E236" s="223"/>
      <c r="F236" s="223"/>
      <c r="G236" s="223"/>
      <c r="H236" s="224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5"/>
      <c r="B237" s="5"/>
      <c r="C237" s="5"/>
      <c r="D237" s="5"/>
      <c r="E237" s="223"/>
      <c r="F237" s="223"/>
      <c r="G237" s="223"/>
      <c r="H237" s="224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5"/>
      <c r="B238" s="5"/>
      <c r="C238" s="5"/>
      <c r="D238" s="5"/>
      <c r="E238" s="223"/>
      <c r="F238" s="223"/>
      <c r="G238" s="223"/>
      <c r="H238" s="224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5"/>
      <c r="B239" s="5"/>
      <c r="C239" s="5"/>
      <c r="D239" s="5"/>
      <c r="E239" s="223"/>
      <c r="F239" s="223"/>
      <c r="G239" s="223"/>
      <c r="H239" s="224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5"/>
      <c r="B240" s="5"/>
      <c r="C240" s="5"/>
      <c r="D240" s="5"/>
      <c r="E240" s="223"/>
      <c r="F240" s="223"/>
      <c r="G240" s="223"/>
      <c r="H240" s="224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5"/>
      <c r="B241" s="5"/>
      <c r="C241" s="5"/>
      <c r="D241" s="5"/>
      <c r="E241" s="223"/>
      <c r="F241" s="223"/>
      <c r="G241" s="223"/>
      <c r="H241" s="224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5"/>
      <c r="B242" s="5"/>
      <c r="C242" s="5"/>
      <c r="D242" s="5"/>
      <c r="E242" s="223"/>
      <c r="F242" s="223"/>
      <c r="G242" s="223"/>
      <c r="H242" s="224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5"/>
      <c r="B243" s="5"/>
      <c r="C243" s="5"/>
      <c r="D243" s="5"/>
      <c r="E243" s="223"/>
      <c r="F243" s="223"/>
      <c r="G243" s="223"/>
      <c r="H243" s="224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5"/>
      <c r="B244" s="5"/>
      <c r="C244" s="5"/>
      <c r="D244" s="5"/>
      <c r="E244" s="223"/>
      <c r="F244" s="223"/>
      <c r="G244" s="223"/>
      <c r="H244" s="224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5"/>
      <c r="B245" s="5"/>
      <c r="C245" s="5"/>
      <c r="D245" s="5"/>
      <c r="E245" s="223"/>
      <c r="F245" s="223"/>
      <c r="G245" s="223"/>
      <c r="H245" s="224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5"/>
      <c r="B246" s="5"/>
      <c r="C246" s="5"/>
      <c r="D246" s="5"/>
      <c r="E246" s="223"/>
      <c r="F246" s="223"/>
      <c r="G246" s="223"/>
      <c r="H246" s="224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5"/>
      <c r="B247" s="5"/>
      <c r="C247" s="5"/>
      <c r="D247" s="5"/>
      <c r="E247" s="223"/>
      <c r="F247" s="223"/>
      <c r="G247" s="223"/>
      <c r="H247" s="224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5"/>
      <c r="B248" s="5"/>
      <c r="C248" s="5"/>
      <c r="D248" s="5"/>
      <c r="E248" s="223"/>
      <c r="F248" s="223"/>
      <c r="G248" s="223"/>
      <c r="H248" s="224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5"/>
      <c r="B249" s="5"/>
      <c r="C249" s="5"/>
      <c r="D249" s="5"/>
      <c r="E249" s="223"/>
      <c r="F249" s="223"/>
      <c r="G249" s="223"/>
      <c r="H249" s="224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5"/>
      <c r="B250" s="5"/>
      <c r="C250" s="5"/>
      <c r="D250" s="5"/>
      <c r="E250" s="223"/>
      <c r="F250" s="223"/>
      <c r="G250" s="223"/>
      <c r="H250" s="224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5"/>
      <c r="B251" s="5"/>
      <c r="C251" s="5"/>
      <c r="D251" s="5"/>
      <c r="E251" s="223"/>
      <c r="F251" s="223"/>
      <c r="G251" s="223"/>
      <c r="H251" s="224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5"/>
      <c r="B252" s="5"/>
      <c r="C252" s="5"/>
      <c r="D252" s="5"/>
      <c r="E252" s="223"/>
      <c r="F252" s="223"/>
      <c r="G252" s="223"/>
      <c r="H252" s="224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5"/>
      <c r="B253" s="5"/>
      <c r="C253" s="5"/>
      <c r="D253" s="5"/>
      <c r="E253" s="223"/>
      <c r="F253" s="223"/>
      <c r="G253" s="223"/>
      <c r="H253" s="224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5"/>
      <c r="B254" s="5"/>
      <c r="C254" s="5"/>
      <c r="D254" s="5"/>
      <c r="E254" s="223"/>
      <c r="F254" s="223"/>
      <c r="G254" s="223"/>
      <c r="H254" s="224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5"/>
      <c r="B255" s="5"/>
      <c r="C255" s="5"/>
      <c r="D255" s="5"/>
      <c r="E255" s="223"/>
      <c r="F255" s="223"/>
      <c r="G255" s="223"/>
      <c r="H255" s="224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5"/>
      <c r="B256" s="5"/>
      <c r="C256" s="5"/>
      <c r="D256" s="5"/>
      <c r="E256" s="223"/>
      <c r="F256" s="223"/>
      <c r="G256" s="223"/>
      <c r="H256" s="224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5"/>
      <c r="B257" s="5"/>
      <c r="C257" s="5"/>
      <c r="D257" s="5"/>
      <c r="E257" s="223"/>
      <c r="F257" s="223"/>
      <c r="G257" s="223"/>
      <c r="H257" s="224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5"/>
      <c r="B258" s="5"/>
      <c r="C258" s="5"/>
      <c r="D258" s="5"/>
      <c r="E258" s="223"/>
      <c r="F258" s="223"/>
      <c r="G258" s="223"/>
      <c r="H258" s="224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5"/>
      <c r="B259" s="5"/>
      <c r="C259" s="5"/>
      <c r="D259" s="5"/>
      <c r="E259" s="223"/>
      <c r="F259" s="223"/>
      <c r="G259" s="223"/>
      <c r="H259" s="224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5"/>
      <c r="B260" s="5"/>
      <c r="C260" s="5"/>
      <c r="D260" s="5"/>
      <c r="E260" s="223"/>
      <c r="F260" s="223"/>
      <c r="G260" s="223"/>
      <c r="H260" s="224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5"/>
      <c r="B261" s="5"/>
      <c r="C261" s="5"/>
      <c r="D261" s="5"/>
      <c r="E261" s="223"/>
      <c r="F261" s="223"/>
      <c r="G261" s="223"/>
      <c r="H261" s="224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5"/>
      <c r="B262" s="5"/>
      <c r="C262" s="5"/>
      <c r="D262" s="5"/>
      <c r="E262" s="223"/>
      <c r="F262" s="223"/>
      <c r="G262" s="223"/>
      <c r="H262" s="224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5"/>
      <c r="B263" s="5"/>
      <c r="C263" s="5"/>
      <c r="D263" s="5"/>
      <c r="E263" s="223"/>
      <c r="F263" s="223"/>
      <c r="G263" s="223"/>
      <c r="H263" s="224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5"/>
      <c r="B264" s="5"/>
      <c r="C264" s="5"/>
      <c r="D264" s="5"/>
      <c r="E264" s="223"/>
      <c r="F264" s="223"/>
      <c r="G264" s="223"/>
      <c r="H264" s="224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5"/>
      <c r="B265" s="5"/>
      <c r="C265" s="5"/>
      <c r="D265" s="5"/>
      <c r="E265" s="223"/>
      <c r="F265" s="223"/>
      <c r="G265" s="223"/>
      <c r="H265" s="224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5"/>
      <c r="B266" s="5"/>
      <c r="C266" s="5"/>
      <c r="D266" s="5"/>
      <c r="E266" s="223"/>
      <c r="F266" s="223"/>
      <c r="G266" s="223"/>
      <c r="H266" s="224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5"/>
      <c r="B267" s="5"/>
      <c r="C267" s="5"/>
      <c r="D267" s="5"/>
      <c r="E267" s="223"/>
      <c r="F267" s="223"/>
      <c r="G267" s="223"/>
      <c r="H267" s="224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5"/>
      <c r="B268" s="5"/>
      <c r="C268" s="5"/>
      <c r="D268" s="5"/>
      <c r="E268" s="223"/>
      <c r="F268" s="223"/>
      <c r="G268" s="223"/>
      <c r="H268" s="224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5"/>
      <c r="B269" s="5"/>
      <c r="C269" s="5"/>
      <c r="D269" s="5"/>
      <c r="E269" s="223"/>
      <c r="F269" s="223"/>
      <c r="G269" s="223"/>
      <c r="H269" s="224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5"/>
      <c r="B270" s="5"/>
      <c r="C270" s="5"/>
      <c r="D270" s="5"/>
      <c r="E270" s="223"/>
      <c r="F270" s="223"/>
      <c r="G270" s="223"/>
      <c r="H270" s="224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5"/>
      <c r="B271" s="5"/>
      <c r="C271" s="5"/>
      <c r="D271" s="5"/>
      <c r="E271" s="223"/>
      <c r="F271" s="223"/>
      <c r="G271" s="223"/>
      <c r="H271" s="224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5"/>
      <c r="B272" s="5"/>
      <c r="C272" s="5"/>
      <c r="D272" s="5"/>
      <c r="E272" s="223"/>
      <c r="F272" s="223"/>
      <c r="G272" s="223"/>
      <c r="H272" s="224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5"/>
      <c r="B273" s="5"/>
      <c r="C273" s="5"/>
      <c r="D273" s="5"/>
      <c r="E273" s="223"/>
      <c r="F273" s="223"/>
      <c r="G273" s="223"/>
      <c r="H273" s="224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5"/>
      <c r="B274" s="5"/>
      <c r="C274" s="5"/>
      <c r="D274" s="5"/>
      <c r="E274" s="223"/>
      <c r="F274" s="223"/>
      <c r="G274" s="223"/>
      <c r="H274" s="224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5"/>
      <c r="B275" s="5"/>
      <c r="C275" s="5"/>
      <c r="D275" s="5"/>
      <c r="E275" s="223"/>
      <c r="F275" s="223"/>
      <c r="G275" s="223"/>
      <c r="H275" s="224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5"/>
      <c r="B276" s="5"/>
      <c r="C276" s="5"/>
      <c r="D276" s="5"/>
      <c r="E276" s="223"/>
      <c r="F276" s="223"/>
      <c r="G276" s="223"/>
      <c r="H276" s="224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5"/>
      <c r="B277" s="5"/>
      <c r="C277" s="5"/>
      <c r="D277" s="5"/>
      <c r="E277" s="223"/>
      <c r="F277" s="223"/>
      <c r="G277" s="223"/>
      <c r="H277" s="224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5"/>
      <c r="B278" s="5"/>
      <c r="C278" s="5"/>
      <c r="D278" s="5"/>
      <c r="E278" s="223"/>
      <c r="F278" s="223"/>
      <c r="G278" s="223"/>
      <c r="H278" s="224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5"/>
      <c r="B279" s="5"/>
      <c r="C279" s="5"/>
      <c r="D279" s="5"/>
      <c r="E279" s="223"/>
      <c r="F279" s="223"/>
      <c r="G279" s="223"/>
      <c r="H279" s="224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5"/>
      <c r="B280" s="5"/>
      <c r="C280" s="5"/>
      <c r="D280" s="5"/>
      <c r="E280" s="223"/>
      <c r="F280" s="223"/>
      <c r="G280" s="223"/>
      <c r="H280" s="224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5"/>
      <c r="B281" s="5"/>
      <c r="C281" s="5"/>
      <c r="D281" s="5"/>
      <c r="E281" s="223"/>
      <c r="F281" s="223"/>
      <c r="G281" s="223"/>
      <c r="H281" s="224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5"/>
      <c r="B282" s="5"/>
      <c r="C282" s="5"/>
      <c r="D282" s="5"/>
      <c r="E282" s="223"/>
      <c r="F282" s="223"/>
      <c r="G282" s="223"/>
      <c r="H282" s="224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5"/>
      <c r="B283" s="5"/>
      <c r="C283" s="5"/>
      <c r="D283" s="5"/>
      <c r="E283" s="223"/>
      <c r="F283" s="223"/>
      <c r="G283" s="223"/>
      <c r="H283" s="224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5"/>
      <c r="B284" s="5"/>
      <c r="C284" s="5"/>
      <c r="D284" s="5"/>
      <c r="E284" s="223"/>
      <c r="F284" s="223"/>
      <c r="G284" s="223"/>
      <c r="H284" s="224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5"/>
      <c r="B285" s="5"/>
      <c r="C285" s="5"/>
      <c r="D285" s="5"/>
      <c r="E285" s="223"/>
      <c r="F285" s="223"/>
      <c r="G285" s="223"/>
      <c r="H285" s="224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5"/>
      <c r="B286" s="5"/>
      <c r="C286" s="5"/>
      <c r="D286" s="5"/>
      <c r="E286" s="223"/>
      <c r="F286" s="223"/>
      <c r="G286" s="223"/>
      <c r="H286" s="224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5"/>
      <c r="B287" s="5"/>
      <c r="C287" s="5"/>
      <c r="D287" s="5"/>
      <c r="E287" s="223"/>
      <c r="F287" s="223"/>
      <c r="G287" s="223"/>
      <c r="H287" s="224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5"/>
      <c r="B288" s="5"/>
      <c r="C288" s="5"/>
      <c r="D288" s="5"/>
      <c r="E288" s="223"/>
      <c r="F288" s="223"/>
      <c r="G288" s="223"/>
      <c r="H288" s="224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5"/>
      <c r="B289" s="5"/>
      <c r="C289" s="5"/>
      <c r="D289" s="5"/>
      <c r="E289" s="223"/>
      <c r="F289" s="223"/>
      <c r="G289" s="223"/>
      <c r="H289" s="224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5"/>
      <c r="B290" s="5"/>
      <c r="C290" s="5"/>
      <c r="D290" s="5"/>
      <c r="E290" s="223"/>
      <c r="F290" s="223"/>
      <c r="G290" s="223"/>
      <c r="H290" s="224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5"/>
      <c r="B291" s="5"/>
      <c r="C291" s="5"/>
      <c r="D291" s="5"/>
      <c r="E291" s="223"/>
      <c r="F291" s="223"/>
      <c r="G291" s="223"/>
      <c r="H291" s="224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5"/>
      <c r="B292" s="5"/>
      <c r="C292" s="5"/>
      <c r="D292" s="5"/>
      <c r="E292" s="223"/>
      <c r="F292" s="223"/>
      <c r="G292" s="223"/>
      <c r="H292" s="224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5"/>
      <c r="B293" s="5"/>
      <c r="C293" s="5"/>
      <c r="D293" s="5"/>
      <c r="E293" s="223"/>
      <c r="F293" s="223"/>
      <c r="G293" s="223"/>
      <c r="H293" s="224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5"/>
      <c r="B294" s="5"/>
      <c r="C294" s="5"/>
      <c r="D294" s="5"/>
      <c r="E294" s="223"/>
      <c r="F294" s="223"/>
      <c r="G294" s="223"/>
      <c r="H294" s="224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5"/>
      <c r="B295" s="5"/>
      <c r="C295" s="5"/>
      <c r="D295" s="5"/>
      <c r="E295" s="223"/>
      <c r="F295" s="223"/>
      <c r="G295" s="223"/>
      <c r="H295" s="224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5"/>
      <c r="B296" s="5"/>
      <c r="C296" s="5"/>
      <c r="D296" s="5"/>
      <c r="E296" s="223"/>
      <c r="F296" s="223"/>
      <c r="G296" s="223"/>
      <c r="H296" s="224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5"/>
      <c r="B297" s="5"/>
      <c r="C297" s="5"/>
      <c r="D297" s="5"/>
      <c r="E297" s="223"/>
      <c r="F297" s="223"/>
      <c r="G297" s="223"/>
      <c r="H297" s="224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5"/>
      <c r="B298" s="5"/>
      <c r="C298" s="5"/>
      <c r="D298" s="5"/>
      <c r="E298" s="223"/>
      <c r="F298" s="223"/>
      <c r="G298" s="223"/>
      <c r="H298" s="224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5"/>
      <c r="B299" s="5"/>
      <c r="C299" s="5"/>
      <c r="D299" s="5"/>
      <c r="E299" s="223"/>
      <c r="F299" s="223"/>
      <c r="G299" s="223"/>
      <c r="H299" s="224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5"/>
      <c r="B300" s="5"/>
      <c r="C300" s="5"/>
      <c r="D300" s="5"/>
      <c r="E300" s="223"/>
      <c r="F300" s="223"/>
      <c r="G300" s="223"/>
      <c r="H300" s="224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5"/>
      <c r="B301" s="5"/>
      <c r="C301" s="5"/>
      <c r="D301" s="5"/>
      <c r="E301" s="223"/>
      <c r="F301" s="223"/>
      <c r="G301" s="223"/>
      <c r="H301" s="224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5"/>
      <c r="B302" s="5"/>
      <c r="C302" s="5"/>
      <c r="D302" s="5"/>
      <c r="E302" s="223"/>
      <c r="F302" s="223"/>
      <c r="G302" s="223"/>
      <c r="H302" s="224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5"/>
      <c r="B303" s="5"/>
      <c r="C303" s="5"/>
      <c r="D303" s="5"/>
      <c r="E303" s="223"/>
      <c r="F303" s="223"/>
      <c r="G303" s="223"/>
      <c r="H303" s="224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5"/>
      <c r="B304" s="5"/>
      <c r="C304" s="5"/>
      <c r="D304" s="5"/>
      <c r="E304" s="223"/>
      <c r="F304" s="223"/>
      <c r="G304" s="223"/>
      <c r="H304" s="224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5"/>
      <c r="B305" s="5"/>
      <c r="C305" s="5"/>
      <c r="D305" s="5"/>
      <c r="E305" s="223"/>
      <c r="F305" s="223"/>
      <c r="G305" s="223"/>
      <c r="H305" s="224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5"/>
      <c r="B306" s="5"/>
      <c r="C306" s="5"/>
      <c r="D306" s="5"/>
      <c r="E306" s="223"/>
      <c r="F306" s="223"/>
      <c r="G306" s="223"/>
      <c r="H306" s="224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5"/>
      <c r="B307" s="5"/>
      <c r="C307" s="5"/>
      <c r="D307" s="5"/>
      <c r="E307" s="223"/>
      <c r="F307" s="223"/>
      <c r="G307" s="223"/>
      <c r="H307" s="224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5"/>
      <c r="B308" s="5"/>
      <c r="C308" s="5"/>
      <c r="D308" s="5"/>
      <c r="E308" s="223"/>
      <c r="F308" s="223"/>
      <c r="G308" s="223"/>
      <c r="H308" s="224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5"/>
      <c r="B309" s="5"/>
      <c r="C309" s="5"/>
      <c r="D309" s="5"/>
      <c r="E309" s="223"/>
      <c r="F309" s="223"/>
      <c r="G309" s="223"/>
      <c r="H309" s="224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5"/>
      <c r="B310" s="5"/>
      <c r="C310" s="5"/>
      <c r="D310" s="5"/>
      <c r="E310" s="223"/>
      <c r="F310" s="223"/>
      <c r="G310" s="223"/>
      <c r="H310" s="224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5"/>
      <c r="B311" s="5"/>
      <c r="C311" s="5"/>
      <c r="D311" s="5"/>
      <c r="E311" s="223"/>
      <c r="F311" s="223"/>
      <c r="G311" s="223"/>
      <c r="H311" s="224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5"/>
      <c r="B312" s="5"/>
      <c r="C312" s="5"/>
      <c r="D312" s="5"/>
      <c r="E312" s="223"/>
      <c r="F312" s="223"/>
      <c r="G312" s="223"/>
      <c r="H312" s="224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5"/>
      <c r="B313" s="5"/>
      <c r="C313" s="5"/>
      <c r="D313" s="5"/>
      <c r="E313" s="223"/>
      <c r="F313" s="223"/>
      <c r="G313" s="223"/>
      <c r="H313" s="224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5"/>
      <c r="B314" s="5"/>
      <c r="C314" s="5"/>
      <c r="D314" s="5"/>
      <c r="E314" s="223"/>
      <c r="F314" s="223"/>
      <c r="G314" s="223"/>
      <c r="H314" s="224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5"/>
      <c r="B315" s="5"/>
      <c r="C315" s="5"/>
      <c r="D315" s="5"/>
      <c r="E315" s="223"/>
      <c r="F315" s="223"/>
      <c r="G315" s="223"/>
      <c r="H315" s="224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5"/>
      <c r="B316" s="5"/>
      <c r="C316" s="5"/>
      <c r="D316" s="5"/>
      <c r="E316" s="223"/>
      <c r="F316" s="223"/>
      <c r="G316" s="223"/>
      <c r="H316" s="224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5"/>
      <c r="B317" s="5"/>
      <c r="C317" s="5"/>
      <c r="D317" s="5"/>
      <c r="E317" s="223"/>
      <c r="F317" s="223"/>
      <c r="G317" s="223"/>
      <c r="H317" s="224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5"/>
      <c r="B318" s="5"/>
      <c r="C318" s="5"/>
      <c r="D318" s="5"/>
      <c r="E318" s="223"/>
      <c r="F318" s="223"/>
      <c r="G318" s="223"/>
      <c r="H318" s="224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5"/>
      <c r="B319" s="5"/>
      <c r="C319" s="5"/>
      <c r="D319" s="5"/>
      <c r="E319" s="223"/>
      <c r="F319" s="223"/>
      <c r="G319" s="223"/>
      <c r="H319" s="224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5"/>
      <c r="B320" s="5"/>
      <c r="C320" s="5"/>
      <c r="D320" s="5"/>
      <c r="E320" s="223"/>
      <c r="F320" s="223"/>
      <c r="G320" s="223"/>
      <c r="H320" s="224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5"/>
      <c r="B321" s="5"/>
      <c r="C321" s="5"/>
      <c r="D321" s="5"/>
      <c r="E321" s="223"/>
      <c r="F321" s="223"/>
      <c r="G321" s="223"/>
      <c r="H321" s="224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5"/>
      <c r="B322" s="5"/>
      <c r="C322" s="5"/>
      <c r="D322" s="5"/>
      <c r="E322" s="223"/>
      <c r="F322" s="223"/>
      <c r="G322" s="223"/>
      <c r="H322" s="224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5"/>
      <c r="B323" s="5"/>
      <c r="C323" s="5"/>
      <c r="D323" s="5"/>
      <c r="E323" s="223"/>
      <c r="F323" s="223"/>
      <c r="G323" s="223"/>
      <c r="H323" s="224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5"/>
      <c r="B324" s="5"/>
      <c r="C324" s="5"/>
      <c r="D324" s="5"/>
      <c r="E324" s="223"/>
      <c r="F324" s="223"/>
      <c r="G324" s="223"/>
      <c r="H324" s="224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5"/>
      <c r="B325" s="5"/>
      <c r="C325" s="5"/>
      <c r="D325" s="5"/>
      <c r="E325" s="223"/>
      <c r="F325" s="223"/>
      <c r="G325" s="223"/>
      <c r="H325" s="224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5"/>
      <c r="B326" s="5"/>
      <c r="C326" s="5"/>
      <c r="D326" s="5"/>
      <c r="E326" s="223"/>
      <c r="F326" s="223"/>
      <c r="G326" s="223"/>
      <c r="H326" s="224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5"/>
      <c r="B327" s="5"/>
      <c r="C327" s="5"/>
      <c r="D327" s="5"/>
      <c r="E327" s="223"/>
      <c r="F327" s="223"/>
      <c r="G327" s="223"/>
      <c r="H327" s="224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5"/>
      <c r="B328" s="5"/>
      <c r="C328" s="5"/>
      <c r="D328" s="5"/>
      <c r="E328" s="223"/>
      <c r="F328" s="223"/>
      <c r="G328" s="223"/>
      <c r="H328" s="224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5"/>
      <c r="B329" s="5"/>
      <c r="C329" s="5"/>
      <c r="D329" s="5"/>
      <c r="E329" s="223"/>
      <c r="F329" s="223"/>
      <c r="G329" s="223"/>
      <c r="H329" s="224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5"/>
      <c r="B330" s="5"/>
      <c r="C330" s="5"/>
      <c r="D330" s="5"/>
      <c r="E330" s="223"/>
      <c r="F330" s="223"/>
      <c r="G330" s="223"/>
      <c r="H330" s="224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5"/>
      <c r="B331" s="5"/>
      <c r="C331" s="5"/>
      <c r="D331" s="5"/>
      <c r="E331" s="223"/>
      <c r="F331" s="223"/>
      <c r="G331" s="223"/>
      <c r="H331" s="224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5"/>
      <c r="B332" s="5"/>
      <c r="C332" s="5"/>
      <c r="D332" s="5"/>
      <c r="E332" s="223"/>
      <c r="F332" s="223"/>
      <c r="G332" s="223"/>
      <c r="H332" s="224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5"/>
      <c r="B333" s="5"/>
      <c r="C333" s="5"/>
      <c r="D333" s="5"/>
      <c r="E333" s="223"/>
      <c r="F333" s="223"/>
      <c r="G333" s="223"/>
      <c r="H333" s="224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5"/>
      <c r="B334" s="5"/>
      <c r="C334" s="5"/>
      <c r="D334" s="5"/>
      <c r="E334" s="223"/>
      <c r="F334" s="223"/>
      <c r="G334" s="223"/>
      <c r="H334" s="224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5"/>
      <c r="B335" s="5"/>
      <c r="C335" s="5"/>
      <c r="D335" s="5"/>
      <c r="E335" s="223"/>
      <c r="F335" s="223"/>
      <c r="G335" s="223"/>
      <c r="H335" s="224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5"/>
      <c r="B336" s="5"/>
      <c r="C336" s="5"/>
      <c r="D336" s="5"/>
      <c r="E336" s="223"/>
      <c r="F336" s="223"/>
      <c r="G336" s="223"/>
      <c r="H336" s="224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5"/>
      <c r="B337" s="5"/>
      <c r="C337" s="5"/>
      <c r="D337" s="5"/>
      <c r="E337" s="223"/>
      <c r="F337" s="223"/>
      <c r="G337" s="223"/>
      <c r="H337" s="224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5"/>
      <c r="B338" s="5"/>
      <c r="C338" s="5"/>
      <c r="D338" s="5"/>
      <c r="E338" s="223"/>
      <c r="F338" s="223"/>
      <c r="G338" s="223"/>
      <c r="H338" s="224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5"/>
      <c r="B339" s="5"/>
      <c r="C339" s="5"/>
      <c r="D339" s="5"/>
      <c r="E339" s="223"/>
      <c r="F339" s="223"/>
      <c r="G339" s="223"/>
      <c r="H339" s="224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5"/>
      <c r="B340" s="5"/>
      <c r="C340" s="5"/>
      <c r="D340" s="5"/>
      <c r="E340" s="223"/>
      <c r="F340" s="223"/>
      <c r="G340" s="223"/>
      <c r="H340" s="224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5"/>
      <c r="B341" s="5"/>
      <c r="C341" s="5"/>
      <c r="D341" s="5"/>
      <c r="E341" s="223"/>
      <c r="F341" s="223"/>
      <c r="G341" s="223"/>
      <c r="H341" s="224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5"/>
      <c r="B342" s="5"/>
      <c r="C342" s="5"/>
      <c r="D342" s="5"/>
      <c r="E342" s="223"/>
      <c r="F342" s="223"/>
      <c r="G342" s="223"/>
      <c r="H342" s="224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5"/>
      <c r="B343" s="5"/>
      <c r="C343" s="5"/>
      <c r="D343" s="5"/>
      <c r="E343" s="223"/>
      <c r="F343" s="223"/>
      <c r="G343" s="223"/>
      <c r="H343" s="224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5"/>
      <c r="B344" s="5"/>
      <c r="C344" s="5"/>
      <c r="D344" s="5"/>
      <c r="E344" s="223"/>
      <c r="F344" s="223"/>
      <c r="G344" s="223"/>
      <c r="H344" s="224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5"/>
      <c r="B345" s="5"/>
      <c r="C345" s="5"/>
      <c r="D345" s="5"/>
      <c r="E345" s="223"/>
      <c r="F345" s="223"/>
      <c r="G345" s="223"/>
      <c r="H345" s="224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5"/>
      <c r="B346" s="5"/>
      <c r="C346" s="5"/>
      <c r="D346" s="5"/>
      <c r="E346" s="223"/>
      <c r="F346" s="223"/>
      <c r="G346" s="223"/>
      <c r="H346" s="224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5"/>
      <c r="B347" s="5"/>
      <c r="C347" s="5"/>
      <c r="D347" s="5"/>
      <c r="E347" s="223"/>
      <c r="F347" s="223"/>
      <c r="G347" s="223"/>
      <c r="H347" s="224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5"/>
      <c r="B348" s="5"/>
      <c r="C348" s="5"/>
      <c r="D348" s="5"/>
      <c r="E348" s="223"/>
      <c r="F348" s="223"/>
      <c r="G348" s="223"/>
      <c r="H348" s="224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5"/>
      <c r="B349" s="5"/>
      <c r="C349" s="5"/>
      <c r="D349" s="5"/>
      <c r="E349" s="223"/>
      <c r="F349" s="223"/>
      <c r="G349" s="223"/>
      <c r="H349" s="224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5"/>
      <c r="B350" s="5"/>
      <c r="C350" s="5"/>
      <c r="D350" s="5"/>
      <c r="E350" s="223"/>
      <c r="F350" s="223"/>
      <c r="G350" s="223"/>
      <c r="H350" s="224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5"/>
      <c r="B351" s="5"/>
      <c r="C351" s="5"/>
      <c r="D351" s="5"/>
      <c r="E351" s="223"/>
      <c r="F351" s="223"/>
      <c r="G351" s="223"/>
      <c r="H351" s="224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5"/>
      <c r="B352" s="5"/>
      <c r="C352" s="5"/>
      <c r="D352" s="5"/>
      <c r="E352" s="223"/>
      <c r="F352" s="223"/>
      <c r="G352" s="223"/>
      <c r="H352" s="224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5"/>
      <c r="B353" s="5"/>
      <c r="C353" s="5"/>
      <c r="D353" s="5"/>
      <c r="E353" s="223"/>
      <c r="F353" s="223"/>
      <c r="G353" s="223"/>
      <c r="H353" s="224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5"/>
      <c r="B354" s="5"/>
      <c r="C354" s="5"/>
      <c r="D354" s="5"/>
      <c r="E354" s="223"/>
      <c r="F354" s="223"/>
      <c r="G354" s="223"/>
      <c r="H354" s="224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5"/>
      <c r="B355" s="5"/>
      <c r="C355" s="5"/>
      <c r="D355" s="5"/>
      <c r="E355" s="223"/>
      <c r="F355" s="223"/>
      <c r="G355" s="223"/>
      <c r="H355" s="224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5"/>
      <c r="B356" s="5"/>
      <c r="C356" s="5"/>
      <c r="D356" s="5"/>
      <c r="E356" s="223"/>
      <c r="F356" s="223"/>
      <c r="G356" s="223"/>
      <c r="H356" s="224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5"/>
      <c r="B357" s="5"/>
      <c r="C357" s="5"/>
      <c r="D357" s="5"/>
      <c r="E357" s="223"/>
      <c r="F357" s="223"/>
      <c r="G357" s="223"/>
      <c r="H357" s="224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5"/>
      <c r="B358" s="5"/>
      <c r="C358" s="5"/>
      <c r="D358" s="5"/>
      <c r="E358" s="223"/>
      <c r="F358" s="223"/>
      <c r="G358" s="223"/>
      <c r="H358" s="224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5"/>
      <c r="B359" s="5"/>
      <c r="C359" s="5"/>
      <c r="D359" s="5"/>
      <c r="E359" s="223"/>
      <c r="F359" s="223"/>
      <c r="G359" s="223"/>
      <c r="H359" s="224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5"/>
      <c r="B360" s="5"/>
      <c r="C360" s="5"/>
      <c r="D360" s="5"/>
      <c r="E360" s="223"/>
      <c r="F360" s="223"/>
      <c r="G360" s="223"/>
      <c r="H360" s="224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5"/>
      <c r="B361" s="5"/>
      <c r="C361" s="5"/>
      <c r="D361" s="5"/>
      <c r="E361" s="223"/>
      <c r="F361" s="223"/>
      <c r="G361" s="223"/>
      <c r="H361" s="224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5"/>
      <c r="B362" s="5"/>
      <c r="C362" s="5"/>
      <c r="D362" s="5"/>
      <c r="E362" s="223"/>
      <c r="F362" s="223"/>
      <c r="G362" s="223"/>
      <c r="H362" s="224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5"/>
      <c r="B363" s="5"/>
      <c r="C363" s="5"/>
      <c r="D363" s="5"/>
      <c r="E363" s="223"/>
      <c r="F363" s="223"/>
      <c r="G363" s="223"/>
      <c r="H363" s="224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5"/>
      <c r="B364" s="5"/>
      <c r="C364" s="5"/>
      <c r="D364" s="5"/>
      <c r="E364" s="223"/>
      <c r="F364" s="223"/>
      <c r="G364" s="223"/>
      <c r="H364" s="224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5"/>
      <c r="B365" s="5"/>
      <c r="C365" s="5"/>
      <c r="D365" s="5"/>
      <c r="E365" s="223"/>
      <c r="F365" s="223"/>
      <c r="G365" s="223"/>
      <c r="H365" s="224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5"/>
      <c r="B366" s="5"/>
      <c r="C366" s="5"/>
      <c r="D366" s="5"/>
      <c r="E366" s="223"/>
      <c r="F366" s="223"/>
      <c r="G366" s="223"/>
      <c r="H366" s="224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5"/>
      <c r="B367" s="5"/>
      <c r="C367" s="5"/>
      <c r="D367" s="5"/>
      <c r="E367" s="223"/>
      <c r="F367" s="223"/>
      <c r="G367" s="223"/>
      <c r="H367" s="224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5"/>
      <c r="B368" s="5"/>
      <c r="C368" s="5"/>
      <c r="D368" s="5"/>
      <c r="E368" s="223"/>
      <c r="F368" s="223"/>
      <c r="G368" s="223"/>
      <c r="H368" s="224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5"/>
      <c r="B369" s="5"/>
      <c r="C369" s="5"/>
      <c r="D369" s="5"/>
      <c r="E369" s="223"/>
      <c r="F369" s="223"/>
      <c r="G369" s="223"/>
      <c r="H369" s="224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5"/>
      <c r="B370" s="5"/>
      <c r="C370" s="5"/>
      <c r="D370" s="5"/>
      <c r="E370" s="223"/>
      <c r="F370" s="223"/>
      <c r="G370" s="223"/>
      <c r="H370" s="224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5"/>
      <c r="B371" s="5"/>
      <c r="C371" s="5"/>
      <c r="D371" s="5"/>
      <c r="E371" s="223"/>
      <c r="F371" s="223"/>
      <c r="G371" s="223"/>
      <c r="H371" s="224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5"/>
      <c r="B372" s="5"/>
      <c r="C372" s="5"/>
      <c r="D372" s="5"/>
      <c r="E372" s="223"/>
      <c r="F372" s="223"/>
      <c r="G372" s="223"/>
      <c r="H372" s="224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5"/>
      <c r="B373" s="5"/>
      <c r="C373" s="5"/>
      <c r="D373" s="5"/>
      <c r="E373" s="223"/>
      <c r="F373" s="223"/>
      <c r="G373" s="223"/>
      <c r="H373" s="224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5"/>
      <c r="B374" s="5"/>
      <c r="C374" s="5"/>
      <c r="D374" s="5"/>
      <c r="E374" s="223"/>
      <c r="F374" s="223"/>
      <c r="G374" s="223"/>
      <c r="H374" s="224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5"/>
      <c r="B375" s="5"/>
      <c r="C375" s="5"/>
      <c r="D375" s="5"/>
      <c r="E375" s="223"/>
      <c r="F375" s="223"/>
      <c r="G375" s="223"/>
      <c r="H375" s="224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5"/>
      <c r="B376" s="5"/>
      <c r="C376" s="5"/>
      <c r="D376" s="5"/>
      <c r="E376" s="223"/>
      <c r="F376" s="223"/>
      <c r="G376" s="223"/>
      <c r="H376" s="224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5"/>
      <c r="B377" s="5"/>
      <c r="C377" s="5"/>
      <c r="D377" s="5"/>
      <c r="E377" s="223"/>
      <c r="F377" s="223"/>
      <c r="G377" s="223"/>
      <c r="H377" s="224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5"/>
      <c r="B378" s="5"/>
      <c r="C378" s="5"/>
      <c r="D378" s="5"/>
      <c r="E378" s="223"/>
      <c r="F378" s="223"/>
      <c r="G378" s="223"/>
      <c r="H378" s="224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5"/>
      <c r="B379" s="5"/>
      <c r="C379" s="5"/>
      <c r="D379" s="5"/>
      <c r="E379" s="223"/>
      <c r="F379" s="223"/>
      <c r="G379" s="223"/>
      <c r="H379" s="224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5"/>
      <c r="B380" s="5"/>
      <c r="C380" s="5"/>
      <c r="D380" s="5"/>
      <c r="E380" s="223"/>
      <c r="F380" s="223"/>
      <c r="G380" s="223"/>
      <c r="H380" s="224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5"/>
      <c r="B381" s="5"/>
      <c r="C381" s="5"/>
      <c r="D381" s="5"/>
      <c r="E381" s="223"/>
      <c r="F381" s="223"/>
      <c r="G381" s="223"/>
      <c r="H381" s="224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5"/>
      <c r="B382" s="5"/>
      <c r="C382" s="5"/>
      <c r="D382" s="5"/>
      <c r="E382" s="223"/>
      <c r="F382" s="223"/>
      <c r="G382" s="223"/>
      <c r="H382" s="224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5"/>
      <c r="B383" s="5"/>
      <c r="C383" s="5"/>
      <c r="D383" s="5"/>
      <c r="E383" s="223"/>
      <c r="F383" s="223"/>
      <c r="G383" s="223"/>
      <c r="H383" s="224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5"/>
      <c r="B384" s="5"/>
      <c r="C384" s="5"/>
      <c r="D384" s="5"/>
      <c r="E384" s="223"/>
      <c r="F384" s="223"/>
      <c r="G384" s="223"/>
      <c r="H384" s="224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5"/>
      <c r="B385" s="5"/>
      <c r="C385" s="5"/>
      <c r="D385" s="5"/>
      <c r="E385" s="223"/>
      <c r="F385" s="223"/>
      <c r="G385" s="223"/>
      <c r="H385" s="224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5"/>
      <c r="B386" s="5"/>
      <c r="C386" s="5"/>
      <c r="D386" s="5"/>
      <c r="E386" s="223"/>
      <c r="F386" s="223"/>
      <c r="G386" s="223"/>
      <c r="H386" s="224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5"/>
      <c r="B387" s="5"/>
      <c r="C387" s="5"/>
      <c r="D387" s="5"/>
      <c r="E387" s="223"/>
      <c r="F387" s="223"/>
      <c r="G387" s="223"/>
      <c r="H387" s="224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5"/>
      <c r="B388" s="5"/>
      <c r="C388" s="5"/>
      <c r="D388" s="5"/>
      <c r="E388" s="223"/>
      <c r="F388" s="223"/>
      <c r="G388" s="223"/>
      <c r="H388" s="224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5"/>
      <c r="B389" s="5"/>
      <c r="C389" s="5"/>
      <c r="D389" s="5"/>
      <c r="E389" s="223"/>
      <c r="F389" s="223"/>
      <c r="G389" s="223"/>
      <c r="H389" s="224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5"/>
      <c r="B390" s="5"/>
      <c r="C390" s="5"/>
      <c r="D390" s="5"/>
      <c r="E390" s="223"/>
      <c r="F390" s="223"/>
      <c r="G390" s="223"/>
      <c r="H390" s="224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5"/>
      <c r="B391" s="5"/>
      <c r="C391" s="5"/>
      <c r="D391" s="5"/>
      <c r="E391" s="223"/>
      <c r="F391" s="223"/>
      <c r="G391" s="223"/>
      <c r="H391" s="224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5"/>
      <c r="B392" s="5"/>
      <c r="C392" s="5"/>
      <c r="D392" s="5"/>
      <c r="E392" s="223"/>
      <c r="F392" s="223"/>
      <c r="G392" s="223"/>
      <c r="H392" s="224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5"/>
      <c r="B393" s="5"/>
      <c r="C393" s="5"/>
      <c r="D393" s="5"/>
      <c r="E393" s="223"/>
      <c r="F393" s="223"/>
      <c r="G393" s="223"/>
      <c r="H393" s="224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5"/>
      <c r="B394" s="5"/>
      <c r="C394" s="5"/>
      <c r="D394" s="5"/>
      <c r="E394" s="223"/>
      <c r="F394" s="223"/>
      <c r="G394" s="223"/>
      <c r="H394" s="224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5"/>
      <c r="B395" s="5"/>
      <c r="C395" s="5"/>
      <c r="D395" s="5"/>
      <c r="E395" s="223"/>
      <c r="F395" s="223"/>
      <c r="G395" s="223"/>
      <c r="H395" s="224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5"/>
      <c r="B396" s="5"/>
      <c r="C396" s="5"/>
      <c r="D396" s="5"/>
      <c r="E396" s="223"/>
      <c r="F396" s="223"/>
      <c r="G396" s="223"/>
      <c r="H396" s="224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5"/>
      <c r="B397" s="5"/>
      <c r="C397" s="5"/>
      <c r="D397" s="5"/>
      <c r="E397" s="223"/>
      <c r="F397" s="223"/>
      <c r="G397" s="223"/>
      <c r="H397" s="224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5"/>
      <c r="B398" s="5"/>
      <c r="C398" s="5"/>
      <c r="D398" s="5"/>
      <c r="E398" s="223"/>
      <c r="F398" s="223"/>
      <c r="G398" s="223"/>
      <c r="H398" s="224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5"/>
      <c r="B399" s="5"/>
      <c r="C399" s="5"/>
      <c r="D399" s="5"/>
      <c r="E399" s="223"/>
      <c r="F399" s="223"/>
      <c r="G399" s="223"/>
      <c r="H399" s="224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5"/>
      <c r="B400" s="5"/>
      <c r="C400" s="5"/>
      <c r="D400" s="5"/>
      <c r="E400" s="223"/>
      <c r="F400" s="223"/>
      <c r="G400" s="223"/>
      <c r="H400" s="224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5"/>
      <c r="B401" s="5"/>
      <c r="C401" s="5"/>
      <c r="D401" s="5"/>
      <c r="E401" s="223"/>
      <c r="F401" s="223"/>
      <c r="G401" s="223"/>
      <c r="H401" s="224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5"/>
      <c r="B402" s="5"/>
      <c r="C402" s="5"/>
      <c r="D402" s="5"/>
      <c r="E402" s="223"/>
      <c r="F402" s="223"/>
      <c r="G402" s="223"/>
      <c r="H402" s="224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5"/>
      <c r="B403" s="5"/>
      <c r="C403" s="5"/>
      <c r="D403" s="5"/>
      <c r="E403" s="223"/>
      <c r="F403" s="223"/>
      <c r="G403" s="223"/>
      <c r="H403" s="224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5"/>
      <c r="B404" s="5"/>
      <c r="C404" s="5"/>
      <c r="D404" s="5"/>
      <c r="E404" s="223"/>
      <c r="F404" s="223"/>
      <c r="G404" s="223"/>
      <c r="H404" s="224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5"/>
      <c r="B405" s="5"/>
      <c r="C405" s="5"/>
      <c r="D405" s="5"/>
      <c r="E405" s="223"/>
      <c r="F405" s="223"/>
      <c r="G405" s="223"/>
      <c r="H405" s="224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5"/>
      <c r="B406" s="5"/>
      <c r="C406" s="5"/>
      <c r="D406" s="5"/>
      <c r="E406" s="223"/>
      <c r="F406" s="223"/>
      <c r="G406" s="223"/>
      <c r="H406" s="224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5"/>
      <c r="B407" s="5"/>
      <c r="C407" s="5"/>
      <c r="D407" s="5"/>
      <c r="E407" s="223"/>
      <c r="F407" s="223"/>
      <c r="G407" s="223"/>
      <c r="H407" s="224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5"/>
      <c r="B408" s="5"/>
      <c r="C408" s="5"/>
      <c r="D408" s="5"/>
      <c r="E408" s="223"/>
      <c r="F408" s="223"/>
      <c r="G408" s="223"/>
      <c r="H408" s="224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5"/>
      <c r="B409" s="5"/>
      <c r="C409" s="5"/>
      <c r="D409" s="5"/>
      <c r="E409" s="223"/>
      <c r="F409" s="223"/>
      <c r="G409" s="223"/>
      <c r="H409" s="224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5"/>
      <c r="B410" s="5"/>
      <c r="C410" s="5"/>
      <c r="D410" s="5"/>
      <c r="E410" s="223"/>
      <c r="F410" s="223"/>
      <c r="G410" s="223"/>
      <c r="H410" s="224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5"/>
      <c r="B411" s="5"/>
      <c r="C411" s="5"/>
      <c r="D411" s="5"/>
      <c r="E411" s="223"/>
      <c r="F411" s="223"/>
      <c r="G411" s="223"/>
      <c r="H411" s="224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5"/>
      <c r="B412" s="5"/>
      <c r="C412" s="5"/>
      <c r="D412" s="5"/>
      <c r="E412" s="223"/>
      <c r="F412" s="223"/>
      <c r="G412" s="223"/>
      <c r="H412" s="224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5"/>
      <c r="B413" s="5"/>
      <c r="C413" s="5"/>
      <c r="D413" s="5"/>
      <c r="E413" s="223"/>
      <c r="F413" s="223"/>
      <c r="G413" s="223"/>
      <c r="H413" s="224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5"/>
      <c r="B414" s="5"/>
      <c r="C414" s="5"/>
      <c r="D414" s="5"/>
      <c r="E414" s="223"/>
      <c r="F414" s="223"/>
      <c r="G414" s="223"/>
      <c r="H414" s="224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5"/>
      <c r="B415" s="5"/>
      <c r="C415" s="5"/>
      <c r="D415" s="5"/>
      <c r="E415" s="223"/>
      <c r="F415" s="223"/>
      <c r="G415" s="223"/>
      <c r="H415" s="224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5"/>
      <c r="B416" s="5"/>
      <c r="C416" s="5"/>
      <c r="D416" s="5"/>
      <c r="E416" s="223"/>
      <c r="F416" s="223"/>
      <c r="G416" s="223"/>
      <c r="H416" s="224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5"/>
      <c r="B417" s="5"/>
      <c r="C417" s="5"/>
      <c r="D417" s="5"/>
      <c r="E417" s="223"/>
      <c r="F417" s="223"/>
      <c r="G417" s="223"/>
      <c r="H417" s="224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5"/>
      <c r="B418" s="5"/>
      <c r="C418" s="5"/>
      <c r="D418" s="5"/>
      <c r="E418" s="223"/>
      <c r="F418" s="223"/>
      <c r="G418" s="223"/>
      <c r="H418" s="224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5"/>
      <c r="B419" s="5"/>
      <c r="C419" s="5"/>
      <c r="D419" s="5"/>
      <c r="E419" s="223"/>
      <c r="F419" s="223"/>
      <c r="G419" s="223"/>
      <c r="H419" s="224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5"/>
      <c r="B420" s="5"/>
      <c r="C420" s="5"/>
      <c r="D420" s="5"/>
      <c r="E420" s="223"/>
      <c r="F420" s="223"/>
      <c r="G420" s="223"/>
      <c r="H420" s="224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5"/>
      <c r="B421" s="5"/>
      <c r="C421" s="5"/>
      <c r="D421" s="5"/>
      <c r="E421" s="223"/>
      <c r="F421" s="223"/>
      <c r="G421" s="223"/>
      <c r="H421" s="224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5"/>
      <c r="B422" s="5"/>
      <c r="C422" s="5"/>
      <c r="D422" s="5"/>
      <c r="E422" s="223"/>
      <c r="F422" s="223"/>
      <c r="G422" s="223"/>
      <c r="H422" s="224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5"/>
      <c r="B423" s="5"/>
      <c r="C423" s="5"/>
      <c r="D423" s="5"/>
      <c r="E423" s="223"/>
      <c r="F423" s="223"/>
      <c r="G423" s="223"/>
      <c r="H423" s="224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5"/>
      <c r="B424" s="5"/>
      <c r="C424" s="5"/>
      <c r="D424" s="5"/>
      <c r="E424" s="223"/>
      <c r="F424" s="223"/>
      <c r="G424" s="223"/>
      <c r="H424" s="224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5"/>
      <c r="B425" s="5"/>
      <c r="C425" s="5"/>
      <c r="D425" s="5"/>
      <c r="E425" s="223"/>
      <c r="F425" s="223"/>
      <c r="G425" s="223"/>
      <c r="H425" s="224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5"/>
      <c r="B426" s="5"/>
      <c r="C426" s="5"/>
      <c r="D426" s="5"/>
      <c r="E426" s="223"/>
      <c r="F426" s="223"/>
      <c r="G426" s="223"/>
      <c r="H426" s="224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5"/>
      <c r="B427" s="5"/>
      <c r="C427" s="5"/>
      <c r="D427" s="5"/>
      <c r="E427" s="223"/>
      <c r="F427" s="223"/>
      <c r="G427" s="223"/>
      <c r="H427" s="224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5"/>
      <c r="B428" s="5"/>
      <c r="C428" s="5"/>
      <c r="D428" s="5"/>
      <c r="E428" s="223"/>
      <c r="F428" s="223"/>
      <c r="G428" s="223"/>
      <c r="H428" s="224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5"/>
      <c r="B429" s="5"/>
      <c r="C429" s="5"/>
      <c r="D429" s="5"/>
      <c r="E429" s="223"/>
      <c r="F429" s="223"/>
      <c r="G429" s="223"/>
      <c r="H429" s="224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5"/>
      <c r="B430" s="5"/>
      <c r="C430" s="5"/>
      <c r="D430" s="5"/>
      <c r="E430" s="223"/>
      <c r="F430" s="223"/>
      <c r="G430" s="223"/>
      <c r="H430" s="224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5"/>
      <c r="B431" s="5"/>
      <c r="C431" s="5"/>
      <c r="D431" s="5"/>
      <c r="E431" s="223"/>
      <c r="F431" s="223"/>
      <c r="G431" s="223"/>
      <c r="H431" s="224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5"/>
      <c r="B432" s="5"/>
      <c r="C432" s="5"/>
      <c r="D432" s="5"/>
      <c r="E432" s="223"/>
      <c r="F432" s="223"/>
      <c r="G432" s="223"/>
      <c r="H432" s="224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5"/>
      <c r="B433" s="5"/>
      <c r="C433" s="5"/>
      <c r="D433" s="5"/>
      <c r="E433" s="223"/>
      <c r="F433" s="223"/>
      <c r="G433" s="223"/>
      <c r="H433" s="224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5"/>
      <c r="B434" s="5"/>
      <c r="C434" s="5"/>
      <c r="D434" s="5"/>
      <c r="E434" s="223"/>
      <c r="F434" s="223"/>
      <c r="G434" s="223"/>
      <c r="H434" s="224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5"/>
      <c r="B435" s="5"/>
      <c r="C435" s="5"/>
      <c r="D435" s="5"/>
      <c r="E435" s="223"/>
      <c r="F435" s="223"/>
      <c r="G435" s="223"/>
      <c r="H435" s="224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5"/>
      <c r="B436" s="5"/>
      <c r="C436" s="5"/>
      <c r="D436" s="5"/>
      <c r="E436" s="223"/>
      <c r="F436" s="223"/>
      <c r="G436" s="223"/>
      <c r="H436" s="224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5"/>
      <c r="B437" s="5"/>
      <c r="C437" s="5"/>
      <c r="D437" s="5"/>
      <c r="E437" s="223"/>
      <c r="F437" s="223"/>
      <c r="G437" s="223"/>
      <c r="H437" s="224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5"/>
      <c r="B438" s="5"/>
      <c r="C438" s="5"/>
      <c r="D438" s="5"/>
      <c r="E438" s="223"/>
      <c r="F438" s="223"/>
      <c r="G438" s="223"/>
      <c r="H438" s="224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5"/>
      <c r="B439" s="5"/>
      <c r="C439" s="5"/>
      <c r="D439" s="5"/>
      <c r="E439" s="223"/>
      <c r="F439" s="223"/>
      <c r="G439" s="223"/>
      <c r="H439" s="224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5"/>
      <c r="B440" s="5"/>
      <c r="C440" s="5"/>
      <c r="D440" s="5"/>
      <c r="E440" s="223"/>
      <c r="F440" s="223"/>
      <c r="G440" s="223"/>
      <c r="H440" s="224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5"/>
      <c r="B441" s="5"/>
      <c r="C441" s="5"/>
      <c r="D441" s="5"/>
      <c r="E441" s="223"/>
      <c r="F441" s="223"/>
      <c r="G441" s="223"/>
      <c r="H441" s="224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5"/>
      <c r="B442" s="5"/>
      <c r="C442" s="5"/>
      <c r="D442" s="5"/>
      <c r="E442" s="223"/>
      <c r="F442" s="223"/>
      <c r="G442" s="223"/>
      <c r="H442" s="224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5"/>
      <c r="B443" s="5"/>
      <c r="C443" s="5"/>
      <c r="D443" s="5"/>
      <c r="E443" s="223"/>
      <c r="F443" s="223"/>
      <c r="G443" s="223"/>
      <c r="H443" s="224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5"/>
      <c r="B444" s="5"/>
      <c r="C444" s="5"/>
      <c r="D444" s="5"/>
      <c r="E444" s="223"/>
      <c r="F444" s="223"/>
      <c r="G444" s="223"/>
      <c r="H444" s="224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5"/>
      <c r="B445" s="5"/>
      <c r="C445" s="5"/>
      <c r="D445" s="5"/>
      <c r="E445" s="223"/>
      <c r="F445" s="223"/>
      <c r="G445" s="223"/>
      <c r="H445" s="224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5"/>
      <c r="B446" s="5"/>
      <c r="C446" s="5"/>
      <c r="D446" s="5"/>
      <c r="E446" s="223"/>
      <c r="F446" s="223"/>
      <c r="G446" s="223"/>
      <c r="H446" s="224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5"/>
      <c r="B447" s="5"/>
      <c r="C447" s="5"/>
      <c r="D447" s="5"/>
      <c r="E447" s="223"/>
      <c r="F447" s="223"/>
      <c r="G447" s="223"/>
      <c r="H447" s="224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5"/>
      <c r="B448" s="5"/>
      <c r="C448" s="5"/>
      <c r="D448" s="5"/>
      <c r="E448" s="223"/>
      <c r="F448" s="223"/>
      <c r="G448" s="223"/>
      <c r="H448" s="224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5"/>
      <c r="B449" s="5"/>
      <c r="C449" s="5"/>
      <c r="D449" s="5"/>
      <c r="E449" s="223"/>
      <c r="F449" s="223"/>
      <c r="G449" s="223"/>
      <c r="H449" s="224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5"/>
      <c r="B450" s="5"/>
      <c r="C450" s="5"/>
      <c r="D450" s="5"/>
      <c r="E450" s="223"/>
      <c r="F450" s="223"/>
      <c r="G450" s="223"/>
      <c r="H450" s="224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5"/>
      <c r="B451" s="5"/>
      <c r="C451" s="5"/>
      <c r="D451" s="5"/>
      <c r="E451" s="223"/>
      <c r="F451" s="223"/>
      <c r="G451" s="223"/>
      <c r="H451" s="224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5"/>
      <c r="B452" s="5"/>
      <c r="C452" s="5"/>
      <c r="D452" s="5"/>
      <c r="E452" s="223"/>
      <c r="F452" s="223"/>
      <c r="G452" s="223"/>
      <c r="H452" s="224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5"/>
      <c r="B453" s="5"/>
      <c r="C453" s="5"/>
      <c r="D453" s="5"/>
      <c r="E453" s="223"/>
      <c r="F453" s="223"/>
      <c r="G453" s="223"/>
      <c r="H453" s="224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5"/>
      <c r="B454" s="5"/>
      <c r="C454" s="5"/>
      <c r="D454" s="5"/>
      <c r="E454" s="223"/>
      <c r="F454" s="223"/>
      <c r="G454" s="223"/>
      <c r="H454" s="224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5"/>
      <c r="B455" s="5"/>
      <c r="C455" s="5"/>
      <c r="D455" s="5"/>
      <c r="E455" s="223"/>
      <c r="F455" s="223"/>
      <c r="G455" s="223"/>
      <c r="H455" s="224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5"/>
      <c r="B456" s="5"/>
      <c r="C456" s="5"/>
      <c r="D456" s="5"/>
      <c r="E456" s="223"/>
      <c r="F456" s="223"/>
      <c r="G456" s="223"/>
      <c r="H456" s="224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5"/>
      <c r="B457" s="5"/>
      <c r="C457" s="5"/>
      <c r="D457" s="5"/>
      <c r="E457" s="223"/>
      <c r="F457" s="223"/>
      <c r="G457" s="223"/>
      <c r="H457" s="224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5"/>
      <c r="B458" s="5"/>
      <c r="C458" s="5"/>
      <c r="D458" s="5"/>
      <c r="E458" s="223"/>
      <c r="F458" s="223"/>
      <c r="G458" s="223"/>
      <c r="H458" s="224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5"/>
      <c r="B459" s="5"/>
      <c r="C459" s="5"/>
      <c r="D459" s="5"/>
      <c r="E459" s="223"/>
      <c r="F459" s="223"/>
      <c r="G459" s="223"/>
      <c r="H459" s="224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5"/>
      <c r="B460" s="5"/>
      <c r="C460" s="5"/>
      <c r="D460" s="5"/>
      <c r="E460" s="223"/>
      <c r="F460" s="223"/>
      <c r="G460" s="223"/>
      <c r="H460" s="224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5"/>
      <c r="B461" s="5"/>
      <c r="C461" s="5"/>
      <c r="D461" s="5"/>
      <c r="E461" s="223"/>
      <c r="F461" s="223"/>
      <c r="G461" s="223"/>
      <c r="H461" s="224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5"/>
      <c r="B462" s="5"/>
      <c r="C462" s="5"/>
      <c r="D462" s="5"/>
      <c r="E462" s="223"/>
      <c r="F462" s="223"/>
      <c r="G462" s="223"/>
      <c r="H462" s="224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5"/>
      <c r="B463" s="5"/>
      <c r="C463" s="5"/>
      <c r="D463" s="5"/>
      <c r="E463" s="223"/>
      <c r="F463" s="223"/>
      <c r="G463" s="223"/>
      <c r="H463" s="224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5"/>
      <c r="B464" s="5"/>
      <c r="C464" s="5"/>
      <c r="D464" s="5"/>
      <c r="E464" s="223"/>
      <c r="F464" s="223"/>
      <c r="G464" s="223"/>
      <c r="H464" s="224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5"/>
      <c r="B465" s="5"/>
      <c r="C465" s="5"/>
      <c r="D465" s="5"/>
      <c r="E465" s="223"/>
      <c r="F465" s="223"/>
      <c r="G465" s="223"/>
      <c r="H465" s="224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5"/>
      <c r="B466" s="5"/>
      <c r="C466" s="5"/>
      <c r="D466" s="5"/>
      <c r="E466" s="223"/>
      <c r="F466" s="223"/>
      <c r="G466" s="223"/>
      <c r="H466" s="224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5"/>
      <c r="B467" s="5"/>
      <c r="C467" s="5"/>
      <c r="D467" s="5"/>
      <c r="E467" s="223"/>
      <c r="F467" s="223"/>
      <c r="G467" s="223"/>
      <c r="H467" s="224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5"/>
      <c r="B468" s="5"/>
      <c r="C468" s="5"/>
      <c r="D468" s="5"/>
      <c r="E468" s="223"/>
      <c r="F468" s="223"/>
      <c r="G468" s="223"/>
      <c r="H468" s="224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5"/>
      <c r="B469" s="5"/>
      <c r="C469" s="5"/>
      <c r="D469" s="5"/>
      <c r="E469" s="223"/>
      <c r="F469" s="223"/>
      <c r="G469" s="223"/>
      <c r="H469" s="224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5"/>
      <c r="B470" s="5"/>
      <c r="C470" s="5"/>
      <c r="D470" s="5"/>
      <c r="E470" s="223"/>
      <c r="F470" s="223"/>
      <c r="G470" s="223"/>
      <c r="H470" s="224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5"/>
      <c r="B471" s="5"/>
      <c r="C471" s="5"/>
      <c r="D471" s="5"/>
      <c r="E471" s="223"/>
      <c r="F471" s="223"/>
      <c r="G471" s="223"/>
      <c r="H471" s="224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5"/>
      <c r="B472" s="5"/>
      <c r="C472" s="5"/>
      <c r="D472" s="5"/>
      <c r="E472" s="223"/>
      <c r="F472" s="223"/>
      <c r="G472" s="223"/>
      <c r="H472" s="224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5"/>
      <c r="B473" s="5"/>
      <c r="C473" s="5"/>
      <c r="D473" s="5"/>
      <c r="E473" s="223"/>
      <c r="F473" s="223"/>
      <c r="G473" s="223"/>
      <c r="H473" s="224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5"/>
      <c r="B474" s="5"/>
      <c r="C474" s="5"/>
      <c r="D474" s="5"/>
      <c r="E474" s="223"/>
      <c r="F474" s="223"/>
      <c r="G474" s="223"/>
      <c r="H474" s="224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5"/>
      <c r="B475" s="5"/>
      <c r="C475" s="5"/>
      <c r="D475" s="5"/>
      <c r="E475" s="223"/>
      <c r="F475" s="223"/>
      <c r="G475" s="223"/>
      <c r="H475" s="224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5"/>
      <c r="B476" s="5"/>
      <c r="C476" s="5"/>
      <c r="D476" s="5"/>
      <c r="E476" s="223"/>
      <c r="F476" s="223"/>
      <c r="G476" s="223"/>
      <c r="H476" s="224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5"/>
      <c r="B477" s="5"/>
      <c r="C477" s="5"/>
      <c r="D477" s="5"/>
      <c r="E477" s="223"/>
      <c r="F477" s="223"/>
      <c r="G477" s="223"/>
      <c r="H477" s="224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5"/>
      <c r="B478" s="5"/>
      <c r="C478" s="5"/>
      <c r="D478" s="5"/>
      <c r="E478" s="223"/>
      <c r="F478" s="223"/>
      <c r="G478" s="223"/>
      <c r="H478" s="224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5"/>
      <c r="B479" s="5"/>
      <c r="C479" s="5"/>
      <c r="D479" s="5"/>
      <c r="E479" s="223"/>
      <c r="F479" s="223"/>
      <c r="G479" s="223"/>
      <c r="H479" s="224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5"/>
      <c r="B480" s="5"/>
      <c r="C480" s="5"/>
      <c r="D480" s="5"/>
      <c r="E480" s="223"/>
      <c r="F480" s="223"/>
      <c r="G480" s="223"/>
      <c r="H480" s="224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5"/>
      <c r="B481" s="5"/>
      <c r="C481" s="5"/>
      <c r="D481" s="5"/>
      <c r="E481" s="223"/>
      <c r="F481" s="223"/>
      <c r="G481" s="223"/>
      <c r="H481" s="224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5"/>
      <c r="B482" s="5"/>
      <c r="C482" s="5"/>
      <c r="D482" s="5"/>
      <c r="E482" s="223"/>
      <c r="F482" s="223"/>
      <c r="G482" s="223"/>
      <c r="H482" s="224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5"/>
      <c r="B483" s="5"/>
      <c r="C483" s="5"/>
      <c r="D483" s="5"/>
      <c r="E483" s="223"/>
      <c r="F483" s="223"/>
      <c r="G483" s="223"/>
      <c r="H483" s="224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5"/>
      <c r="B484" s="5"/>
      <c r="C484" s="5"/>
      <c r="D484" s="5"/>
      <c r="E484" s="223"/>
      <c r="F484" s="223"/>
      <c r="G484" s="223"/>
      <c r="H484" s="224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5"/>
      <c r="B485" s="5"/>
      <c r="C485" s="5"/>
      <c r="D485" s="5"/>
      <c r="E485" s="223"/>
      <c r="F485" s="223"/>
      <c r="G485" s="223"/>
      <c r="H485" s="224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5"/>
      <c r="B486" s="5"/>
      <c r="C486" s="5"/>
      <c r="D486" s="5"/>
      <c r="E486" s="223"/>
      <c r="F486" s="223"/>
      <c r="G486" s="223"/>
      <c r="H486" s="224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5"/>
      <c r="B487" s="5"/>
      <c r="C487" s="5"/>
      <c r="D487" s="5"/>
      <c r="E487" s="223"/>
      <c r="F487" s="223"/>
      <c r="G487" s="223"/>
      <c r="H487" s="224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5"/>
      <c r="B488" s="5"/>
      <c r="C488" s="5"/>
      <c r="D488" s="5"/>
      <c r="E488" s="223"/>
      <c r="F488" s="223"/>
      <c r="G488" s="223"/>
      <c r="H488" s="224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5"/>
      <c r="B489" s="5"/>
      <c r="C489" s="5"/>
      <c r="D489" s="5"/>
      <c r="E489" s="223"/>
      <c r="F489" s="223"/>
      <c r="G489" s="223"/>
      <c r="H489" s="224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5"/>
      <c r="B490" s="5"/>
      <c r="C490" s="5"/>
      <c r="D490" s="5"/>
      <c r="E490" s="223"/>
      <c r="F490" s="223"/>
      <c r="G490" s="223"/>
      <c r="H490" s="224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5"/>
      <c r="B491" s="5"/>
      <c r="C491" s="5"/>
      <c r="D491" s="5"/>
      <c r="E491" s="223"/>
      <c r="F491" s="223"/>
      <c r="G491" s="223"/>
      <c r="H491" s="224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5"/>
      <c r="B492" s="5"/>
      <c r="C492" s="5"/>
      <c r="D492" s="5"/>
      <c r="E492" s="223"/>
      <c r="F492" s="223"/>
      <c r="G492" s="223"/>
      <c r="H492" s="224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5"/>
      <c r="B493" s="5"/>
      <c r="C493" s="5"/>
      <c r="D493" s="5"/>
      <c r="E493" s="223"/>
      <c r="F493" s="223"/>
      <c r="G493" s="223"/>
      <c r="H493" s="224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5"/>
      <c r="B494" s="5"/>
      <c r="C494" s="5"/>
      <c r="D494" s="5"/>
      <c r="E494" s="223"/>
      <c r="F494" s="223"/>
      <c r="G494" s="223"/>
      <c r="H494" s="224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5"/>
      <c r="B495" s="5"/>
      <c r="C495" s="5"/>
      <c r="D495" s="5"/>
      <c r="E495" s="223"/>
      <c r="F495" s="223"/>
      <c r="G495" s="223"/>
      <c r="H495" s="224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5"/>
      <c r="B496" s="5"/>
      <c r="C496" s="5"/>
      <c r="D496" s="5"/>
      <c r="E496" s="223"/>
      <c r="F496" s="223"/>
      <c r="G496" s="223"/>
      <c r="H496" s="224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5"/>
      <c r="B497" s="5"/>
      <c r="C497" s="5"/>
      <c r="D497" s="5"/>
      <c r="E497" s="223"/>
      <c r="F497" s="223"/>
      <c r="G497" s="223"/>
      <c r="H497" s="224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5"/>
      <c r="B498" s="5"/>
      <c r="C498" s="5"/>
      <c r="D498" s="5"/>
      <c r="E498" s="223"/>
      <c r="F498" s="223"/>
      <c r="G498" s="223"/>
      <c r="H498" s="224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5"/>
      <c r="B499" s="5"/>
      <c r="C499" s="5"/>
      <c r="D499" s="5"/>
      <c r="E499" s="223"/>
      <c r="F499" s="223"/>
      <c r="G499" s="223"/>
      <c r="H499" s="224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5"/>
      <c r="B500" s="5"/>
      <c r="C500" s="5"/>
      <c r="D500" s="5"/>
      <c r="E500" s="223"/>
      <c r="F500" s="223"/>
      <c r="G500" s="223"/>
      <c r="H500" s="224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5"/>
      <c r="B501" s="5"/>
      <c r="C501" s="5"/>
      <c r="D501" s="5"/>
      <c r="E501" s="223"/>
      <c r="F501" s="223"/>
      <c r="G501" s="223"/>
      <c r="H501" s="224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5"/>
      <c r="B502" s="5"/>
      <c r="C502" s="5"/>
      <c r="D502" s="5"/>
      <c r="E502" s="223"/>
      <c r="F502" s="223"/>
      <c r="G502" s="223"/>
      <c r="H502" s="224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5"/>
      <c r="B503" s="5"/>
      <c r="C503" s="5"/>
      <c r="D503" s="5"/>
      <c r="E503" s="223"/>
      <c r="F503" s="223"/>
      <c r="G503" s="223"/>
      <c r="H503" s="224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5"/>
      <c r="B504" s="5"/>
      <c r="C504" s="5"/>
      <c r="D504" s="5"/>
      <c r="E504" s="223"/>
      <c r="F504" s="223"/>
      <c r="G504" s="223"/>
      <c r="H504" s="224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5"/>
      <c r="B505" s="5"/>
      <c r="C505" s="5"/>
      <c r="D505" s="5"/>
      <c r="E505" s="223"/>
      <c r="F505" s="223"/>
      <c r="G505" s="223"/>
      <c r="H505" s="224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5"/>
      <c r="B506" s="5"/>
      <c r="C506" s="5"/>
      <c r="D506" s="5"/>
      <c r="E506" s="223"/>
      <c r="F506" s="223"/>
      <c r="G506" s="223"/>
      <c r="H506" s="224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5"/>
      <c r="B507" s="5"/>
      <c r="C507" s="5"/>
      <c r="D507" s="5"/>
      <c r="E507" s="223"/>
      <c r="F507" s="223"/>
      <c r="G507" s="223"/>
      <c r="H507" s="224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5"/>
      <c r="B508" s="5"/>
      <c r="C508" s="5"/>
      <c r="D508" s="5"/>
      <c r="E508" s="223"/>
      <c r="F508" s="223"/>
      <c r="G508" s="223"/>
      <c r="H508" s="224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5"/>
      <c r="B509" s="5"/>
      <c r="C509" s="5"/>
      <c r="D509" s="5"/>
      <c r="E509" s="223"/>
      <c r="F509" s="223"/>
      <c r="G509" s="223"/>
      <c r="H509" s="224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5"/>
      <c r="B510" s="5"/>
      <c r="C510" s="5"/>
      <c r="D510" s="5"/>
      <c r="E510" s="223"/>
      <c r="F510" s="223"/>
      <c r="G510" s="223"/>
      <c r="H510" s="224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5"/>
      <c r="B511" s="5"/>
      <c r="C511" s="5"/>
      <c r="D511" s="5"/>
      <c r="E511" s="223"/>
      <c r="F511" s="223"/>
      <c r="G511" s="223"/>
      <c r="H511" s="224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5"/>
      <c r="B512" s="5"/>
      <c r="C512" s="5"/>
      <c r="D512" s="5"/>
      <c r="E512" s="223"/>
      <c r="F512" s="223"/>
      <c r="G512" s="223"/>
      <c r="H512" s="224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5"/>
      <c r="B513" s="5"/>
      <c r="C513" s="5"/>
      <c r="D513" s="5"/>
      <c r="E513" s="223"/>
      <c r="F513" s="223"/>
      <c r="G513" s="223"/>
      <c r="H513" s="224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5"/>
      <c r="B514" s="5"/>
      <c r="C514" s="5"/>
      <c r="D514" s="5"/>
      <c r="E514" s="223"/>
      <c r="F514" s="223"/>
      <c r="G514" s="223"/>
      <c r="H514" s="224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5"/>
      <c r="B515" s="5"/>
      <c r="C515" s="5"/>
      <c r="D515" s="5"/>
      <c r="E515" s="223"/>
      <c r="F515" s="223"/>
      <c r="G515" s="223"/>
      <c r="H515" s="224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5"/>
      <c r="B516" s="5"/>
      <c r="C516" s="5"/>
      <c r="D516" s="5"/>
      <c r="E516" s="223"/>
      <c r="F516" s="223"/>
      <c r="G516" s="223"/>
      <c r="H516" s="224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5"/>
      <c r="B517" s="5"/>
      <c r="C517" s="5"/>
      <c r="D517" s="5"/>
      <c r="E517" s="223"/>
      <c r="F517" s="223"/>
      <c r="G517" s="223"/>
      <c r="H517" s="224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5"/>
      <c r="B518" s="5"/>
      <c r="C518" s="5"/>
      <c r="D518" s="5"/>
      <c r="E518" s="223"/>
      <c r="F518" s="223"/>
      <c r="G518" s="223"/>
      <c r="H518" s="224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5"/>
      <c r="B519" s="5"/>
      <c r="C519" s="5"/>
      <c r="D519" s="5"/>
      <c r="E519" s="223"/>
      <c r="F519" s="223"/>
      <c r="G519" s="223"/>
      <c r="H519" s="224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5"/>
      <c r="B520" s="5"/>
      <c r="C520" s="5"/>
      <c r="D520" s="5"/>
      <c r="E520" s="223"/>
      <c r="F520" s="223"/>
      <c r="G520" s="223"/>
      <c r="H520" s="224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5"/>
      <c r="B521" s="5"/>
      <c r="C521" s="5"/>
      <c r="D521" s="5"/>
      <c r="E521" s="223"/>
      <c r="F521" s="223"/>
      <c r="G521" s="223"/>
      <c r="H521" s="224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5"/>
      <c r="B522" s="5"/>
      <c r="C522" s="5"/>
      <c r="D522" s="5"/>
      <c r="E522" s="223"/>
      <c r="F522" s="223"/>
      <c r="G522" s="223"/>
      <c r="H522" s="224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5"/>
      <c r="B523" s="5"/>
      <c r="C523" s="5"/>
      <c r="D523" s="5"/>
      <c r="E523" s="223"/>
      <c r="F523" s="223"/>
      <c r="G523" s="223"/>
      <c r="H523" s="224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5"/>
      <c r="B524" s="5"/>
      <c r="C524" s="5"/>
      <c r="D524" s="5"/>
      <c r="E524" s="223"/>
      <c r="F524" s="223"/>
      <c r="G524" s="223"/>
      <c r="H524" s="224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5"/>
      <c r="B525" s="5"/>
      <c r="C525" s="5"/>
      <c r="D525" s="5"/>
      <c r="E525" s="223"/>
      <c r="F525" s="223"/>
      <c r="G525" s="223"/>
      <c r="H525" s="224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5"/>
      <c r="B526" s="5"/>
      <c r="C526" s="5"/>
      <c r="D526" s="5"/>
      <c r="E526" s="223"/>
      <c r="F526" s="223"/>
      <c r="G526" s="223"/>
      <c r="H526" s="224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5"/>
      <c r="B527" s="5"/>
      <c r="C527" s="5"/>
      <c r="D527" s="5"/>
      <c r="E527" s="223"/>
      <c r="F527" s="223"/>
      <c r="G527" s="223"/>
      <c r="H527" s="224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5"/>
      <c r="B528" s="5"/>
      <c r="C528" s="5"/>
      <c r="D528" s="5"/>
      <c r="E528" s="223"/>
      <c r="F528" s="223"/>
      <c r="G528" s="223"/>
      <c r="H528" s="224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5"/>
      <c r="B529" s="5"/>
      <c r="C529" s="5"/>
      <c r="D529" s="5"/>
      <c r="E529" s="223"/>
      <c r="F529" s="223"/>
      <c r="G529" s="223"/>
      <c r="H529" s="224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5"/>
      <c r="B530" s="5"/>
      <c r="C530" s="5"/>
      <c r="D530" s="5"/>
      <c r="E530" s="223"/>
      <c r="F530" s="223"/>
      <c r="G530" s="223"/>
      <c r="H530" s="224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5"/>
      <c r="B531" s="5"/>
      <c r="C531" s="5"/>
      <c r="D531" s="5"/>
      <c r="E531" s="223"/>
      <c r="F531" s="223"/>
      <c r="G531" s="223"/>
      <c r="H531" s="224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5"/>
      <c r="B532" s="5"/>
      <c r="C532" s="5"/>
      <c r="D532" s="5"/>
      <c r="E532" s="223"/>
      <c r="F532" s="223"/>
      <c r="G532" s="223"/>
      <c r="H532" s="224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5"/>
      <c r="B533" s="5"/>
      <c r="C533" s="5"/>
      <c r="D533" s="5"/>
      <c r="E533" s="223"/>
      <c r="F533" s="223"/>
      <c r="G533" s="223"/>
      <c r="H533" s="224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5"/>
      <c r="B534" s="5"/>
      <c r="C534" s="5"/>
      <c r="D534" s="5"/>
      <c r="E534" s="223"/>
      <c r="F534" s="223"/>
      <c r="G534" s="223"/>
      <c r="H534" s="224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5"/>
      <c r="B535" s="5"/>
      <c r="C535" s="5"/>
      <c r="D535" s="5"/>
      <c r="E535" s="223"/>
      <c r="F535" s="223"/>
      <c r="G535" s="223"/>
      <c r="H535" s="224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5"/>
      <c r="B536" s="5"/>
      <c r="C536" s="5"/>
      <c r="D536" s="5"/>
      <c r="E536" s="223"/>
      <c r="F536" s="223"/>
      <c r="G536" s="223"/>
      <c r="H536" s="224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5"/>
      <c r="B537" s="5"/>
      <c r="C537" s="5"/>
      <c r="D537" s="5"/>
      <c r="E537" s="223"/>
      <c r="F537" s="223"/>
      <c r="G537" s="223"/>
      <c r="H537" s="224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5"/>
      <c r="B538" s="5"/>
      <c r="C538" s="5"/>
      <c r="D538" s="5"/>
      <c r="E538" s="223"/>
      <c r="F538" s="223"/>
      <c r="G538" s="223"/>
      <c r="H538" s="224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5"/>
      <c r="B539" s="5"/>
      <c r="C539" s="5"/>
      <c r="D539" s="5"/>
      <c r="E539" s="223"/>
      <c r="F539" s="223"/>
      <c r="G539" s="223"/>
      <c r="H539" s="224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5"/>
      <c r="B540" s="5"/>
      <c r="C540" s="5"/>
      <c r="D540" s="5"/>
      <c r="E540" s="223"/>
      <c r="F540" s="223"/>
      <c r="G540" s="223"/>
      <c r="H540" s="224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5"/>
      <c r="B541" s="5"/>
      <c r="C541" s="5"/>
      <c r="D541" s="5"/>
      <c r="E541" s="223"/>
      <c r="F541" s="223"/>
      <c r="G541" s="223"/>
      <c r="H541" s="224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5"/>
      <c r="B542" s="5"/>
      <c r="C542" s="5"/>
      <c r="D542" s="5"/>
      <c r="E542" s="223"/>
      <c r="F542" s="223"/>
      <c r="G542" s="223"/>
      <c r="H542" s="224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5"/>
      <c r="B543" s="5"/>
      <c r="C543" s="5"/>
      <c r="D543" s="5"/>
      <c r="E543" s="223"/>
      <c r="F543" s="223"/>
      <c r="G543" s="223"/>
      <c r="H543" s="224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5"/>
      <c r="B544" s="5"/>
      <c r="C544" s="5"/>
      <c r="D544" s="5"/>
      <c r="E544" s="223"/>
      <c r="F544" s="223"/>
      <c r="G544" s="223"/>
      <c r="H544" s="224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5"/>
      <c r="B545" s="5"/>
      <c r="C545" s="5"/>
      <c r="D545" s="5"/>
      <c r="E545" s="223"/>
      <c r="F545" s="223"/>
      <c r="G545" s="223"/>
      <c r="H545" s="224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5"/>
      <c r="B546" s="5"/>
      <c r="C546" s="5"/>
      <c r="D546" s="5"/>
      <c r="E546" s="223"/>
      <c r="F546" s="223"/>
      <c r="G546" s="223"/>
      <c r="H546" s="224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5"/>
      <c r="B547" s="5"/>
      <c r="C547" s="5"/>
      <c r="D547" s="5"/>
      <c r="E547" s="223"/>
      <c r="F547" s="223"/>
      <c r="G547" s="223"/>
      <c r="H547" s="224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5"/>
      <c r="B548" s="5"/>
      <c r="C548" s="5"/>
      <c r="D548" s="5"/>
      <c r="E548" s="223"/>
      <c r="F548" s="223"/>
      <c r="G548" s="223"/>
      <c r="H548" s="224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5"/>
      <c r="B549" s="5"/>
      <c r="C549" s="5"/>
      <c r="D549" s="5"/>
      <c r="E549" s="223"/>
      <c r="F549" s="223"/>
      <c r="G549" s="223"/>
      <c r="H549" s="224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5"/>
      <c r="B550" s="5"/>
      <c r="C550" s="5"/>
      <c r="D550" s="5"/>
      <c r="E550" s="223"/>
      <c r="F550" s="223"/>
      <c r="G550" s="223"/>
      <c r="H550" s="224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5"/>
      <c r="B551" s="5"/>
      <c r="C551" s="5"/>
      <c r="D551" s="5"/>
      <c r="E551" s="223"/>
      <c r="F551" s="223"/>
      <c r="G551" s="223"/>
      <c r="H551" s="224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5"/>
      <c r="B552" s="5"/>
      <c r="C552" s="5"/>
      <c r="D552" s="5"/>
      <c r="E552" s="223"/>
      <c r="F552" s="223"/>
      <c r="G552" s="223"/>
      <c r="H552" s="224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5"/>
      <c r="B553" s="5"/>
      <c r="C553" s="5"/>
      <c r="D553" s="5"/>
      <c r="E553" s="223"/>
      <c r="F553" s="223"/>
      <c r="G553" s="223"/>
      <c r="H553" s="224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5"/>
      <c r="B554" s="5"/>
      <c r="C554" s="5"/>
      <c r="D554" s="5"/>
      <c r="E554" s="223"/>
      <c r="F554" s="223"/>
      <c r="G554" s="223"/>
      <c r="H554" s="224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5"/>
      <c r="B555" s="5"/>
      <c r="C555" s="5"/>
      <c r="D555" s="5"/>
      <c r="E555" s="223"/>
      <c r="F555" s="223"/>
      <c r="G555" s="223"/>
      <c r="H555" s="224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5"/>
      <c r="B556" s="5"/>
      <c r="C556" s="5"/>
      <c r="D556" s="5"/>
      <c r="E556" s="223"/>
      <c r="F556" s="223"/>
      <c r="G556" s="223"/>
      <c r="H556" s="224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5"/>
      <c r="B557" s="5"/>
      <c r="C557" s="5"/>
      <c r="D557" s="5"/>
      <c r="E557" s="223"/>
      <c r="F557" s="223"/>
      <c r="G557" s="223"/>
      <c r="H557" s="224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5"/>
      <c r="B558" s="5"/>
      <c r="C558" s="5"/>
      <c r="D558" s="5"/>
      <c r="E558" s="223"/>
      <c r="F558" s="223"/>
      <c r="G558" s="223"/>
      <c r="H558" s="224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5"/>
      <c r="B559" s="5"/>
      <c r="C559" s="5"/>
      <c r="D559" s="5"/>
      <c r="E559" s="223"/>
      <c r="F559" s="223"/>
      <c r="G559" s="223"/>
      <c r="H559" s="224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5"/>
      <c r="B560" s="5"/>
      <c r="C560" s="5"/>
      <c r="D560" s="5"/>
      <c r="E560" s="223"/>
      <c r="F560" s="223"/>
      <c r="G560" s="223"/>
      <c r="H560" s="224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5"/>
      <c r="B561" s="5"/>
      <c r="C561" s="5"/>
      <c r="D561" s="5"/>
      <c r="E561" s="223"/>
      <c r="F561" s="223"/>
      <c r="G561" s="223"/>
      <c r="H561" s="224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5"/>
      <c r="B562" s="5"/>
      <c r="C562" s="5"/>
      <c r="D562" s="5"/>
      <c r="E562" s="223"/>
      <c r="F562" s="223"/>
      <c r="G562" s="223"/>
      <c r="H562" s="224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5"/>
      <c r="B563" s="5"/>
      <c r="C563" s="5"/>
      <c r="D563" s="5"/>
      <c r="E563" s="223"/>
      <c r="F563" s="223"/>
      <c r="G563" s="223"/>
      <c r="H563" s="224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5"/>
      <c r="B564" s="5"/>
      <c r="C564" s="5"/>
      <c r="D564" s="5"/>
      <c r="E564" s="223"/>
      <c r="F564" s="223"/>
      <c r="G564" s="223"/>
      <c r="H564" s="224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5"/>
      <c r="B565" s="5"/>
      <c r="C565" s="5"/>
      <c r="D565" s="5"/>
      <c r="E565" s="223"/>
      <c r="F565" s="223"/>
      <c r="G565" s="223"/>
      <c r="H565" s="224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5"/>
      <c r="B566" s="5"/>
      <c r="C566" s="5"/>
      <c r="D566" s="5"/>
      <c r="E566" s="223"/>
      <c r="F566" s="223"/>
      <c r="G566" s="223"/>
      <c r="H566" s="224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5"/>
      <c r="B567" s="5"/>
      <c r="C567" s="5"/>
      <c r="D567" s="5"/>
      <c r="E567" s="223"/>
      <c r="F567" s="223"/>
      <c r="G567" s="223"/>
      <c r="H567" s="224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5"/>
      <c r="B568" s="5"/>
      <c r="C568" s="5"/>
      <c r="D568" s="5"/>
      <c r="E568" s="223"/>
      <c r="F568" s="223"/>
      <c r="G568" s="223"/>
      <c r="H568" s="224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5"/>
      <c r="B569" s="5"/>
      <c r="C569" s="5"/>
      <c r="D569" s="5"/>
      <c r="E569" s="223"/>
      <c r="F569" s="223"/>
      <c r="G569" s="223"/>
      <c r="H569" s="224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5"/>
      <c r="B570" s="5"/>
      <c r="C570" s="5"/>
      <c r="D570" s="5"/>
      <c r="E570" s="223"/>
      <c r="F570" s="223"/>
      <c r="G570" s="223"/>
      <c r="H570" s="224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5"/>
      <c r="B571" s="5"/>
      <c r="C571" s="5"/>
      <c r="D571" s="5"/>
      <c r="E571" s="223"/>
      <c r="F571" s="223"/>
      <c r="G571" s="223"/>
      <c r="H571" s="224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5"/>
      <c r="B572" s="5"/>
      <c r="C572" s="5"/>
      <c r="D572" s="5"/>
      <c r="E572" s="223"/>
      <c r="F572" s="223"/>
      <c r="G572" s="223"/>
      <c r="H572" s="224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5"/>
      <c r="B573" s="5"/>
      <c r="C573" s="5"/>
      <c r="D573" s="5"/>
      <c r="E573" s="223"/>
      <c r="F573" s="223"/>
      <c r="G573" s="223"/>
      <c r="H573" s="224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5"/>
      <c r="B574" s="5"/>
      <c r="C574" s="5"/>
      <c r="D574" s="5"/>
      <c r="E574" s="223"/>
      <c r="F574" s="223"/>
      <c r="G574" s="223"/>
      <c r="H574" s="224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5"/>
      <c r="B575" s="5"/>
      <c r="C575" s="5"/>
      <c r="D575" s="5"/>
      <c r="E575" s="223"/>
      <c r="F575" s="223"/>
      <c r="G575" s="223"/>
      <c r="H575" s="224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5"/>
      <c r="B576" s="5"/>
      <c r="C576" s="5"/>
      <c r="D576" s="5"/>
      <c r="E576" s="223"/>
      <c r="F576" s="223"/>
      <c r="G576" s="223"/>
      <c r="H576" s="224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5"/>
      <c r="B577" s="5"/>
      <c r="C577" s="5"/>
      <c r="D577" s="5"/>
      <c r="E577" s="223"/>
      <c r="F577" s="223"/>
      <c r="G577" s="223"/>
      <c r="H577" s="224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5"/>
      <c r="B578" s="5"/>
      <c r="C578" s="5"/>
      <c r="D578" s="5"/>
      <c r="E578" s="223"/>
      <c r="F578" s="223"/>
      <c r="G578" s="223"/>
      <c r="H578" s="224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5"/>
      <c r="B579" s="5"/>
      <c r="C579" s="5"/>
      <c r="D579" s="5"/>
      <c r="E579" s="223"/>
      <c r="F579" s="223"/>
      <c r="G579" s="223"/>
      <c r="H579" s="224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5"/>
      <c r="B580" s="5"/>
      <c r="C580" s="5"/>
      <c r="D580" s="5"/>
      <c r="E580" s="223"/>
      <c r="F580" s="223"/>
      <c r="G580" s="223"/>
      <c r="H580" s="224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5"/>
      <c r="B581" s="5"/>
      <c r="C581" s="5"/>
      <c r="D581" s="5"/>
      <c r="E581" s="223"/>
      <c r="F581" s="223"/>
      <c r="G581" s="223"/>
      <c r="H581" s="224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5"/>
      <c r="B582" s="5"/>
      <c r="C582" s="5"/>
      <c r="D582" s="5"/>
      <c r="E582" s="223"/>
      <c r="F582" s="223"/>
      <c r="G582" s="223"/>
      <c r="H582" s="224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5"/>
      <c r="B583" s="5"/>
      <c r="C583" s="5"/>
      <c r="D583" s="5"/>
      <c r="E583" s="223"/>
      <c r="F583" s="223"/>
      <c r="G583" s="223"/>
      <c r="H583" s="224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5"/>
      <c r="B584" s="5"/>
      <c r="C584" s="5"/>
      <c r="D584" s="5"/>
      <c r="E584" s="223"/>
      <c r="F584" s="223"/>
      <c r="G584" s="223"/>
      <c r="H584" s="224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5"/>
      <c r="B585" s="5"/>
      <c r="C585" s="5"/>
      <c r="D585" s="5"/>
      <c r="E585" s="223"/>
      <c r="F585" s="223"/>
      <c r="G585" s="223"/>
      <c r="H585" s="224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5"/>
      <c r="B586" s="5"/>
      <c r="C586" s="5"/>
      <c r="D586" s="5"/>
      <c r="E586" s="223"/>
      <c r="F586" s="223"/>
      <c r="G586" s="223"/>
      <c r="H586" s="224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5"/>
      <c r="B587" s="5"/>
      <c r="C587" s="5"/>
      <c r="D587" s="5"/>
      <c r="E587" s="223"/>
      <c r="F587" s="223"/>
      <c r="G587" s="223"/>
      <c r="H587" s="224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5"/>
      <c r="B588" s="5"/>
      <c r="C588" s="5"/>
      <c r="D588" s="5"/>
      <c r="E588" s="223"/>
      <c r="F588" s="223"/>
      <c r="G588" s="223"/>
      <c r="H588" s="224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5"/>
      <c r="B589" s="5"/>
      <c r="C589" s="5"/>
      <c r="D589" s="5"/>
      <c r="E589" s="223"/>
      <c r="F589" s="223"/>
      <c r="G589" s="223"/>
      <c r="H589" s="224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5"/>
      <c r="B590" s="5"/>
      <c r="C590" s="5"/>
      <c r="D590" s="5"/>
      <c r="E590" s="223"/>
      <c r="F590" s="223"/>
      <c r="G590" s="223"/>
      <c r="H590" s="224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5"/>
      <c r="B591" s="5"/>
      <c r="C591" s="5"/>
      <c r="D591" s="5"/>
      <c r="E591" s="223"/>
      <c r="F591" s="223"/>
      <c r="G591" s="223"/>
      <c r="H591" s="224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5"/>
      <c r="B592" s="5"/>
      <c r="C592" s="5"/>
      <c r="D592" s="5"/>
      <c r="E592" s="223"/>
      <c r="F592" s="223"/>
      <c r="G592" s="223"/>
      <c r="H592" s="224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5"/>
      <c r="B593" s="5"/>
      <c r="C593" s="5"/>
      <c r="D593" s="5"/>
      <c r="E593" s="223"/>
      <c r="F593" s="223"/>
      <c r="G593" s="223"/>
      <c r="H593" s="224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5"/>
      <c r="B594" s="5"/>
      <c r="C594" s="5"/>
      <c r="D594" s="5"/>
      <c r="E594" s="223"/>
      <c r="F594" s="223"/>
      <c r="G594" s="223"/>
      <c r="H594" s="224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5"/>
      <c r="B595" s="5"/>
      <c r="C595" s="5"/>
      <c r="D595" s="5"/>
      <c r="E595" s="223"/>
      <c r="F595" s="223"/>
      <c r="G595" s="223"/>
      <c r="H595" s="224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5"/>
      <c r="B596" s="5"/>
      <c r="C596" s="5"/>
      <c r="D596" s="5"/>
      <c r="E596" s="223"/>
      <c r="F596" s="223"/>
      <c r="G596" s="223"/>
      <c r="H596" s="224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5"/>
      <c r="B597" s="5"/>
      <c r="C597" s="5"/>
      <c r="D597" s="5"/>
      <c r="E597" s="223"/>
      <c r="F597" s="223"/>
      <c r="G597" s="223"/>
      <c r="H597" s="224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5"/>
      <c r="B598" s="5"/>
      <c r="C598" s="5"/>
      <c r="D598" s="5"/>
      <c r="E598" s="223"/>
      <c r="F598" s="223"/>
      <c r="G598" s="223"/>
      <c r="H598" s="224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5"/>
      <c r="B599" s="5"/>
      <c r="C599" s="5"/>
      <c r="D599" s="5"/>
      <c r="E599" s="223"/>
      <c r="F599" s="223"/>
      <c r="G599" s="223"/>
      <c r="H599" s="224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5"/>
      <c r="B600" s="5"/>
      <c r="C600" s="5"/>
      <c r="D600" s="5"/>
      <c r="E600" s="223"/>
      <c r="F600" s="223"/>
      <c r="G600" s="223"/>
      <c r="H600" s="224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5"/>
      <c r="B601" s="5"/>
      <c r="C601" s="5"/>
      <c r="D601" s="5"/>
      <c r="E601" s="223"/>
      <c r="F601" s="223"/>
      <c r="G601" s="223"/>
      <c r="H601" s="224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5"/>
      <c r="B602" s="5"/>
      <c r="C602" s="5"/>
      <c r="D602" s="5"/>
      <c r="E602" s="223"/>
      <c r="F602" s="223"/>
      <c r="G602" s="223"/>
      <c r="H602" s="224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5"/>
      <c r="B603" s="5"/>
      <c r="C603" s="5"/>
      <c r="D603" s="5"/>
      <c r="E603" s="223"/>
      <c r="F603" s="223"/>
      <c r="G603" s="223"/>
      <c r="H603" s="224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5"/>
      <c r="B604" s="5"/>
      <c r="C604" s="5"/>
      <c r="D604" s="5"/>
      <c r="E604" s="223"/>
      <c r="F604" s="223"/>
      <c r="G604" s="223"/>
      <c r="H604" s="224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5"/>
      <c r="B605" s="5"/>
      <c r="C605" s="5"/>
      <c r="D605" s="5"/>
      <c r="E605" s="223"/>
      <c r="F605" s="223"/>
      <c r="G605" s="223"/>
      <c r="H605" s="224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5"/>
      <c r="B606" s="5"/>
      <c r="C606" s="5"/>
      <c r="D606" s="5"/>
      <c r="E606" s="223"/>
      <c r="F606" s="223"/>
      <c r="G606" s="223"/>
      <c r="H606" s="224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5"/>
      <c r="B607" s="5"/>
      <c r="C607" s="5"/>
      <c r="D607" s="5"/>
      <c r="E607" s="223"/>
      <c r="F607" s="223"/>
      <c r="G607" s="223"/>
      <c r="H607" s="224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5"/>
      <c r="B608" s="5"/>
      <c r="C608" s="5"/>
      <c r="D608" s="5"/>
      <c r="E608" s="223"/>
      <c r="F608" s="223"/>
      <c r="G608" s="223"/>
      <c r="H608" s="224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5"/>
      <c r="B609" s="5"/>
      <c r="C609" s="5"/>
      <c r="D609" s="5"/>
      <c r="E609" s="223"/>
      <c r="F609" s="223"/>
      <c r="G609" s="223"/>
      <c r="H609" s="224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5"/>
      <c r="B610" s="5"/>
      <c r="C610" s="5"/>
      <c r="D610" s="5"/>
      <c r="E610" s="223"/>
      <c r="F610" s="223"/>
      <c r="G610" s="223"/>
      <c r="H610" s="224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5"/>
      <c r="B611" s="5"/>
      <c r="C611" s="5"/>
      <c r="D611" s="5"/>
      <c r="E611" s="223"/>
      <c r="F611" s="223"/>
      <c r="G611" s="223"/>
      <c r="H611" s="224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5"/>
      <c r="B612" s="5"/>
      <c r="C612" s="5"/>
      <c r="D612" s="5"/>
      <c r="E612" s="223"/>
      <c r="F612" s="223"/>
      <c r="G612" s="223"/>
      <c r="H612" s="224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5"/>
      <c r="B613" s="5"/>
      <c r="C613" s="5"/>
      <c r="D613" s="5"/>
      <c r="E613" s="223"/>
      <c r="F613" s="223"/>
      <c r="G613" s="223"/>
      <c r="H613" s="224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5"/>
      <c r="B614" s="5"/>
      <c r="C614" s="5"/>
      <c r="D614" s="5"/>
      <c r="E614" s="223"/>
      <c r="F614" s="223"/>
      <c r="G614" s="223"/>
      <c r="H614" s="224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5"/>
      <c r="B615" s="5"/>
      <c r="C615" s="5"/>
      <c r="D615" s="5"/>
      <c r="E615" s="223"/>
      <c r="F615" s="223"/>
      <c r="G615" s="223"/>
      <c r="H615" s="224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5"/>
      <c r="B616" s="5"/>
      <c r="C616" s="5"/>
      <c r="D616" s="5"/>
      <c r="E616" s="223"/>
      <c r="F616" s="223"/>
      <c r="G616" s="223"/>
      <c r="H616" s="224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5"/>
      <c r="B617" s="5"/>
      <c r="C617" s="5"/>
      <c r="D617" s="5"/>
      <c r="E617" s="223"/>
      <c r="F617" s="223"/>
      <c r="G617" s="223"/>
      <c r="H617" s="224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5"/>
      <c r="B618" s="5"/>
      <c r="C618" s="5"/>
      <c r="D618" s="5"/>
      <c r="E618" s="223"/>
      <c r="F618" s="223"/>
      <c r="G618" s="223"/>
      <c r="H618" s="224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5"/>
      <c r="B619" s="5"/>
      <c r="C619" s="5"/>
      <c r="D619" s="5"/>
      <c r="E619" s="223"/>
      <c r="F619" s="223"/>
      <c r="G619" s="223"/>
      <c r="H619" s="224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5"/>
      <c r="B620" s="5"/>
      <c r="C620" s="5"/>
      <c r="D620" s="5"/>
      <c r="E620" s="223"/>
      <c r="F620" s="223"/>
      <c r="G620" s="223"/>
      <c r="H620" s="224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5"/>
      <c r="B621" s="5"/>
      <c r="C621" s="5"/>
      <c r="D621" s="5"/>
      <c r="E621" s="223"/>
      <c r="F621" s="223"/>
      <c r="G621" s="223"/>
      <c r="H621" s="224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5"/>
      <c r="B622" s="5"/>
      <c r="C622" s="5"/>
      <c r="D622" s="5"/>
      <c r="E622" s="223"/>
      <c r="F622" s="223"/>
      <c r="G622" s="223"/>
      <c r="H622" s="224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5"/>
      <c r="B623" s="5"/>
      <c r="C623" s="5"/>
      <c r="D623" s="5"/>
      <c r="E623" s="223"/>
      <c r="F623" s="223"/>
      <c r="G623" s="223"/>
      <c r="H623" s="224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5"/>
      <c r="B624" s="5"/>
      <c r="C624" s="5"/>
      <c r="D624" s="5"/>
      <c r="E624" s="223"/>
      <c r="F624" s="223"/>
      <c r="G624" s="223"/>
      <c r="H624" s="224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5"/>
      <c r="B625" s="5"/>
      <c r="C625" s="5"/>
      <c r="D625" s="5"/>
      <c r="E625" s="223"/>
      <c r="F625" s="223"/>
      <c r="G625" s="223"/>
      <c r="H625" s="224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5"/>
      <c r="B626" s="5"/>
      <c r="C626" s="5"/>
      <c r="D626" s="5"/>
      <c r="E626" s="223"/>
      <c r="F626" s="223"/>
      <c r="G626" s="223"/>
      <c r="H626" s="224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5"/>
      <c r="B627" s="5"/>
      <c r="C627" s="5"/>
      <c r="D627" s="5"/>
      <c r="E627" s="223"/>
      <c r="F627" s="223"/>
      <c r="G627" s="223"/>
      <c r="H627" s="224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5"/>
      <c r="B628" s="5"/>
      <c r="C628" s="5"/>
      <c r="D628" s="5"/>
      <c r="E628" s="223"/>
      <c r="F628" s="223"/>
      <c r="G628" s="223"/>
      <c r="H628" s="224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5"/>
      <c r="B629" s="5"/>
      <c r="C629" s="5"/>
      <c r="D629" s="5"/>
      <c r="E629" s="223"/>
      <c r="F629" s="223"/>
      <c r="G629" s="223"/>
      <c r="H629" s="224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5"/>
      <c r="B630" s="5"/>
      <c r="C630" s="5"/>
      <c r="D630" s="5"/>
      <c r="E630" s="223"/>
      <c r="F630" s="223"/>
      <c r="G630" s="223"/>
      <c r="H630" s="224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5"/>
      <c r="B631" s="5"/>
      <c r="C631" s="5"/>
      <c r="D631" s="5"/>
      <c r="E631" s="223"/>
      <c r="F631" s="223"/>
      <c r="G631" s="223"/>
      <c r="H631" s="224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5"/>
      <c r="B632" s="5"/>
      <c r="C632" s="5"/>
      <c r="D632" s="5"/>
      <c r="E632" s="223"/>
      <c r="F632" s="223"/>
      <c r="G632" s="223"/>
      <c r="H632" s="224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5"/>
      <c r="B633" s="5"/>
      <c r="C633" s="5"/>
      <c r="D633" s="5"/>
      <c r="E633" s="223"/>
      <c r="F633" s="223"/>
      <c r="G633" s="223"/>
      <c r="H633" s="224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5"/>
      <c r="B634" s="5"/>
      <c r="C634" s="5"/>
      <c r="D634" s="5"/>
      <c r="E634" s="223"/>
      <c r="F634" s="223"/>
      <c r="G634" s="223"/>
      <c r="H634" s="224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5"/>
      <c r="B635" s="5"/>
      <c r="C635" s="5"/>
      <c r="D635" s="5"/>
      <c r="E635" s="223"/>
      <c r="F635" s="223"/>
      <c r="G635" s="223"/>
      <c r="H635" s="224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5"/>
      <c r="B636" s="5"/>
      <c r="C636" s="5"/>
      <c r="D636" s="5"/>
      <c r="E636" s="223"/>
      <c r="F636" s="223"/>
      <c r="G636" s="223"/>
      <c r="H636" s="224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5"/>
      <c r="B637" s="5"/>
      <c r="C637" s="5"/>
      <c r="D637" s="5"/>
      <c r="E637" s="223"/>
      <c r="F637" s="223"/>
      <c r="G637" s="223"/>
      <c r="H637" s="224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5"/>
      <c r="B638" s="5"/>
      <c r="C638" s="5"/>
      <c r="D638" s="5"/>
      <c r="E638" s="223"/>
      <c r="F638" s="223"/>
      <c r="G638" s="223"/>
      <c r="H638" s="224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5"/>
      <c r="B639" s="5"/>
      <c r="C639" s="5"/>
      <c r="D639" s="5"/>
      <c r="E639" s="223"/>
      <c r="F639" s="223"/>
      <c r="G639" s="223"/>
      <c r="H639" s="224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5"/>
      <c r="B640" s="5"/>
      <c r="C640" s="5"/>
      <c r="D640" s="5"/>
      <c r="E640" s="223"/>
      <c r="F640" s="223"/>
      <c r="G640" s="223"/>
      <c r="H640" s="224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5"/>
      <c r="B641" s="5"/>
      <c r="C641" s="5"/>
      <c r="D641" s="5"/>
      <c r="E641" s="223"/>
      <c r="F641" s="223"/>
      <c r="G641" s="223"/>
      <c r="H641" s="224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5"/>
      <c r="B642" s="5"/>
      <c r="C642" s="5"/>
      <c r="D642" s="5"/>
      <c r="E642" s="223"/>
      <c r="F642" s="223"/>
      <c r="G642" s="223"/>
      <c r="H642" s="224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5"/>
      <c r="B643" s="5"/>
      <c r="C643" s="5"/>
      <c r="D643" s="5"/>
      <c r="E643" s="223"/>
      <c r="F643" s="223"/>
      <c r="G643" s="223"/>
      <c r="H643" s="224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5"/>
      <c r="B644" s="5"/>
      <c r="C644" s="5"/>
      <c r="D644" s="5"/>
      <c r="E644" s="223"/>
      <c r="F644" s="223"/>
      <c r="G644" s="223"/>
      <c r="H644" s="224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5"/>
      <c r="B645" s="5"/>
      <c r="C645" s="5"/>
      <c r="D645" s="5"/>
      <c r="E645" s="223"/>
      <c r="F645" s="223"/>
      <c r="G645" s="223"/>
      <c r="H645" s="224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5"/>
      <c r="B646" s="5"/>
      <c r="C646" s="5"/>
      <c r="D646" s="5"/>
      <c r="E646" s="223"/>
      <c r="F646" s="223"/>
      <c r="G646" s="223"/>
      <c r="H646" s="224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5"/>
      <c r="B647" s="5"/>
      <c r="C647" s="5"/>
      <c r="D647" s="5"/>
      <c r="E647" s="223"/>
      <c r="F647" s="223"/>
      <c r="G647" s="223"/>
      <c r="H647" s="224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5"/>
      <c r="B648" s="5"/>
      <c r="C648" s="5"/>
      <c r="D648" s="5"/>
      <c r="E648" s="223"/>
      <c r="F648" s="223"/>
      <c r="G648" s="223"/>
      <c r="H648" s="224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5"/>
      <c r="B649" s="5"/>
      <c r="C649" s="5"/>
      <c r="D649" s="5"/>
      <c r="E649" s="223"/>
      <c r="F649" s="223"/>
      <c r="G649" s="223"/>
      <c r="H649" s="224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5"/>
      <c r="B650" s="5"/>
      <c r="C650" s="5"/>
      <c r="D650" s="5"/>
      <c r="E650" s="223"/>
      <c r="F650" s="223"/>
      <c r="G650" s="223"/>
      <c r="H650" s="224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5"/>
      <c r="B651" s="5"/>
      <c r="C651" s="5"/>
      <c r="D651" s="5"/>
      <c r="E651" s="223"/>
      <c r="F651" s="223"/>
      <c r="G651" s="223"/>
      <c r="H651" s="224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5"/>
      <c r="B652" s="5"/>
      <c r="C652" s="5"/>
      <c r="D652" s="5"/>
      <c r="E652" s="223"/>
      <c r="F652" s="223"/>
      <c r="G652" s="223"/>
      <c r="H652" s="224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5"/>
      <c r="B653" s="5"/>
      <c r="C653" s="5"/>
      <c r="D653" s="5"/>
      <c r="E653" s="223"/>
      <c r="F653" s="223"/>
      <c r="G653" s="223"/>
      <c r="H653" s="224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5"/>
      <c r="B654" s="5"/>
      <c r="C654" s="5"/>
      <c r="D654" s="5"/>
      <c r="E654" s="223"/>
      <c r="F654" s="223"/>
      <c r="G654" s="223"/>
      <c r="H654" s="224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5"/>
      <c r="B655" s="5"/>
      <c r="C655" s="5"/>
      <c r="D655" s="5"/>
      <c r="E655" s="223"/>
      <c r="F655" s="223"/>
      <c r="G655" s="223"/>
      <c r="H655" s="224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5"/>
      <c r="B656" s="5"/>
      <c r="C656" s="5"/>
      <c r="D656" s="5"/>
      <c r="E656" s="223"/>
      <c r="F656" s="223"/>
      <c r="G656" s="223"/>
      <c r="H656" s="224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5"/>
      <c r="B657" s="5"/>
      <c r="C657" s="5"/>
      <c r="D657" s="5"/>
      <c r="E657" s="223"/>
      <c r="F657" s="223"/>
      <c r="G657" s="223"/>
      <c r="H657" s="224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5"/>
      <c r="B658" s="5"/>
      <c r="C658" s="5"/>
      <c r="D658" s="5"/>
      <c r="E658" s="223"/>
      <c r="F658" s="223"/>
      <c r="G658" s="223"/>
      <c r="H658" s="224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5"/>
      <c r="B659" s="5"/>
      <c r="C659" s="5"/>
      <c r="D659" s="5"/>
      <c r="E659" s="223"/>
      <c r="F659" s="223"/>
      <c r="G659" s="223"/>
      <c r="H659" s="224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5"/>
      <c r="B660" s="5"/>
      <c r="C660" s="5"/>
      <c r="D660" s="5"/>
      <c r="E660" s="223"/>
      <c r="F660" s="223"/>
      <c r="G660" s="223"/>
      <c r="H660" s="224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5"/>
      <c r="B661" s="5"/>
      <c r="C661" s="5"/>
      <c r="D661" s="5"/>
      <c r="E661" s="223"/>
      <c r="F661" s="223"/>
      <c r="G661" s="223"/>
      <c r="H661" s="224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5"/>
      <c r="B662" s="5"/>
      <c r="C662" s="5"/>
      <c r="D662" s="5"/>
      <c r="E662" s="223"/>
      <c r="F662" s="223"/>
      <c r="G662" s="223"/>
      <c r="H662" s="224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5"/>
      <c r="B663" s="5"/>
      <c r="C663" s="5"/>
      <c r="D663" s="5"/>
      <c r="E663" s="223"/>
      <c r="F663" s="223"/>
      <c r="G663" s="223"/>
      <c r="H663" s="224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5"/>
      <c r="B664" s="5"/>
      <c r="C664" s="5"/>
      <c r="D664" s="5"/>
      <c r="E664" s="223"/>
      <c r="F664" s="223"/>
      <c r="G664" s="223"/>
      <c r="H664" s="224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5"/>
      <c r="B665" s="5"/>
      <c r="C665" s="5"/>
      <c r="D665" s="5"/>
      <c r="E665" s="223"/>
      <c r="F665" s="223"/>
      <c r="G665" s="223"/>
      <c r="H665" s="224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5"/>
      <c r="B666" s="5"/>
      <c r="C666" s="5"/>
      <c r="D666" s="5"/>
      <c r="E666" s="223"/>
      <c r="F666" s="223"/>
      <c r="G666" s="223"/>
      <c r="H666" s="224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5"/>
      <c r="B667" s="5"/>
      <c r="C667" s="5"/>
      <c r="D667" s="5"/>
      <c r="E667" s="223"/>
      <c r="F667" s="223"/>
      <c r="G667" s="223"/>
      <c r="H667" s="224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5"/>
      <c r="B668" s="5"/>
      <c r="C668" s="5"/>
      <c r="D668" s="5"/>
      <c r="E668" s="223"/>
      <c r="F668" s="223"/>
      <c r="G668" s="223"/>
      <c r="H668" s="224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5"/>
      <c r="B669" s="5"/>
      <c r="C669" s="5"/>
      <c r="D669" s="5"/>
      <c r="E669" s="223"/>
      <c r="F669" s="223"/>
      <c r="G669" s="223"/>
      <c r="H669" s="224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5"/>
      <c r="B670" s="5"/>
      <c r="C670" s="5"/>
      <c r="D670" s="5"/>
      <c r="E670" s="223"/>
      <c r="F670" s="223"/>
      <c r="G670" s="223"/>
      <c r="H670" s="224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5"/>
      <c r="B671" s="5"/>
      <c r="C671" s="5"/>
      <c r="D671" s="5"/>
      <c r="E671" s="223"/>
      <c r="F671" s="223"/>
      <c r="G671" s="223"/>
      <c r="H671" s="224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5"/>
      <c r="B672" s="5"/>
      <c r="C672" s="5"/>
      <c r="D672" s="5"/>
      <c r="E672" s="223"/>
      <c r="F672" s="223"/>
      <c r="G672" s="223"/>
      <c r="H672" s="224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5"/>
      <c r="B673" s="5"/>
      <c r="C673" s="5"/>
      <c r="D673" s="5"/>
      <c r="E673" s="223"/>
      <c r="F673" s="223"/>
      <c r="G673" s="223"/>
      <c r="H673" s="224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5"/>
      <c r="B674" s="5"/>
      <c r="C674" s="5"/>
      <c r="D674" s="5"/>
      <c r="E674" s="223"/>
      <c r="F674" s="223"/>
      <c r="G674" s="223"/>
      <c r="H674" s="224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5"/>
      <c r="B675" s="5"/>
      <c r="C675" s="5"/>
      <c r="D675" s="5"/>
      <c r="E675" s="223"/>
      <c r="F675" s="223"/>
      <c r="G675" s="223"/>
      <c r="H675" s="224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5"/>
      <c r="B676" s="5"/>
      <c r="C676" s="5"/>
      <c r="D676" s="5"/>
      <c r="E676" s="223"/>
      <c r="F676" s="223"/>
      <c r="G676" s="223"/>
      <c r="H676" s="224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5"/>
      <c r="B677" s="5"/>
      <c r="C677" s="5"/>
      <c r="D677" s="5"/>
      <c r="E677" s="223"/>
      <c r="F677" s="223"/>
      <c r="G677" s="223"/>
      <c r="H677" s="224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5"/>
      <c r="B678" s="5"/>
      <c r="C678" s="5"/>
      <c r="D678" s="5"/>
      <c r="E678" s="223"/>
      <c r="F678" s="223"/>
      <c r="G678" s="223"/>
      <c r="H678" s="224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5"/>
      <c r="B679" s="5"/>
      <c r="C679" s="5"/>
      <c r="D679" s="5"/>
      <c r="E679" s="223"/>
      <c r="F679" s="223"/>
      <c r="G679" s="223"/>
      <c r="H679" s="224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5"/>
      <c r="B680" s="5"/>
      <c r="C680" s="5"/>
      <c r="D680" s="5"/>
      <c r="E680" s="223"/>
      <c r="F680" s="223"/>
      <c r="G680" s="223"/>
      <c r="H680" s="224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5"/>
      <c r="B681" s="5"/>
      <c r="C681" s="5"/>
      <c r="D681" s="5"/>
      <c r="E681" s="223"/>
      <c r="F681" s="223"/>
      <c r="G681" s="223"/>
      <c r="H681" s="224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5"/>
      <c r="B682" s="5"/>
      <c r="C682" s="5"/>
      <c r="D682" s="5"/>
      <c r="E682" s="223"/>
      <c r="F682" s="223"/>
      <c r="G682" s="223"/>
      <c r="H682" s="224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5"/>
      <c r="B683" s="5"/>
      <c r="C683" s="5"/>
      <c r="D683" s="5"/>
      <c r="E683" s="223"/>
      <c r="F683" s="223"/>
      <c r="G683" s="223"/>
      <c r="H683" s="224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5"/>
      <c r="B684" s="5"/>
      <c r="C684" s="5"/>
      <c r="D684" s="5"/>
      <c r="E684" s="223"/>
      <c r="F684" s="223"/>
      <c r="G684" s="223"/>
      <c r="H684" s="224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5"/>
      <c r="B685" s="5"/>
      <c r="C685" s="5"/>
      <c r="D685" s="5"/>
      <c r="E685" s="223"/>
      <c r="F685" s="223"/>
      <c r="G685" s="223"/>
      <c r="H685" s="224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5"/>
      <c r="B686" s="5"/>
      <c r="C686" s="5"/>
      <c r="D686" s="5"/>
      <c r="E686" s="223"/>
      <c r="F686" s="223"/>
      <c r="G686" s="223"/>
      <c r="H686" s="224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5"/>
      <c r="B687" s="5"/>
      <c r="C687" s="5"/>
      <c r="D687" s="5"/>
      <c r="E687" s="223"/>
      <c r="F687" s="223"/>
      <c r="G687" s="223"/>
      <c r="H687" s="224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5"/>
      <c r="B688" s="5"/>
      <c r="C688" s="5"/>
      <c r="D688" s="5"/>
      <c r="E688" s="223"/>
      <c r="F688" s="223"/>
      <c r="G688" s="223"/>
      <c r="H688" s="224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5"/>
      <c r="B689" s="5"/>
      <c r="C689" s="5"/>
      <c r="D689" s="5"/>
      <c r="E689" s="223"/>
      <c r="F689" s="223"/>
      <c r="G689" s="223"/>
      <c r="H689" s="224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5"/>
      <c r="B690" s="5"/>
      <c r="C690" s="5"/>
      <c r="D690" s="5"/>
      <c r="E690" s="223"/>
      <c r="F690" s="223"/>
      <c r="G690" s="223"/>
      <c r="H690" s="224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5"/>
      <c r="B691" s="5"/>
      <c r="C691" s="5"/>
      <c r="D691" s="5"/>
      <c r="E691" s="223"/>
      <c r="F691" s="223"/>
      <c r="G691" s="223"/>
      <c r="H691" s="224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5"/>
      <c r="B692" s="5"/>
      <c r="C692" s="5"/>
      <c r="D692" s="5"/>
      <c r="E692" s="223"/>
      <c r="F692" s="223"/>
      <c r="G692" s="223"/>
      <c r="H692" s="224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5"/>
      <c r="B693" s="5"/>
      <c r="C693" s="5"/>
      <c r="D693" s="5"/>
      <c r="E693" s="223"/>
      <c r="F693" s="223"/>
      <c r="G693" s="223"/>
      <c r="H693" s="224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5"/>
      <c r="B694" s="5"/>
      <c r="C694" s="5"/>
      <c r="D694" s="5"/>
      <c r="E694" s="223"/>
      <c r="F694" s="223"/>
      <c r="G694" s="223"/>
      <c r="H694" s="224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5"/>
      <c r="B695" s="5"/>
      <c r="C695" s="5"/>
      <c r="D695" s="5"/>
      <c r="E695" s="223"/>
      <c r="F695" s="223"/>
      <c r="G695" s="223"/>
      <c r="H695" s="224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5"/>
      <c r="B696" s="5"/>
      <c r="C696" s="5"/>
      <c r="D696" s="5"/>
      <c r="E696" s="223"/>
      <c r="F696" s="223"/>
      <c r="G696" s="223"/>
      <c r="H696" s="224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5"/>
      <c r="B697" s="5"/>
      <c r="C697" s="5"/>
      <c r="D697" s="5"/>
      <c r="E697" s="223"/>
      <c r="F697" s="223"/>
      <c r="G697" s="223"/>
      <c r="H697" s="224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5"/>
      <c r="B698" s="5"/>
      <c r="C698" s="5"/>
      <c r="D698" s="5"/>
      <c r="E698" s="223"/>
      <c r="F698" s="223"/>
      <c r="G698" s="223"/>
      <c r="H698" s="224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5"/>
      <c r="B699" s="5"/>
      <c r="C699" s="5"/>
      <c r="D699" s="5"/>
      <c r="E699" s="223"/>
      <c r="F699" s="223"/>
      <c r="G699" s="223"/>
      <c r="H699" s="224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5"/>
      <c r="B700" s="5"/>
      <c r="C700" s="5"/>
      <c r="D700" s="5"/>
      <c r="E700" s="223"/>
      <c r="F700" s="223"/>
      <c r="G700" s="223"/>
      <c r="H700" s="224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5"/>
      <c r="B701" s="5"/>
      <c r="C701" s="5"/>
      <c r="D701" s="5"/>
      <c r="E701" s="223"/>
      <c r="F701" s="223"/>
      <c r="G701" s="223"/>
      <c r="H701" s="224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5"/>
      <c r="B702" s="5"/>
      <c r="C702" s="5"/>
      <c r="D702" s="5"/>
      <c r="E702" s="223"/>
      <c r="F702" s="223"/>
      <c r="G702" s="223"/>
      <c r="H702" s="224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5"/>
      <c r="B703" s="5"/>
      <c r="C703" s="5"/>
      <c r="D703" s="5"/>
      <c r="E703" s="223"/>
      <c r="F703" s="223"/>
      <c r="G703" s="223"/>
      <c r="H703" s="224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5"/>
      <c r="B704" s="5"/>
      <c r="C704" s="5"/>
      <c r="D704" s="5"/>
      <c r="E704" s="223"/>
      <c r="F704" s="223"/>
      <c r="G704" s="223"/>
      <c r="H704" s="224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5"/>
      <c r="B705" s="5"/>
      <c r="C705" s="5"/>
      <c r="D705" s="5"/>
      <c r="E705" s="223"/>
      <c r="F705" s="223"/>
      <c r="G705" s="223"/>
      <c r="H705" s="224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5"/>
      <c r="B706" s="5"/>
      <c r="C706" s="5"/>
      <c r="D706" s="5"/>
      <c r="E706" s="223"/>
      <c r="F706" s="223"/>
      <c r="G706" s="223"/>
      <c r="H706" s="224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5"/>
      <c r="B707" s="5"/>
      <c r="C707" s="5"/>
      <c r="D707" s="5"/>
      <c r="E707" s="223"/>
      <c r="F707" s="223"/>
      <c r="G707" s="223"/>
      <c r="H707" s="224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5"/>
      <c r="B708" s="5"/>
      <c r="C708" s="5"/>
      <c r="D708" s="5"/>
      <c r="E708" s="223"/>
      <c r="F708" s="223"/>
      <c r="G708" s="223"/>
      <c r="H708" s="224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5"/>
      <c r="B709" s="5"/>
      <c r="C709" s="5"/>
      <c r="D709" s="5"/>
      <c r="E709" s="223"/>
      <c r="F709" s="223"/>
      <c r="G709" s="223"/>
      <c r="H709" s="224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5"/>
      <c r="B710" s="5"/>
      <c r="C710" s="5"/>
      <c r="D710" s="5"/>
      <c r="E710" s="223"/>
      <c r="F710" s="223"/>
      <c r="G710" s="223"/>
      <c r="H710" s="224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5"/>
      <c r="B711" s="5"/>
      <c r="C711" s="5"/>
      <c r="D711" s="5"/>
      <c r="E711" s="223"/>
      <c r="F711" s="223"/>
      <c r="G711" s="223"/>
      <c r="H711" s="224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5"/>
      <c r="B712" s="5"/>
      <c r="C712" s="5"/>
      <c r="D712" s="5"/>
      <c r="E712" s="223"/>
      <c r="F712" s="223"/>
      <c r="G712" s="223"/>
      <c r="H712" s="224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5"/>
      <c r="B713" s="5"/>
      <c r="C713" s="5"/>
      <c r="D713" s="5"/>
      <c r="E713" s="223"/>
      <c r="F713" s="223"/>
      <c r="G713" s="223"/>
      <c r="H713" s="224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5"/>
      <c r="B714" s="5"/>
      <c r="C714" s="5"/>
      <c r="D714" s="5"/>
      <c r="E714" s="223"/>
      <c r="F714" s="223"/>
      <c r="G714" s="223"/>
      <c r="H714" s="224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5"/>
      <c r="B715" s="5"/>
      <c r="C715" s="5"/>
      <c r="D715" s="5"/>
      <c r="E715" s="223"/>
      <c r="F715" s="223"/>
      <c r="G715" s="223"/>
      <c r="H715" s="224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5"/>
      <c r="B716" s="5"/>
      <c r="C716" s="5"/>
      <c r="D716" s="5"/>
      <c r="E716" s="223"/>
      <c r="F716" s="223"/>
      <c r="G716" s="223"/>
      <c r="H716" s="224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5"/>
      <c r="B717" s="5"/>
      <c r="C717" s="5"/>
      <c r="D717" s="5"/>
      <c r="E717" s="223"/>
      <c r="F717" s="223"/>
      <c r="G717" s="223"/>
      <c r="H717" s="224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5"/>
      <c r="B718" s="5"/>
      <c r="C718" s="5"/>
      <c r="D718" s="5"/>
      <c r="E718" s="223"/>
      <c r="F718" s="223"/>
      <c r="G718" s="223"/>
      <c r="H718" s="224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5"/>
      <c r="B719" s="5"/>
      <c r="C719" s="5"/>
      <c r="D719" s="5"/>
      <c r="E719" s="223"/>
      <c r="F719" s="223"/>
      <c r="G719" s="223"/>
      <c r="H719" s="224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5"/>
      <c r="B720" s="5"/>
      <c r="C720" s="5"/>
      <c r="D720" s="5"/>
      <c r="E720" s="223"/>
      <c r="F720" s="223"/>
      <c r="G720" s="223"/>
      <c r="H720" s="224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5"/>
      <c r="B721" s="5"/>
      <c r="C721" s="5"/>
      <c r="D721" s="5"/>
      <c r="E721" s="223"/>
      <c r="F721" s="223"/>
      <c r="G721" s="223"/>
      <c r="H721" s="224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5"/>
      <c r="B722" s="5"/>
      <c r="C722" s="5"/>
      <c r="D722" s="5"/>
      <c r="E722" s="223"/>
      <c r="F722" s="223"/>
      <c r="G722" s="223"/>
      <c r="H722" s="224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5"/>
      <c r="B723" s="5"/>
      <c r="C723" s="5"/>
      <c r="D723" s="5"/>
      <c r="E723" s="223"/>
      <c r="F723" s="223"/>
      <c r="G723" s="223"/>
      <c r="H723" s="224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5"/>
      <c r="B724" s="5"/>
      <c r="C724" s="5"/>
      <c r="D724" s="5"/>
      <c r="E724" s="223"/>
      <c r="F724" s="223"/>
      <c r="G724" s="223"/>
      <c r="H724" s="224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5"/>
      <c r="B725" s="5"/>
      <c r="C725" s="5"/>
      <c r="D725" s="5"/>
      <c r="E725" s="223"/>
      <c r="F725" s="223"/>
      <c r="G725" s="223"/>
      <c r="H725" s="224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5"/>
      <c r="B726" s="5"/>
      <c r="C726" s="5"/>
      <c r="D726" s="5"/>
      <c r="E726" s="223"/>
      <c r="F726" s="223"/>
      <c r="G726" s="223"/>
      <c r="H726" s="224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5"/>
      <c r="B727" s="5"/>
      <c r="C727" s="5"/>
      <c r="D727" s="5"/>
      <c r="E727" s="223"/>
      <c r="F727" s="223"/>
      <c r="G727" s="223"/>
      <c r="H727" s="224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5"/>
      <c r="B728" s="5"/>
      <c r="C728" s="5"/>
      <c r="D728" s="5"/>
      <c r="E728" s="223"/>
      <c r="F728" s="223"/>
      <c r="G728" s="223"/>
      <c r="H728" s="224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5"/>
      <c r="B729" s="5"/>
      <c r="C729" s="5"/>
      <c r="D729" s="5"/>
      <c r="E729" s="223"/>
      <c r="F729" s="223"/>
      <c r="G729" s="223"/>
      <c r="H729" s="224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5"/>
      <c r="B730" s="5"/>
      <c r="C730" s="5"/>
      <c r="D730" s="5"/>
      <c r="E730" s="223"/>
      <c r="F730" s="223"/>
      <c r="G730" s="223"/>
      <c r="H730" s="224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5"/>
      <c r="B731" s="5"/>
      <c r="C731" s="5"/>
      <c r="D731" s="5"/>
      <c r="E731" s="223"/>
      <c r="F731" s="223"/>
      <c r="G731" s="223"/>
      <c r="H731" s="224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5"/>
      <c r="B732" s="5"/>
      <c r="C732" s="5"/>
      <c r="D732" s="5"/>
      <c r="E732" s="223"/>
      <c r="F732" s="223"/>
      <c r="G732" s="223"/>
      <c r="H732" s="224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5"/>
      <c r="B733" s="5"/>
      <c r="C733" s="5"/>
      <c r="D733" s="5"/>
      <c r="E733" s="223"/>
      <c r="F733" s="223"/>
      <c r="G733" s="223"/>
      <c r="H733" s="224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5"/>
      <c r="B734" s="5"/>
      <c r="C734" s="5"/>
      <c r="D734" s="5"/>
      <c r="E734" s="223"/>
      <c r="F734" s="223"/>
      <c r="G734" s="223"/>
      <c r="H734" s="224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5"/>
      <c r="B735" s="5"/>
      <c r="C735" s="5"/>
      <c r="D735" s="5"/>
      <c r="E735" s="223"/>
      <c r="F735" s="223"/>
      <c r="G735" s="223"/>
      <c r="H735" s="224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5"/>
      <c r="B736" s="5"/>
      <c r="C736" s="5"/>
      <c r="D736" s="5"/>
      <c r="E736" s="223"/>
      <c r="F736" s="223"/>
      <c r="G736" s="223"/>
      <c r="H736" s="224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5"/>
      <c r="B737" s="5"/>
      <c r="C737" s="5"/>
      <c r="D737" s="5"/>
      <c r="E737" s="223"/>
      <c r="F737" s="223"/>
      <c r="G737" s="223"/>
      <c r="H737" s="224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5"/>
      <c r="B738" s="5"/>
      <c r="C738" s="5"/>
      <c r="D738" s="5"/>
      <c r="E738" s="223"/>
      <c r="F738" s="223"/>
      <c r="G738" s="223"/>
      <c r="H738" s="224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5"/>
      <c r="B739" s="5"/>
      <c r="C739" s="5"/>
      <c r="D739" s="5"/>
      <c r="E739" s="223"/>
      <c r="F739" s="223"/>
      <c r="G739" s="223"/>
      <c r="H739" s="224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5"/>
      <c r="B740" s="5"/>
      <c r="C740" s="5"/>
      <c r="D740" s="5"/>
      <c r="E740" s="223"/>
      <c r="F740" s="223"/>
      <c r="G740" s="223"/>
      <c r="H740" s="224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5"/>
      <c r="B741" s="5"/>
      <c r="C741" s="5"/>
      <c r="D741" s="5"/>
      <c r="E741" s="223"/>
      <c r="F741" s="223"/>
      <c r="G741" s="223"/>
      <c r="H741" s="224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5"/>
      <c r="B742" s="5"/>
      <c r="C742" s="5"/>
      <c r="D742" s="5"/>
      <c r="E742" s="223"/>
      <c r="F742" s="223"/>
      <c r="G742" s="223"/>
      <c r="H742" s="224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5"/>
      <c r="B743" s="5"/>
      <c r="C743" s="5"/>
      <c r="D743" s="5"/>
      <c r="E743" s="223"/>
      <c r="F743" s="223"/>
      <c r="G743" s="223"/>
      <c r="H743" s="224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5"/>
      <c r="B744" s="5"/>
      <c r="C744" s="5"/>
      <c r="D744" s="5"/>
      <c r="E744" s="223"/>
      <c r="F744" s="223"/>
      <c r="G744" s="223"/>
      <c r="H744" s="224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5"/>
      <c r="B745" s="5"/>
      <c r="C745" s="5"/>
      <c r="D745" s="5"/>
      <c r="E745" s="223"/>
      <c r="F745" s="223"/>
      <c r="G745" s="223"/>
      <c r="H745" s="224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5"/>
      <c r="B746" s="5"/>
      <c r="C746" s="5"/>
      <c r="D746" s="5"/>
      <c r="E746" s="223"/>
      <c r="F746" s="223"/>
      <c r="G746" s="223"/>
      <c r="H746" s="224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5"/>
      <c r="B747" s="5"/>
      <c r="C747" s="5"/>
      <c r="D747" s="5"/>
      <c r="E747" s="223"/>
      <c r="F747" s="223"/>
      <c r="G747" s="223"/>
      <c r="H747" s="224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5"/>
      <c r="B748" s="5"/>
      <c r="C748" s="5"/>
      <c r="D748" s="5"/>
      <c r="E748" s="223"/>
      <c r="F748" s="223"/>
      <c r="G748" s="223"/>
      <c r="H748" s="224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5"/>
      <c r="B749" s="5"/>
      <c r="C749" s="5"/>
      <c r="D749" s="5"/>
      <c r="E749" s="223"/>
      <c r="F749" s="223"/>
      <c r="G749" s="223"/>
      <c r="H749" s="224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5"/>
      <c r="B750" s="5"/>
      <c r="C750" s="5"/>
      <c r="D750" s="5"/>
      <c r="E750" s="223"/>
      <c r="F750" s="223"/>
      <c r="G750" s="223"/>
      <c r="H750" s="224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5"/>
      <c r="B751" s="5"/>
      <c r="C751" s="5"/>
      <c r="D751" s="5"/>
      <c r="E751" s="223"/>
      <c r="F751" s="223"/>
      <c r="G751" s="223"/>
      <c r="H751" s="224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5"/>
      <c r="B752" s="5"/>
      <c r="C752" s="5"/>
      <c r="D752" s="5"/>
      <c r="E752" s="223"/>
      <c r="F752" s="223"/>
      <c r="G752" s="223"/>
      <c r="H752" s="224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5"/>
      <c r="B753" s="5"/>
      <c r="C753" s="5"/>
      <c r="D753" s="5"/>
      <c r="E753" s="223"/>
      <c r="F753" s="223"/>
      <c r="G753" s="223"/>
      <c r="H753" s="224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5"/>
      <c r="B754" s="5"/>
      <c r="C754" s="5"/>
      <c r="D754" s="5"/>
      <c r="E754" s="223"/>
      <c r="F754" s="223"/>
      <c r="G754" s="223"/>
      <c r="H754" s="224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5"/>
      <c r="B755" s="5"/>
      <c r="C755" s="5"/>
      <c r="D755" s="5"/>
      <c r="E755" s="223"/>
      <c r="F755" s="223"/>
      <c r="G755" s="223"/>
      <c r="H755" s="224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5"/>
      <c r="B756" s="5"/>
      <c r="C756" s="5"/>
      <c r="D756" s="5"/>
      <c r="E756" s="223"/>
      <c r="F756" s="223"/>
      <c r="G756" s="223"/>
      <c r="H756" s="224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5"/>
      <c r="B757" s="5"/>
      <c r="C757" s="5"/>
      <c r="D757" s="5"/>
      <c r="E757" s="223"/>
      <c r="F757" s="223"/>
      <c r="G757" s="223"/>
      <c r="H757" s="224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5"/>
      <c r="B758" s="5"/>
      <c r="C758" s="5"/>
      <c r="D758" s="5"/>
      <c r="E758" s="223"/>
      <c r="F758" s="223"/>
      <c r="G758" s="223"/>
      <c r="H758" s="224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5"/>
      <c r="B759" s="5"/>
      <c r="C759" s="5"/>
      <c r="D759" s="5"/>
      <c r="E759" s="223"/>
      <c r="F759" s="223"/>
      <c r="G759" s="223"/>
      <c r="H759" s="224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5"/>
      <c r="B760" s="5"/>
      <c r="C760" s="5"/>
      <c r="D760" s="5"/>
      <c r="E760" s="223"/>
      <c r="F760" s="223"/>
      <c r="G760" s="223"/>
      <c r="H760" s="224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5"/>
      <c r="B761" s="5"/>
      <c r="C761" s="5"/>
      <c r="D761" s="5"/>
      <c r="E761" s="223"/>
      <c r="F761" s="223"/>
      <c r="G761" s="223"/>
      <c r="H761" s="224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5"/>
      <c r="B762" s="5"/>
      <c r="C762" s="5"/>
      <c r="D762" s="5"/>
      <c r="E762" s="223"/>
      <c r="F762" s="223"/>
      <c r="G762" s="223"/>
      <c r="H762" s="224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5"/>
      <c r="B763" s="5"/>
      <c r="C763" s="5"/>
      <c r="D763" s="5"/>
      <c r="E763" s="223"/>
      <c r="F763" s="223"/>
      <c r="G763" s="223"/>
      <c r="H763" s="224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5"/>
      <c r="B764" s="5"/>
      <c r="C764" s="5"/>
      <c r="D764" s="5"/>
      <c r="E764" s="223"/>
      <c r="F764" s="223"/>
      <c r="G764" s="223"/>
      <c r="H764" s="224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5"/>
      <c r="B765" s="5"/>
      <c r="C765" s="5"/>
      <c r="D765" s="5"/>
      <c r="E765" s="223"/>
      <c r="F765" s="223"/>
      <c r="G765" s="223"/>
      <c r="H765" s="224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5"/>
      <c r="B766" s="5"/>
      <c r="C766" s="5"/>
      <c r="D766" s="5"/>
      <c r="E766" s="223"/>
      <c r="F766" s="223"/>
      <c r="G766" s="223"/>
      <c r="H766" s="224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5"/>
      <c r="B767" s="5"/>
      <c r="C767" s="5"/>
      <c r="D767" s="5"/>
      <c r="E767" s="223"/>
      <c r="F767" s="223"/>
      <c r="G767" s="223"/>
      <c r="H767" s="224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5"/>
      <c r="B768" s="5"/>
      <c r="C768" s="5"/>
      <c r="D768" s="5"/>
      <c r="E768" s="223"/>
      <c r="F768" s="223"/>
      <c r="G768" s="223"/>
      <c r="H768" s="224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5"/>
      <c r="B769" s="5"/>
      <c r="C769" s="5"/>
      <c r="D769" s="5"/>
      <c r="E769" s="223"/>
      <c r="F769" s="223"/>
      <c r="G769" s="223"/>
      <c r="H769" s="224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5"/>
      <c r="B770" s="5"/>
      <c r="C770" s="5"/>
      <c r="D770" s="5"/>
      <c r="E770" s="223"/>
      <c r="F770" s="223"/>
      <c r="G770" s="223"/>
      <c r="H770" s="224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5"/>
      <c r="B771" s="5"/>
      <c r="C771" s="5"/>
      <c r="D771" s="5"/>
      <c r="E771" s="223"/>
      <c r="F771" s="223"/>
      <c r="G771" s="223"/>
      <c r="H771" s="224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5"/>
      <c r="B772" s="5"/>
      <c r="C772" s="5"/>
      <c r="D772" s="5"/>
      <c r="E772" s="223"/>
      <c r="F772" s="223"/>
      <c r="G772" s="223"/>
      <c r="H772" s="224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5"/>
      <c r="B773" s="5"/>
      <c r="C773" s="5"/>
      <c r="D773" s="5"/>
      <c r="E773" s="223"/>
      <c r="F773" s="223"/>
      <c r="G773" s="223"/>
      <c r="H773" s="224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5"/>
      <c r="B774" s="5"/>
      <c r="C774" s="5"/>
      <c r="D774" s="5"/>
      <c r="E774" s="223"/>
      <c r="F774" s="223"/>
      <c r="G774" s="223"/>
      <c r="H774" s="224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5"/>
      <c r="B775" s="5"/>
      <c r="C775" s="5"/>
      <c r="D775" s="5"/>
      <c r="E775" s="223"/>
      <c r="F775" s="223"/>
      <c r="G775" s="223"/>
      <c r="H775" s="224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5"/>
      <c r="B776" s="5"/>
      <c r="C776" s="5"/>
      <c r="D776" s="5"/>
      <c r="E776" s="223"/>
      <c r="F776" s="223"/>
      <c r="G776" s="223"/>
      <c r="H776" s="224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5"/>
      <c r="B777" s="5"/>
      <c r="C777" s="5"/>
      <c r="D777" s="5"/>
      <c r="E777" s="223"/>
      <c r="F777" s="223"/>
      <c r="G777" s="223"/>
      <c r="H777" s="224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5"/>
      <c r="B778" s="5"/>
      <c r="C778" s="5"/>
      <c r="D778" s="5"/>
      <c r="E778" s="223"/>
      <c r="F778" s="223"/>
      <c r="G778" s="223"/>
      <c r="H778" s="224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5"/>
      <c r="B779" s="5"/>
      <c r="C779" s="5"/>
      <c r="D779" s="5"/>
      <c r="E779" s="223"/>
      <c r="F779" s="223"/>
      <c r="G779" s="223"/>
      <c r="H779" s="224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5"/>
      <c r="B780" s="5"/>
      <c r="C780" s="5"/>
      <c r="D780" s="5"/>
      <c r="E780" s="223"/>
      <c r="F780" s="223"/>
      <c r="G780" s="223"/>
      <c r="H780" s="224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5"/>
      <c r="B781" s="5"/>
      <c r="C781" s="5"/>
      <c r="D781" s="5"/>
      <c r="E781" s="223"/>
      <c r="F781" s="223"/>
      <c r="G781" s="223"/>
      <c r="H781" s="224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5"/>
      <c r="B782" s="5"/>
      <c r="C782" s="5"/>
      <c r="D782" s="5"/>
      <c r="E782" s="223"/>
      <c r="F782" s="223"/>
      <c r="G782" s="223"/>
      <c r="H782" s="224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5"/>
      <c r="B783" s="5"/>
      <c r="C783" s="5"/>
      <c r="D783" s="5"/>
      <c r="E783" s="223"/>
      <c r="F783" s="223"/>
      <c r="G783" s="223"/>
      <c r="H783" s="224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5"/>
      <c r="B784" s="5"/>
      <c r="C784" s="5"/>
      <c r="D784" s="5"/>
      <c r="E784" s="223"/>
      <c r="F784" s="223"/>
      <c r="G784" s="223"/>
      <c r="H784" s="224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5"/>
      <c r="B785" s="5"/>
      <c r="C785" s="5"/>
      <c r="D785" s="5"/>
      <c r="E785" s="223"/>
      <c r="F785" s="223"/>
      <c r="G785" s="223"/>
      <c r="H785" s="224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5"/>
      <c r="B786" s="5"/>
      <c r="C786" s="5"/>
      <c r="D786" s="5"/>
      <c r="E786" s="223"/>
      <c r="F786" s="223"/>
      <c r="G786" s="223"/>
      <c r="H786" s="224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5"/>
      <c r="B787" s="5"/>
      <c r="C787" s="5"/>
      <c r="D787" s="5"/>
      <c r="E787" s="223"/>
      <c r="F787" s="223"/>
      <c r="G787" s="223"/>
      <c r="H787" s="224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5"/>
      <c r="B788" s="5"/>
      <c r="C788" s="5"/>
      <c r="D788" s="5"/>
      <c r="E788" s="223"/>
      <c r="F788" s="223"/>
      <c r="G788" s="223"/>
      <c r="H788" s="224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5"/>
      <c r="B789" s="5"/>
      <c r="C789" s="5"/>
      <c r="D789" s="5"/>
      <c r="E789" s="223"/>
      <c r="F789" s="223"/>
      <c r="G789" s="223"/>
      <c r="H789" s="224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5"/>
      <c r="B790" s="5"/>
      <c r="C790" s="5"/>
      <c r="D790" s="5"/>
      <c r="E790" s="223"/>
      <c r="F790" s="223"/>
      <c r="G790" s="223"/>
      <c r="H790" s="224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5"/>
      <c r="B791" s="5"/>
      <c r="C791" s="5"/>
      <c r="D791" s="5"/>
      <c r="E791" s="223"/>
      <c r="F791" s="223"/>
      <c r="G791" s="223"/>
      <c r="H791" s="224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5"/>
      <c r="B792" s="5"/>
      <c r="C792" s="5"/>
      <c r="D792" s="5"/>
      <c r="E792" s="223"/>
      <c r="F792" s="223"/>
      <c r="G792" s="223"/>
      <c r="H792" s="224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5"/>
      <c r="B793" s="5"/>
      <c r="C793" s="5"/>
      <c r="D793" s="5"/>
      <c r="E793" s="223"/>
      <c r="F793" s="223"/>
      <c r="G793" s="223"/>
      <c r="H793" s="224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5"/>
      <c r="B794" s="5"/>
      <c r="C794" s="5"/>
      <c r="D794" s="5"/>
      <c r="E794" s="223"/>
      <c r="F794" s="223"/>
      <c r="G794" s="223"/>
      <c r="H794" s="224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5"/>
      <c r="B795" s="5"/>
      <c r="C795" s="5"/>
      <c r="D795" s="5"/>
      <c r="E795" s="223"/>
      <c r="F795" s="223"/>
      <c r="G795" s="223"/>
      <c r="H795" s="224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5"/>
      <c r="B796" s="5"/>
      <c r="C796" s="5"/>
      <c r="D796" s="5"/>
      <c r="E796" s="223"/>
      <c r="F796" s="223"/>
      <c r="G796" s="223"/>
      <c r="H796" s="224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5"/>
      <c r="B797" s="5"/>
      <c r="C797" s="5"/>
      <c r="D797" s="5"/>
      <c r="E797" s="223"/>
      <c r="F797" s="223"/>
      <c r="G797" s="223"/>
      <c r="H797" s="224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5"/>
      <c r="B798" s="5"/>
      <c r="C798" s="5"/>
      <c r="D798" s="5"/>
      <c r="E798" s="223"/>
      <c r="F798" s="223"/>
      <c r="G798" s="223"/>
      <c r="H798" s="224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5"/>
      <c r="B799" s="5"/>
      <c r="C799" s="5"/>
      <c r="D799" s="5"/>
      <c r="E799" s="223"/>
      <c r="F799" s="223"/>
      <c r="G799" s="223"/>
      <c r="H799" s="224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5"/>
      <c r="B800" s="5"/>
      <c r="C800" s="5"/>
      <c r="D800" s="5"/>
      <c r="E800" s="223"/>
      <c r="F800" s="223"/>
      <c r="G800" s="223"/>
      <c r="H800" s="224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5"/>
      <c r="B801" s="5"/>
      <c r="C801" s="5"/>
      <c r="D801" s="5"/>
      <c r="E801" s="223"/>
      <c r="F801" s="223"/>
      <c r="G801" s="223"/>
      <c r="H801" s="224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5"/>
      <c r="B802" s="5"/>
      <c r="C802" s="5"/>
      <c r="D802" s="5"/>
      <c r="E802" s="223"/>
      <c r="F802" s="223"/>
      <c r="G802" s="223"/>
      <c r="H802" s="224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5"/>
      <c r="B803" s="5"/>
      <c r="C803" s="5"/>
      <c r="D803" s="5"/>
      <c r="E803" s="223"/>
      <c r="F803" s="223"/>
      <c r="G803" s="223"/>
      <c r="H803" s="224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5"/>
      <c r="B804" s="5"/>
      <c r="C804" s="5"/>
      <c r="D804" s="5"/>
      <c r="E804" s="223"/>
      <c r="F804" s="223"/>
      <c r="G804" s="223"/>
      <c r="H804" s="224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5"/>
      <c r="B805" s="5"/>
      <c r="C805" s="5"/>
      <c r="D805" s="5"/>
      <c r="E805" s="223"/>
      <c r="F805" s="223"/>
      <c r="G805" s="223"/>
      <c r="H805" s="224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5"/>
      <c r="B806" s="5"/>
      <c r="C806" s="5"/>
      <c r="D806" s="5"/>
      <c r="E806" s="223"/>
      <c r="F806" s="223"/>
      <c r="G806" s="223"/>
      <c r="H806" s="224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5"/>
      <c r="B807" s="5"/>
      <c r="C807" s="5"/>
      <c r="D807" s="5"/>
      <c r="E807" s="223"/>
      <c r="F807" s="223"/>
      <c r="G807" s="223"/>
      <c r="H807" s="224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5"/>
      <c r="B808" s="5"/>
      <c r="C808" s="5"/>
      <c r="D808" s="5"/>
      <c r="E808" s="223"/>
      <c r="F808" s="223"/>
      <c r="G808" s="223"/>
      <c r="H808" s="224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5"/>
      <c r="B809" s="5"/>
      <c r="C809" s="5"/>
      <c r="D809" s="5"/>
      <c r="E809" s="223"/>
      <c r="F809" s="223"/>
      <c r="G809" s="223"/>
      <c r="H809" s="224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5"/>
      <c r="B810" s="5"/>
      <c r="C810" s="5"/>
      <c r="D810" s="5"/>
      <c r="E810" s="223"/>
      <c r="F810" s="223"/>
      <c r="G810" s="223"/>
      <c r="H810" s="224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5"/>
      <c r="B811" s="5"/>
      <c r="C811" s="5"/>
      <c r="D811" s="5"/>
      <c r="E811" s="223"/>
      <c r="F811" s="223"/>
      <c r="G811" s="223"/>
      <c r="H811" s="224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5"/>
      <c r="B812" s="5"/>
      <c r="C812" s="5"/>
      <c r="D812" s="5"/>
      <c r="E812" s="223"/>
      <c r="F812" s="223"/>
      <c r="G812" s="223"/>
      <c r="H812" s="224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5"/>
      <c r="B813" s="5"/>
      <c r="C813" s="5"/>
      <c r="D813" s="5"/>
      <c r="E813" s="223"/>
      <c r="F813" s="223"/>
      <c r="G813" s="223"/>
      <c r="H813" s="224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5"/>
      <c r="B814" s="5"/>
      <c r="C814" s="5"/>
      <c r="D814" s="5"/>
      <c r="E814" s="223"/>
      <c r="F814" s="223"/>
      <c r="G814" s="223"/>
      <c r="H814" s="224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5"/>
      <c r="B815" s="5"/>
      <c r="C815" s="5"/>
      <c r="D815" s="5"/>
      <c r="E815" s="223"/>
      <c r="F815" s="223"/>
      <c r="G815" s="223"/>
      <c r="H815" s="224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5"/>
      <c r="B816" s="5"/>
      <c r="C816" s="5"/>
      <c r="D816" s="5"/>
      <c r="E816" s="223"/>
      <c r="F816" s="223"/>
      <c r="G816" s="223"/>
      <c r="H816" s="224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5"/>
      <c r="B817" s="5"/>
      <c r="C817" s="5"/>
      <c r="D817" s="5"/>
      <c r="E817" s="223"/>
      <c r="F817" s="223"/>
      <c r="G817" s="223"/>
      <c r="H817" s="224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5"/>
      <c r="B818" s="5"/>
      <c r="C818" s="5"/>
      <c r="D818" s="5"/>
      <c r="E818" s="223"/>
      <c r="F818" s="223"/>
      <c r="G818" s="223"/>
      <c r="H818" s="224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5"/>
      <c r="B819" s="5"/>
      <c r="C819" s="5"/>
      <c r="D819" s="5"/>
      <c r="E819" s="223"/>
      <c r="F819" s="223"/>
      <c r="G819" s="223"/>
      <c r="H819" s="224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5"/>
      <c r="B820" s="5"/>
      <c r="C820" s="5"/>
      <c r="D820" s="5"/>
      <c r="E820" s="223"/>
      <c r="F820" s="223"/>
      <c r="G820" s="223"/>
      <c r="H820" s="224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5"/>
      <c r="B821" s="5"/>
      <c r="C821" s="5"/>
      <c r="D821" s="5"/>
      <c r="E821" s="223"/>
      <c r="F821" s="223"/>
      <c r="G821" s="223"/>
      <c r="H821" s="224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5"/>
      <c r="B822" s="5"/>
      <c r="C822" s="5"/>
      <c r="D822" s="5"/>
      <c r="E822" s="223"/>
      <c r="F822" s="223"/>
      <c r="G822" s="223"/>
      <c r="H822" s="224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5"/>
      <c r="B823" s="5"/>
      <c r="C823" s="5"/>
      <c r="D823" s="5"/>
      <c r="E823" s="223"/>
      <c r="F823" s="223"/>
      <c r="G823" s="223"/>
      <c r="H823" s="224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5"/>
      <c r="B824" s="5"/>
      <c r="C824" s="5"/>
      <c r="D824" s="5"/>
      <c r="E824" s="223"/>
      <c r="F824" s="223"/>
      <c r="G824" s="223"/>
      <c r="H824" s="224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5"/>
      <c r="B825" s="5"/>
      <c r="C825" s="5"/>
      <c r="D825" s="5"/>
      <c r="E825" s="223"/>
      <c r="F825" s="223"/>
      <c r="G825" s="223"/>
      <c r="H825" s="224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5"/>
      <c r="B826" s="5"/>
      <c r="C826" s="5"/>
      <c r="D826" s="5"/>
      <c r="E826" s="223"/>
      <c r="F826" s="223"/>
      <c r="G826" s="223"/>
      <c r="H826" s="224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5"/>
      <c r="B827" s="5"/>
      <c r="C827" s="5"/>
      <c r="D827" s="5"/>
      <c r="E827" s="223"/>
      <c r="F827" s="223"/>
      <c r="G827" s="223"/>
      <c r="H827" s="224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5"/>
      <c r="B828" s="5"/>
      <c r="C828" s="5"/>
      <c r="D828" s="5"/>
      <c r="E828" s="223"/>
      <c r="F828" s="223"/>
      <c r="G828" s="223"/>
      <c r="H828" s="224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5"/>
      <c r="B829" s="5"/>
      <c r="C829" s="5"/>
      <c r="D829" s="5"/>
      <c r="E829" s="223"/>
      <c r="F829" s="223"/>
      <c r="G829" s="223"/>
      <c r="H829" s="224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5"/>
      <c r="B830" s="5"/>
      <c r="C830" s="5"/>
      <c r="D830" s="5"/>
      <c r="E830" s="223"/>
      <c r="F830" s="223"/>
      <c r="G830" s="223"/>
      <c r="H830" s="224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5"/>
      <c r="B831" s="5"/>
      <c r="C831" s="5"/>
      <c r="D831" s="5"/>
      <c r="E831" s="223"/>
      <c r="F831" s="223"/>
      <c r="G831" s="223"/>
      <c r="H831" s="224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5"/>
      <c r="B832" s="5"/>
      <c r="C832" s="5"/>
      <c r="D832" s="5"/>
      <c r="E832" s="223"/>
      <c r="F832" s="223"/>
      <c r="G832" s="223"/>
      <c r="H832" s="224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5"/>
      <c r="B833" s="5"/>
      <c r="C833" s="5"/>
      <c r="D833" s="5"/>
      <c r="E833" s="223"/>
      <c r="F833" s="223"/>
      <c r="G833" s="223"/>
      <c r="H833" s="224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5"/>
      <c r="B834" s="5"/>
      <c r="C834" s="5"/>
      <c r="D834" s="5"/>
      <c r="E834" s="223"/>
      <c r="F834" s="223"/>
      <c r="G834" s="223"/>
      <c r="H834" s="224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5"/>
      <c r="B835" s="5"/>
      <c r="C835" s="5"/>
      <c r="D835" s="5"/>
      <c r="E835" s="223"/>
      <c r="F835" s="223"/>
      <c r="G835" s="223"/>
      <c r="H835" s="224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5"/>
      <c r="B836" s="5"/>
      <c r="C836" s="5"/>
      <c r="D836" s="5"/>
      <c r="E836" s="223"/>
      <c r="F836" s="223"/>
      <c r="G836" s="223"/>
      <c r="H836" s="224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5"/>
      <c r="B837" s="5"/>
      <c r="C837" s="5"/>
      <c r="D837" s="5"/>
      <c r="E837" s="223"/>
      <c r="F837" s="223"/>
      <c r="G837" s="223"/>
      <c r="H837" s="224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5"/>
      <c r="B838" s="5"/>
      <c r="C838" s="5"/>
      <c r="D838" s="5"/>
      <c r="E838" s="223"/>
      <c r="F838" s="223"/>
      <c r="G838" s="223"/>
      <c r="H838" s="224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5"/>
      <c r="B839" s="5"/>
      <c r="C839" s="5"/>
      <c r="D839" s="5"/>
      <c r="E839" s="223"/>
      <c r="F839" s="223"/>
      <c r="G839" s="223"/>
      <c r="H839" s="224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5"/>
      <c r="B840" s="5"/>
      <c r="C840" s="5"/>
      <c r="D840" s="5"/>
      <c r="E840" s="223"/>
      <c r="F840" s="223"/>
      <c r="G840" s="223"/>
      <c r="H840" s="224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5"/>
      <c r="B841" s="5"/>
      <c r="C841" s="5"/>
      <c r="D841" s="5"/>
      <c r="E841" s="223"/>
      <c r="F841" s="223"/>
      <c r="G841" s="223"/>
      <c r="H841" s="224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5"/>
      <c r="B842" s="5"/>
      <c r="C842" s="5"/>
      <c r="D842" s="5"/>
      <c r="E842" s="223"/>
      <c r="F842" s="223"/>
      <c r="G842" s="223"/>
      <c r="H842" s="224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5"/>
      <c r="B843" s="5"/>
      <c r="C843" s="5"/>
      <c r="D843" s="5"/>
      <c r="E843" s="223"/>
      <c r="F843" s="223"/>
      <c r="G843" s="223"/>
      <c r="H843" s="224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5"/>
      <c r="B844" s="5"/>
      <c r="C844" s="5"/>
      <c r="D844" s="5"/>
      <c r="E844" s="223"/>
      <c r="F844" s="223"/>
      <c r="G844" s="223"/>
      <c r="H844" s="224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5"/>
      <c r="B845" s="5"/>
      <c r="C845" s="5"/>
      <c r="D845" s="5"/>
      <c r="E845" s="223"/>
      <c r="F845" s="223"/>
      <c r="G845" s="223"/>
      <c r="H845" s="224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5"/>
      <c r="B846" s="5"/>
      <c r="C846" s="5"/>
      <c r="D846" s="5"/>
      <c r="E846" s="223"/>
      <c r="F846" s="223"/>
      <c r="G846" s="223"/>
      <c r="H846" s="224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5"/>
      <c r="B847" s="5"/>
      <c r="C847" s="5"/>
      <c r="D847" s="5"/>
      <c r="E847" s="223"/>
      <c r="F847" s="223"/>
      <c r="G847" s="223"/>
      <c r="H847" s="224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5"/>
      <c r="B848" s="5"/>
      <c r="C848" s="5"/>
      <c r="D848" s="5"/>
      <c r="E848" s="223"/>
      <c r="F848" s="223"/>
      <c r="G848" s="223"/>
      <c r="H848" s="224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5"/>
      <c r="B849" s="5"/>
      <c r="C849" s="5"/>
      <c r="D849" s="5"/>
      <c r="E849" s="223"/>
      <c r="F849" s="223"/>
      <c r="G849" s="223"/>
      <c r="H849" s="224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5"/>
      <c r="B850" s="5"/>
      <c r="C850" s="5"/>
      <c r="D850" s="5"/>
      <c r="E850" s="223"/>
      <c r="F850" s="223"/>
      <c r="G850" s="223"/>
      <c r="H850" s="224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5"/>
      <c r="B851" s="5"/>
      <c r="C851" s="5"/>
      <c r="D851" s="5"/>
      <c r="E851" s="223"/>
      <c r="F851" s="223"/>
      <c r="G851" s="223"/>
      <c r="H851" s="224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5"/>
      <c r="B852" s="5"/>
      <c r="C852" s="5"/>
      <c r="D852" s="5"/>
      <c r="E852" s="223"/>
      <c r="F852" s="223"/>
      <c r="G852" s="223"/>
      <c r="H852" s="224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5"/>
      <c r="B853" s="5"/>
      <c r="C853" s="5"/>
      <c r="D853" s="5"/>
      <c r="E853" s="223"/>
      <c r="F853" s="223"/>
      <c r="G853" s="223"/>
      <c r="H853" s="224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5"/>
      <c r="B854" s="5"/>
      <c r="C854" s="5"/>
      <c r="D854" s="5"/>
      <c r="E854" s="223"/>
      <c r="F854" s="223"/>
      <c r="G854" s="223"/>
      <c r="H854" s="224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5"/>
      <c r="B855" s="5"/>
      <c r="C855" s="5"/>
      <c r="D855" s="5"/>
      <c r="E855" s="223"/>
      <c r="F855" s="223"/>
      <c r="G855" s="223"/>
      <c r="H855" s="224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5"/>
      <c r="B856" s="5"/>
      <c r="C856" s="5"/>
      <c r="D856" s="5"/>
      <c r="E856" s="223"/>
      <c r="F856" s="223"/>
      <c r="G856" s="223"/>
      <c r="H856" s="224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5"/>
      <c r="B857" s="5"/>
      <c r="C857" s="5"/>
      <c r="D857" s="5"/>
      <c r="E857" s="223"/>
      <c r="F857" s="223"/>
      <c r="G857" s="223"/>
      <c r="H857" s="224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5"/>
      <c r="B858" s="5"/>
      <c r="C858" s="5"/>
      <c r="D858" s="5"/>
      <c r="E858" s="223"/>
      <c r="F858" s="223"/>
      <c r="G858" s="223"/>
      <c r="H858" s="224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5"/>
      <c r="B859" s="5"/>
      <c r="C859" s="5"/>
      <c r="D859" s="5"/>
      <c r="E859" s="223"/>
      <c r="F859" s="223"/>
      <c r="G859" s="223"/>
      <c r="H859" s="224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5"/>
      <c r="B860" s="5"/>
      <c r="C860" s="5"/>
      <c r="D860" s="5"/>
      <c r="E860" s="223"/>
      <c r="F860" s="223"/>
      <c r="G860" s="223"/>
      <c r="H860" s="224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5"/>
      <c r="B861" s="5"/>
      <c r="C861" s="5"/>
      <c r="D861" s="5"/>
      <c r="E861" s="223"/>
      <c r="F861" s="223"/>
      <c r="G861" s="223"/>
      <c r="H861" s="224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5"/>
      <c r="B862" s="5"/>
      <c r="C862" s="5"/>
      <c r="D862" s="5"/>
      <c r="E862" s="223"/>
      <c r="F862" s="223"/>
      <c r="G862" s="223"/>
      <c r="H862" s="224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5"/>
      <c r="B863" s="5"/>
      <c r="C863" s="5"/>
      <c r="D863" s="5"/>
      <c r="E863" s="223"/>
      <c r="F863" s="223"/>
      <c r="G863" s="223"/>
      <c r="H863" s="224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5"/>
      <c r="B864" s="5"/>
      <c r="C864" s="5"/>
      <c r="D864" s="5"/>
      <c r="E864" s="223"/>
      <c r="F864" s="223"/>
      <c r="G864" s="223"/>
      <c r="H864" s="224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5"/>
      <c r="B865" s="5"/>
      <c r="C865" s="5"/>
      <c r="D865" s="5"/>
      <c r="E865" s="223"/>
      <c r="F865" s="223"/>
      <c r="G865" s="223"/>
      <c r="H865" s="224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5"/>
      <c r="B866" s="5"/>
      <c r="C866" s="5"/>
      <c r="D866" s="5"/>
      <c r="E866" s="223"/>
      <c r="F866" s="223"/>
      <c r="G866" s="223"/>
      <c r="H866" s="224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5"/>
      <c r="B867" s="5"/>
      <c r="C867" s="5"/>
      <c r="D867" s="5"/>
      <c r="E867" s="223"/>
      <c r="F867" s="223"/>
      <c r="G867" s="223"/>
      <c r="H867" s="224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5"/>
      <c r="B868" s="5"/>
      <c r="C868" s="5"/>
      <c r="D868" s="5"/>
      <c r="E868" s="223"/>
      <c r="F868" s="223"/>
      <c r="G868" s="223"/>
      <c r="H868" s="224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5"/>
      <c r="B869" s="5"/>
      <c r="C869" s="5"/>
      <c r="D869" s="5"/>
      <c r="E869" s="223"/>
      <c r="F869" s="223"/>
      <c r="G869" s="223"/>
      <c r="H869" s="224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5"/>
      <c r="B870" s="5"/>
      <c r="C870" s="5"/>
      <c r="D870" s="5"/>
      <c r="E870" s="223"/>
      <c r="F870" s="223"/>
      <c r="G870" s="223"/>
      <c r="H870" s="224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5"/>
      <c r="B871" s="5"/>
      <c r="C871" s="5"/>
      <c r="D871" s="5"/>
      <c r="E871" s="223"/>
      <c r="F871" s="223"/>
      <c r="G871" s="223"/>
      <c r="H871" s="224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5"/>
      <c r="B872" s="5"/>
      <c r="C872" s="5"/>
      <c r="D872" s="5"/>
      <c r="E872" s="223"/>
      <c r="F872" s="223"/>
      <c r="G872" s="223"/>
      <c r="H872" s="224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5"/>
      <c r="B873" s="5"/>
      <c r="C873" s="5"/>
      <c r="D873" s="5"/>
      <c r="E873" s="223"/>
      <c r="F873" s="223"/>
      <c r="G873" s="223"/>
      <c r="H873" s="224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5"/>
      <c r="B874" s="5"/>
      <c r="C874" s="5"/>
      <c r="D874" s="5"/>
      <c r="E874" s="223"/>
      <c r="F874" s="223"/>
      <c r="G874" s="223"/>
      <c r="H874" s="224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5"/>
      <c r="B875" s="5"/>
      <c r="C875" s="5"/>
      <c r="D875" s="5"/>
      <c r="E875" s="223"/>
      <c r="F875" s="223"/>
      <c r="G875" s="223"/>
      <c r="H875" s="224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5"/>
      <c r="B876" s="5"/>
      <c r="C876" s="5"/>
      <c r="D876" s="5"/>
      <c r="E876" s="223"/>
      <c r="F876" s="223"/>
      <c r="G876" s="223"/>
      <c r="H876" s="224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5"/>
      <c r="B877" s="5"/>
      <c r="C877" s="5"/>
      <c r="D877" s="5"/>
      <c r="E877" s="223"/>
      <c r="F877" s="223"/>
      <c r="G877" s="223"/>
      <c r="H877" s="224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5"/>
      <c r="B878" s="5"/>
      <c r="C878" s="5"/>
      <c r="D878" s="5"/>
      <c r="E878" s="223"/>
      <c r="F878" s="223"/>
      <c r="G878" s="223"/>
      <c r="H878" s="224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5"/>
      <c r="B879" s="5"/>
      <c r="C879" s="5"/>
      <c r="D879" s="5"/>
      <c r="E879" s="223"/>
      <c r="F879" s="223"/>
      <c r="G879" s="223"/>
      <c r="H879" s="224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5"/>
      <c r="B880" s="5"/>
      <c r="C880" s="5"/>
      <c r="D880" s="5"/>
      <c r="E880" s="223"/>
      <c r="F880" s="223"/>
      <c r="G880" s="223"/>
      <c r="H880" s="224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5"/>
      <c r="B881" s="5"/>
      <c r="C881" s="5"/>
      <c r="D881" s="5"/>
      <c r="E881" s="223"/>
      <c r="F881" s="223"/>
      <c r="G881" s="223"/>
      <c r="H881" s="224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5"/>
      <c r="B882" s="5"/>
      <c r="C882" s="5"/>
      <c r="D882" s="5"/>
      <c r="E882" s="223"/>
      <c r="F882" s="223"/>
      <c r="G882" s="223"/>
      <c r="H882" s="224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5"/>
      <c r="B883" s="5"/>
      <c r="C883" s="5"/>
      <c r="D883" s="5"/>
      <c r="E883" s="223"/>
      <c r="F883" s="223"/>
      <c r="G883" s="223"/>
      <c r="H883" s="224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5"/>
      <c r="B884" s="5"/>
      <c r="C884" s="5"/>
      <c r="D884" s="5"/>
      <c r="E884" s="223"/>
      <c r="F884" s="223"/>
      <c r="G884" s="223"/>
      <c r="H884" s="224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5"/>
      <c r="B885" s="5"/>
      <c r="C885" s="5"/>
      <c r="D885" s="5"/>
      <c r="E885" s="223"/>
      <c r="F885" s="223"/>
      <c r="G885" s="223"/>
      <c r="H885" s="224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5"/>
      <c r="B886" s="5"/>
      <c r="C886" s="5"/>
      <c r="D886" s="5"/>
      <c r="E886" s="223"/>
      <c r="F886" s="223"/>
      <c r="G886" s="223"/>
      <c r="H886" s="224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5"/>
      <c r="B887" s="5"/>
      <c r="C887" s="5"/>
      <c r="D887" s="5"/>
      <c r="E887" s="223"/>
      <c r="F887" s="223"/>
      <c r="G887" s="223"/>
      <c r="H887" s="224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5"/>
      <c r="B888" s="5"/>
      <c r="C888" s="5"/>
      <c r="D888" s="5"/>
      <c r="E888" s="223"/>
      <c r="F888" s="223"/>
      <c r="G888" s="223"/>
      <c r="H888" s="224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5"/>
      <c r="B889" s="5"/>
      <c r="C889" s="5"/>
      <c r="D889" s="5"/>
      <c r="E889" s="223"/>
      <c r="F889" s="223"/>
      <c r="G889" s="223"/>
      <c r="H889" s="224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5"/>
      <c r="B890" s="5"/>
      <c r="C890" s="5"/>
      <c r="D890" s="5"/>
      <c r="E890" s="223"/>
      <c r="F890" s="223"/>
      <c r="G890" s="223"/>
      <c r="H890" s="224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5"/>
      <c r="B891" s="5"/>
      <c r="C891" s="5"/>
      <c r="D891" s="5"/>
      <c r="E891" s="223"/>
      <c r="F891" s="223"/>
      <c r="G891" s="223"/>
      <c r="H891" s="224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5"/>
      <c r="B892" s="5"/>
      <c r="C892" s="5"/>
      <c r="D892" s="5"/>
      <c r="E892" s="223"/>
      <c r="F892" s="223"/>
      <c r="G892" s="223"/>
      <c r="H892" s="224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5"/>
      <c r="B893" s="5"/>
      <c r="C893" s="5"/>
      <c r="D893" s="5"/>
      <c r="E893" s="223"/>
      <c r="F893" s="223"/>
      <c r="G893" s="223"/>
      <c r="H893" s="224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5"/>
      <c r="B894" s="5"/>
      <c r="C894" s="5"/>
      <c r="D894" s="5"/>
      <c r="E894" s="223"/>
      <c r="F894" s="223"/>
      <c r="G894" s="223"/>
      <c r="H894" s="224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5"/>
      <c r="B895" s="5"/>
      <c r="C895" s="5"/>
      <c r="D895" s="5"/>
      <c r="E895" s="223"/>
      <c r="F895" s="223"/>
      <c r="G895" s="223"/>
      <c r="H895" s="224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5"/>
      <c r="B896" s="5"/>
      <c r="C896" s="5"/>
      <c r="D896" s="5"/>
      <c r="E896" s="223"/>
      <c r="F896" s="223"/>
      <c r="G896" s="223"/>
      <c r="H896" s="224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5"/>
      <c r="B897" s="5"/>
      <c r="C897" s="5"/>
      <c r="D897" s="5"/>
      <c r="E897" s="223"/>
      <c r="F897" s="223"/>
      <c r="G897" s="223"/>
      <c r="H897" s="224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5"/>
      <c r="B898" s="5"/>
      <c r="C898" s="5"/>
      <c r="D898" s="5"/>
      <c r="E898" s="223"/>
      <c r="F898" s="223"/>
      <c r="G898" s="223"/>
      <c r="H898" s="224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5"/>
      <c r="B899" s="5"/>
      <c r="C899" s="5"/>
      <c r="D899" s="5"/>
      <c r="E899" s="223"/>
      <c r="F899" s="223"/>
      <c r="G899" s="223"/>
      <c r="H899" s="224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5"/>
      <c r="B900" s="5"/>
      <c r="C900" s="5"/>
      <c r="D900" s="5"/>
      <c r="E900" s="223"/>
      <c r="F900" s="223"/>
      <c r="G900" s="223"/>
      <c r="H900" s="224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5"/>
      <c r="B901" s="5"/>
      <c r="C901" s="5"/>
      <c r="D901" s="5"/>
      <c r="E901" s="223"/>
      <c r="F901" s="223"/>
      <c r="G901" s="223"/>
      <c r="H901" s="224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5"/>
      <c r="B902" s="5"/>
      <c r="C902" s="5"/>
      <c r="D902" s="5"/>
      <c r="E902" s="223"/>
      <c r="F902" s="223"/>
      <c r="G902" s="223"/>
      <c r="H902" s="224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5"/>
      <c r="B903" s="5"/>
      <c r="C903" s="5"/>
      <c r="D903" s="5"/>
      <c r="E903" s="223"/>
      <c r="F903" s="223"/>
      <c r="G903" s="223"/>
      <c r="H903" s="224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5"/>
      <c r="B904" s="5"/>
      <c r="C904" s="5"/>
      <c r="D904" s="5"/>
      <c r="E904" s="223"/>
      <c r="F904" s="223"/>
      <c r="G904" s="223"/>
      <c r="H904" s="224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5"/>
      <c r="B905" s="5"/>
      <c r="C905" s="5"/>
      <c r="D905" s="5"/>
      <c r="E905" s="223"/>
      <c r="F905" s="223"/>
      <c r="G905" s="223"/>
      <c r="H905" s="224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5"/>
      <c r="B906" s="5"/>
      <c r="C906" s="5"/>
      <c r="D906" s="5"/>
      <c r="E906" s="223"/>
      <c r="F906" s="223"/>
      <c r="G906" s="223"/>
      <c r="H906" s="224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5"/>
      <c r="B907" s="5"/>
      <c r="C907" s="5"/>
      <c r="D907" s="5"/>
      <c r="E907" s="223"/>
      <c r="F907" s="223"/>
      <c r="G907" s="223"/>
      <c r="H907" s="224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5"/>
      <c r="B908" s="5"/>
      <c r="C908" s="5"/>
      <c r="D908" s="5"/>
      <c r="E908" s="223"/>
      <c r="F908" s="223"/>
      <c r="G908" s="223"/>
      <c r="H908" s="224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5"/>
      <c r="B909" s="5"/>
      <c r="C909" s="5"/>
      <c r="D909" s="5"/>
      <c r="E909" s="223"/>
      <c r="F909" s="223"/>
      <c r="G909" s="223"/>
      <c r="H909" s="224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5"/>
      <c r="B910" s="5"/>
      <c r="C910" s="5"/>
      <c r="D910" s="5"/>
      <c r="E910" s="223"/>
      <c r="F910" s="223"/>
      <c r="G910" s="223"/>
      <c r="H910" s="224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5"/>
      <c r="B911" s="5"/>
      <c r="C911" s="5"/>
      <c r="D911" s="5"/>
      <c r="E911" s="223"/>
      <c r="F911" s="223"/>
      <c r="G911" s="223"/>
      <c r="H911" s="224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5"/>
      <c r="B912" s="5"/>
      <c r="C912" s="5"/>
      <c r="D912" s="5"/>
      <c r="E912" s="223"/>
      <c r="F912" s="223"/>
      <c r="G912" s="223"/>
      <c r="H912" s="224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5"/>
      <c r="B913" s="5"/>
      <c r="C913" s="5"/>
      <c r="D913" s="5"/>
      <c r="E913" s="223"/>
      <c r="F913" s="223"/>
      <c r="G913" s="223"/>
      <c r="H913" s="224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5"/>
      <c r="B914" s="5"/>
      <c r="C914" s="5"/>
      <c r="D914" s="5"/>
      <c r="E914" s="223"/>
      <c r="F914" s="223"/>
      <c r="G914" s="223"/>
      <c r="H914" s="224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5"/>
      <c r="B915" s="5"/>
      <c r="C915" s="5"/>
      <c r="D915" s="5"/>
      <c r="E915" s="223"/>
      <c r="F915" s="223"/>
      <c r="G915" s="223"/>
      <c r="H915" s="224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5"/>
      <c r="B916" s="5"/>
      <c r="C916" s="5"/>
      <c r="D916" s="5"/>
      <c r="E916" s="223"/>
      <c r="F916" s="223"/>
      <c r="G916" s="223"/>
      <c r="H916" s="224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5"/>
      <c r="B917" s="5"/>
      <c r="C917" s="5"/>
      <c r="D917" s="5"/>
      <c r="E917" s="223"/>
      <c r="F917" s="223"/>
      <c r="G917" s="223"/>
      <c r="H917" s="224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5"/>
      <c r="B918" s="5"/>
      <c r="C918" s="5"/>
      <c r="D918" s="5"/>
      <c r="E918" s="223"/>
      <c r="F918" s="223"/>
      <c r="G918" s="223"/>
      <c r="H918" s="224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5"/>
      <c r="B919" s="5"/>
      <c r="C919" s="5"/>
      <c r="D919" s="5"/>
      <c r="E919" s="223"/>
      <c r="F919" s="223"/>
      <c r="G919" s="223"/>
      <c r="H919" s="224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5"/>
      <c r="B920" s="5"/>
      <c r="C920" s="5"/>
      <c r="D920" s="5"/>
      <c r="E920" s="223"/>
      <c r="F920" s="223"/>
      <c r="G920" s="223"/>
      <c r="H920" s="224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5"/>
      <c r="B921" s="5"/>
      <c r="C921" s="5"/>
      <c r="D921" s="5"/>
      <c r="E921" s="223"/>
      <c r="F921" s="223"/>
      <c r="G921" s="223"/>
      <c r="H921" s="224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5"/>
      <c r="B922" s="5"/>
      <c r="C922" s="5"/>
      <c r="D922" s="5"/>
      <c r="E922" s="223"/>
      <c r="F922" s="223"/>
      <c r="G922" s="223"/>
      <c r="H922" s="224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5"/>
      <c r="B923" s="5"/>
      <c r="C923" s="5"/>
      <c r="D923" s="5"/>
      <c r="E923" s="223"/>
      <c r="F923" s="223"/>
      <c r="G923" s="223"/>
      <c r="H923" s="224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5"/>
      <c r="B924" s="5"/>
      <c r="C924" s="5"/>
      <c r="D924" s="5"/>
      <c r="E924" s="223"/>
      <c r="F924" s="223"/>
      <c r="G924" s="223"/>
      <c r="H924" s="224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5"/>
      <c r="B925" s="5"/>
      <c r="C925" s="5"/>
      <c r="D925" s="5"/>
      <c r="E925" s="223"/>
      <c r="F925" s="223"/>
      <c r="G925" s="223"/>
      <c r="H925" s="224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5"/>
      <c r="B926" s="5"/>
      <c r="C926" s="5"/>
      <c r="D926" s="5"/>
      <c r="E926" s="223"/>
      <c r="F926" s="223"/>
      <c r="G926" s="223"/>
      <c r="H926" s="224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5"/>
      <c r="B927" s="5"/>
      <c r="C927" s="5"/>
      <c r="D927" s="5"/>
      <c r="E927" s="223"/>
      <c r="F927" s="223"/>
      <c r="G927" s="223"/>
      <c r="H927" s="224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5"/>
      <c r="B928" s="5"/>
      <c r="C928" s="5"/>
      <c r="D928" s="5"/>
      <c r="E928" s="223"/>
      <c r="F928" s="223"/>
      <c r="G928" s="223"/>
      <c r="H928" s="224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5"/>
      <c r="B929" s="5"/>
      <c r="C929" s="5"/>
      <c r="D929" s="5"/>
      <c r="E929" s="223"/>
      <c r="F929" s="223"/>
      <c r="G929" s="223"/>
      <c r="H929" s="224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5"/>
      <c r="B930" s="5"/>
      <c r="C930" s="5"/>
      <c r="D930" s="5"/>
      <c r="E930" s="223"/>
      <c r="F930" s="223"/>
      <c r="G930" s="223"/>
      <c r="H930" s="224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5"/>
      <c r="B931" s="5"/>
      <c r="C931" s="5"/>
      <c r="D931" s="5"/>
      <c r="E931" s="223"/>
      <c r="F931" s="223"/>
      <c r="G931" s="223"/>
      <c r="H931" s="224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5"/>
      <c r="B932" s="5"/>
      <c r="C932" s="5"/>
      <c r="D932" s="5"/>
      <c r="E932" s="223"/>
      <c r="F932" s="223"/>
      <c r="G932" s="223"/>
      <c r="H932" s="224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5"/>
      <c r="B933" s="5"/>
      <c r="C933" s="5"/>
      <c r="D933" s="5"/>
      <c r="E933" s="223"/>
      <c r="F933" s="223"/>
      <c r="G933" s="223"/>
      <c r="H933" s="224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5"/>
      <c r="B934" s="5"/>
      <c r="C934" s="5"/>
      <c r="D934" s="5"/>
      <c r="E934" s="223"/>
      <c r="F934" s="223"/>
      <c r="G934" s="223"/>
      <c r="H934" s="224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5"/>
      <c r="B935" s="5"/>
      <c r="C935" s="5"/>
      <c r="D935" s="5"/>
      <c r="E935" s="223"/>
      <c r="F935" s="223"/>
      <c r="G935" s="223"/>
      <c r="H935" s="224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5"/>
      <c r="B936" s="5"/>
      <c r="C936" s="5"/>
      <c r="D936" s="5"/>
      <c r="E936" s="223"/>
      <c r="F936" s="223"/>
      <c r="G936" s="223"/>
      <c r="H936" s="224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5"/>
      <c r="B937" s="5"/>
      <c r="C937" s="5"/>
      <c r="D937" s="5"/>
      <c r="E937" s="223"/>
      <c r="F937" s="223"/>
      <c r="G937" s="223"/>
      <c r="H937" s="224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5"/>
      <c r="B938" s="5"/>
      <c r="C938" s="5"/>
      <c r="D938" s="5"/>
      <c r="E938" s="223"/>
      <c r="F938" s="223"/>
      <c r="G938" s="223"/>
      <c r="H938" s="224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5"/>
      <c r="B939" s="5"/>
      <c r="C939" s="5"/>
      <c r="D939" s="5"/>
      <c r="E939" s="223"/>
      <c r="F939" s="223"/>
      <c r="G939" s="223"/>
      <c r="H939" s="224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5"/>
      <c r="B940" s="5"/>
      <c r="C940" s="5"/>
      <c r="D940" s="5"/>
      <c r="E940" s="223"/>
      <c r="F940" s="223"/>
      <c r="G940" s="223"/>
      <c r="H940" s="224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5"/>
      <c r="B941" s="5"/>
      <c r="C941" s="5"/>
      <c r="D941" s="5"/>
      <c r="E941" s="223"/>
      <c r="F941" s="223"/>
      <c r="G941" s="223"/>
      <c r="H941" s="224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5"/>
      <c r="B942" s="5"/>
      <c r="C942" s="5"/>
      <c r="D942" s="5"/>
      <c r="E942" s="223"/>
      <c r="F942" s="223"/>
      <c r="G942" s="223"/>
      <c r="H942" s="224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5"/>
      <c r="B943" s="5"/>
      <c r="C943" s="5"/>
      <c r="D943" s="5"/>
      <c r="E943" s="223"/>
      <c r="F943" s="223"/>
      <c r="G943" s="223"/>
      <c r="H943" s="224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5"/>
      <c r="B944" s="5"/>
      <c r="C944" s="5"/>
      <c r="D944" s="5"/>
      <c r="E944" s="223"/>
      <c r="F944" s="223"/>
      <c r="G944" s="223"/>
      <c r="H944" s="224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5"/>
      <c r="B945" s="5"/>
      <c r="C945" s="5"/>
      <c r="D945" s="5"/>
      <c r="E945" s="223"/>
      <c r="F945" s="223"/>
      <c r="G945" s="223"/>
      <c r="H945" s="224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5"/>
      <c r="B946" s="5"/>
      <c r="C946" s="5"/>
      <c r="D946" s="5"/>
      <c r="E946" s="223"/>
      <c r="F946" s="223"/>
      <c r="G946" s="223"/>
      <c r="H946" s="224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5"/>
      <c r="B947" s="5"/>
      <c r="C947" s="5"/>
      <c r="D947" s="5"/>
      <c r="E947" s="223"/>
      <c r="F947" s="223"/>
      <c r="G947" s="223"/>
      <c r="H947" s="224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5"/>
      <c r="B948" s="5"/>
      <c r="C948" s="5"/>
      <c r="D948" s="5"/>
      <c r="E948" s="223"/>
      <c r="F948" s="223"/>
      <c r="G948" s="223"/>
      <c r="H948" s="224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5"/>
      <c r="B949" s="5"/>
      <c r="C949" s="5"/>
      <c r="D949" s="5"/>
      <c r="E949" s="223"/>
      <c r="F949" s="223"/>
      <c r="G949" s="223"/>
      <c r="H949" s="224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5"/>
      <c r="B950" s="5"/>
      <c r="C950" s="5"/>
      <c r="D950" s="5"/>
      <c r="E950" s="223"/>
      <c r="F950" s="223"/>
      <c r="G950" s="223"/>
      <c r="H950" s="224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5"/>
      <c r="B951" s="5"/>
      <c r="C951" s="5"/>
      <c r="D951" s="5"/>
      <c r="E951" s="223"/>
      <c r="F951" s="223"/>
      <c r="G951" s="223"/>
      <c r="H951" s="224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5"/>
      <c r="B952" s="5"/>
      <c r="C952" s="5"/>
      <c r="D952" s="5"/>
      <c r="E952" s="223"/>
      <c r="F952" s="223"/>
      <c r="G952" s="223"/>
      <c r="H952" s="224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5"/>
      <c r="B953" s="5"/>
      <c r="C953" s="5"/>
      <c r="D953" s="5"/>
      <c r="E953" s="223"/>
      <c r="F953" s="223"/>
      <c r="G953" s="223"/>
      <c r="H953" s="224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5"/>
      <c r="B954" s="5"/>
      <c r="C954" s="5"/>
      <c r="D954" s="5"/>
      <c r="E954" s="223"/>
      <c r="F954" s="223"/>
      <c r="G954" s="223"/>
      <c r="H954" s="224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5"/>
      <c r="B955" s="5"/>
      <c r="C955" s="5"/>
      <c r="D955" s="5"/>
      <c r="E955" s="223"/>
      <c r="F955" s="223"/>
      <c r="G955" s="223"/>
      <c r="H955" s="224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5"/>
      <c r="B956" s="5"/>
      <c r="C956" s="5"/>
      <c r="D956" s="5"/>
      <c r="E956" s="223"/>
      <c r="F956" s="223"/>
      <c r="G956" s="223"/>
      <c r="H956" s="224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5"/>
      <c r="B957" s="5"/>
      <c r="C957" s="5"/>
      <c r="D957" s="5"/>
      <c r="E957" s="223"/>
      <c r="F957" s="223"/>
      <c r="G957" s="223"/>
      <c r="H957" s="224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5"/>
      <c r="B958" s="5"/>
      <c r="C958" s="5"/>
      <c r="D958" s="5"/>
      <c r="E958" s="223"/>
      <c r="F958" s="223"/>
      <c r="G958" s="223"/>
      <c r="H958" s="224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5"/>
      <c r="B959" s="5"/>
      <c r="C959" s="5"/>
      <c r="D959" s="5"/>
      <c r="E959" s="223"/>
      <c r="F959" s="223"/>
      <c r="G959" s="223"/>
      <c r="H959" s="224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5"/>
      <c r="B960" s="5"/>
      <c r="C960" s="5"/>
      <c r="D960" s="5"/>
      <c r="E960" s="223"/>
      <c r="F960" s="223"/>
      <c r="G960" s="223"/>
      <c r="H960" s="224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5"/>
      <c r="B961" s="5"/>
      <c r="C961" s="5"/>
      <c r="D961" s="5"/>
      <c r="E961" s="223"/>
      <c r="F961" s="223"/>
      <c r="G961" s="223"/>
      <c r="H961" s="224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5"/>
      <c r="B962" s="5"/>
      <c r="C962" s="5"/>
      <c r="D962" s="5"/>
      <c r="E962" s="223"/>
      <c r="F962" s="223"/>
      <c r="G962" s="223"/>
      <c r="H962" s="224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5"/>
      <c r="B963" s="5"/>
      <c r="C963" s="5"/>
      <c r="D963" s="5"/>
      <c r="E963" s="223"/>
      <c r="F963" s="223"/>
      <c r="G963" s="223"/>
      <c r="H963" s="224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5"/>
      <c r="B964" s="5"/>
      <c r="C964" s="5"/>
      <c r="D964" s="5"/>
      <c r="E964" s="223"/>
      <c r="F964" s="223"/>
      <c r="G964" s="223"/>
      <c r="H964" s="224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5"/>
      <c r="B965" s="5"/>
      <c r="C965" s="5"/>
      <c r="D965" s="5"/>
      <c r="E965" s="223"/>
      <c r="F965" s="223"/>
      <c r="G965" s="223"/>
      <c r="H965" s="224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5"/>
      <c r="B966" s="5"/>
      <c r="C966" s="5"/>
      <c r="D966" s="5"/>
      <c r="E966" s="223"/>
      <c r="F966" s="223"/>
      <c r="G966" s="223"/>
      <c r="H966" s="224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5"/>
      <c r="B967" s="5"/>
      <c r="C967" s="5"/>
      <c r="D967" s="5"/>
      <c r="E967" s="223"/>
      <c r="F967" s="223"/>
      <c r="G967" s="223"/>
      <c r="H967" s="224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5"/>
      <c r="B968" s="5"/>
      <c r="C968" s="5"/>
      <c r="D968" s="5"/>
      <c r="E968" s="223"/>
      <c r="F968" s="223"/>
      <c r="G968" s="223"/>
      <c r="H968" s="224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5"/>
      <c r="B969" s="5"/>
      <c r="C969" s="5"/>
      <c r="D969" s="5"/>
      <c r="E969" s="223"/>
      <c r="F969" s="223"/>
      <c r="G969" s="223"/>
      <c r="H969" s="224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5"/>
      <c r="B970" s="5"/>
      <c r="C970" s="5"/>
      <c r="D970" s="5"/>
      <c r="E970" s="223"/>
      <c r="F970" s="223"/>
      <c r="G970" s="223"/>
      <c r="H970" s="224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5"/>
      <c r="B971" s="5"/>
      <c r="C971" s="5"/>
      <c r="D971" s="5"/>
      <c r="E971" s="223"/>
      <c r="F971" s="223"/>
      <c r="G971" s="223"/>
      <c r="H971" s="224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5"/>
      <c r="B972" s="5"/>
      <c r="C972" s="5"/>
      <c r="D972" s="5"/>
      <c r="E972" s="223"/>
      <c r="F972" s="223"/>
      <c r="G972" s="223"/>
      <c r="H972" s="224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5"/>
      <c r="B973" s="5"/>
      <c r="C973" s="5"/>
      <c r="D973" s="5"/>
      <c r="E973" s="223"/>
      <c r="F973" s="223"/>
      <c r="G973" s="223"/>
      <c r="H973" s="224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5"/>
      <c r="B974" s="5"/>
      <c r="C974" s="5"/>
      <c r="D974" s="5"/>
      <c r="E974" s="223"/>
      <c r="F974" s="223"/>
      <c r="G974" s="223"/>
      <c r="H974" s="224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5"/>
      <c r="B975" s="5"/>
      <c r="C975" s="5"/>
      <c r="D975" s="5"/>
      <c r="E975" s="223"/>
      <c r="F975" s="223"/>
      <c r="G975" s="223"/>
      <c r="H975" s="224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5"/>
      <c r="B976" s="5"/>
      <c r="C976" s="5"/>
      <c r="D976" s="5"/>
      <c r="E976" s="223"/>
      <c r="F976" s="223"/>
      <c r="G976" s="223"/>
      <c r="H976" s="224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5"/>
      <c r="B977" s="5"/>
      <c r="C977" s="5"/>
      <c r="D977" s="5"/>
      <c r="E977" s="223"/>
      <c r="F977" s="223"/>
      <c r="G977" s="223"/>
      <c r="H977" s="224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5"/>
      <c r="B978" s="5"/>
      <c r="C978" s="5"/>
      <c r="D978" s="5"/>
      <c r="E978" s="223"/>
      <c r="F978" s="223"/>
      <c r="G978" s="223"/>
      <c r="H978" s="224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5"/>
      <c r="B979" s="5"/>
      <c r="C979" s="5"/>
      <c r="D979" s="5"/>
      <c r="E979" s="223"/>
      <c r="F979" s="223"/>
      <c r="G979" s="223"/>
      <c r="H979" s="224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5"/>
      <c r="B980" s="5"/>
      <c r="C980" s="5"/>
      <c r="D980" s="5"/>
      <c r="E980" s="223"/>
      <c r="F980" s="223"/>
      <c r="G980" s="223"/>
      <c r="H980" s="224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5"/>
      <c r="B981" s="5"/>
      <c r="C981" s="5"/>
      <c r="D981" s="5"/>
      <c r="E981" s="223"/>
      <c r="F981" s="223"/>
      <c r="G981" s="223"/>
      <c r="H981" s="224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5"/>
      <c r="B982" s="5"/>
      <c r="C982" s="5"/>
      <c r="D982" s="5"/>
      <c r="E982" s="223"/>
      <c r="F982" s="223"/>
      <c r="G982" s="223"/>
      <c r="H982" s="224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5"/>
      <c r="B983" s="5"/>
      <c r="C983" s="5"/>
      <c r="D983" s="5"/>
      <c r="E983" s="223"/>
      <c r="F983" s="223"/>
      <c r="G983" s="223"/>
      <c r="H983" s="224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5"/>
      <c r="B984" s="5"/>
      <c r="C984" s="5"/>
      <c r="D984" s="5"/>
      <c r="E984" s="223"/>
      <c r="F984" s="223"/>
      <c r="G984" s="223"/>
      <c r="H984" s="224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5"/>
      <c r="B985" s="5"/>
      <c r="C985" s="5"/>
      <c r="D985" s="5"/>
      <c r="E985" s="223"/>
      <c r="F985" s="223"/>
      <c r="G985" s="223"/>
      <c r="H985" s="224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5"/>
      <c r="B986" s="5"/>
      <c r="C986" s="5"/>
      <c r="D986" s="5"/>
      <c r="E986" s="223"/>
      <c r="F986" s="223"/>
      <c r="G986" s="223"/>
      <c r="H986" s="224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5"/>
      <c r="B987" s="5"/>
      <c r="C987" s="5"/>
      <c r="D987" s="5"/>
      <c r="E987" s="223"/>
      <c r="F987" s="223"/>
      <c r="G987" s="223"/>
      <c r="H987" s="224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5"/>
      <c r="B988" s="5"/>
      <c r="C988" s="5"/>
      <c r="D988" s="5"/>
      <c r="E988" s="223"/>
      <c r="F988" s="223"/>
      <c r="G988" s="223"/>
      <c r="H988" s="224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5"/>
      <c r="B989" s="5"/>
      <c r="C989" s="5"/>
      <c r="D989" s="5"/>
      <c r="E989" s="223"/>
      <c r="F989" s="223"/>
      <c r="G989" s="223"/>
      <c r="H989" s="224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5"/>
      <c r="B990" s="5"/>
      <c r="C990" s="5"/>
      <c r="D990" s="5"/>
      <c r="E990" s="223"/>
      <c r="F990" s="223"/>
      <c r="G990" s="223"/>
      <c r="H990" s="224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5"/>
      <c r="B991" s="5"/>
      <c r="C991" s="5"/>
      <c r="D991" s="5"/>
      <c r="E991" s="223"/>
      <c r="F991" s="223"/>
      <c r="G991" s="223"/>
      <c r="H991" s="224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5"/>
      <c r="B992" s="5"/>
      <c r="C992" s="5"/>
      <c r="D992" s="5"/>
      <c r="E992" s="223"/>
      <c r="F992" s="223"/>
      <c r="G992" s="223"/>
      <c r="H992" s="224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5"/>
      <c r="B993" s="5"/>
      <c r="C993" s="5"/>
      <c r="D993" s="5"/>
      <c r="E993" s="223"/>
      <c r="F993" s="223"/>
      <c r="G993" s="223"/>
      <c r="H993" s="224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5"/>
      <c r="B994" s="5"/>
      <c r="C994" s="5"/>
      <c r="D994" s="5"/>
      <c r="E994" s="223"/>
      <c r="F994" s="223"/>
      <c r="G994" s="223"/>
      <c r="H994" s="224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5"/>
      <c r="B995" s="5"/>
      <c r="C995" s="5"/>
      <c r="D995" s="5"/>
      <c r="E995" s="223"/>
      <c r="F995" s="223"/>
      <c r="G995" s="223"/>
      <c r="H995" s="224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5"/>
      <c r="B996" s="5"/>
      <c r="C996" s="5"/>
      <c r="D996" s="5"/>
      <c r="E996" s="223"/>
      <c r="F996" s="223"/>
      <c r="G996" s="223"/>
      <c r="H996" s="224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5"/>
      <c r="B997" s="5"/>
      <c r="C997" s="5"/>
      <c r="D997" s="5"/>
      <c r="E997" s="223"/>
      <c r="F997" s="223"/>
      <c r="G997" s="223"/>
      <c r="H997" s="224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5"/>
      <c r="B998" s="5"/>
      <c r="C998" s="5"/>
      <c r="D998" s="5"/>
      <c r="E998" s="223"/>
      <c r="F998" s="223"/>
      <c r="G998" s="223"/>
      <c r="H998" s="224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5"/>
      <c r="B999" s="5"/>
      <c r="C999" s="5"/>
      <c r="D999" s="5"/>
      <c r="E999" s="223"/>
      <c r="F999" s="223"/>
      <c r="G999" s="223"/>
      <c r="H999" s="224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5"/>
      <c r="B1000" s="5"/>
      <c r="C1000" s="5"/>
      <c r="D1000" s="5"/>
      <c r="E1000" s="223"/>
      <c r="F1000" s="223"/>
      <c r="G1000" s="223"/>
      <c r="H1000" s="224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A3:H3"/>
    <mergeCell ref="A4:H4"/>
    <mergeCell ref="A7:H7"/>
    <mergeCell ref="A33:B33"/>
  </mergeCells>
  <printOptions/>
  <pageMargins bottom="0.75" footer="0.0" header="0.0" left="0.7" right="0.2" top="0.75"/>
  <pageSetup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14"/>
    <col customWidth="1" min="2" max="2" width="28.43"/>
    <col customWidth="1" min="3" max="3" width="14.71"/>
    <col customWidth="1" min="4" max="4" width="13.86"/>
    <col customWidth="1" min="5" max="5" width="14.14"/>
    <col customWidth="1" min="6" max="6" width="15.29"/>
    <col customWidth="1" min="7" max="9" width="9.14"/>
    <col customWidth="1" min="10" max="26" width="8.71"/>
  </cols>
  <sheetData>
    <row r="1" ht="6.75" customHeight="1">
      <c r="A1" s="5"/>
      <c r="B1" s="5"/>
      <c r="C1" s="5"/>
      <c r="D1" s="5"/>
      <c r="E1" s="223"/>
      <c r="F1" s="11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.5" hidden="1" customHeight="1">
      <c r="A2" s="5"/>
      <c r="B2" s="5"/>
      <c r="C2" s="5"/>
      <c r="D2" s="5"/>
      <c r="E2" s="223"/>
      <c r="F2" s="11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2" t="s">
        <v>0</v>
      </c>
      <c r="B3" s="3"/>
      <c r="C3" s="3"/>
      <c r="D3" s="3"/>
      <c r="E3" s="3"/>
      <c r="F3" s="4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6" t="s">
        <v>2</v>
      </c>
      <c r="B4" s="3"/>
      <c r="C4" s="3"/>
      <c r="D4" s="3"/>
      <c r="E4" s="3"/>
      <c r="F4" s="4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6.5" customHeight="1">
      <c r="A5" s="5"/>
      <c r="B5" s="5"/>
      <c r="C5" s="5"/>
      <c r="D5" s="5"/>
      <c r="E5" s="223"/>
      <c r="F5" s="11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5"/>
      <c r="B6" s="5"/>
      <c r="C6" s="5"/>
      <c r="D6" s="5"/>
      <c r="E6" s="223"/>
      <c r="F6" s="11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6.5" customHeight="1">
      <c r="A7" s="12"/>
      <c r="B7" s="3"/>
      <c r="C7" s="3"/>
      <c r="D7" s="3"/>
      <c r="E7" s="3"/>
      <c r="F7" s="4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6.5" customHeight="1">
      <c r="A8" s="146" t="s">
        <v>220</v>
      </c>
      <c r="B8" s="146" t="s">
        <v>4</v>
      </c>
      <c r="C8" s="146" t="s">
        <v>12</v>
      </c>
      <c r="D8" s="259">
        <v>45839.0</v>
      </c>
      <c r="E8" s="259">
        <v>45870.0</v>
      </c>
      <c r="F8" s="143" t="s">
        <v>235</v>
      </c>
      <c r="G8" s="19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4.75" customHeight="1">
      <c r="A9" s="251" t="s">
        <v>14</v>
      </c>
      <c r="B9" s="242" t="s">
        <v>144</v>
      </c>
      <c r="C9" s="156" t="s">
        <v>84</v>
      </c>
      <c r="D9" s="213">
        <f>SUM(128750-50000-15000-63750)</f>
        <v>0</v>
      </c>
      <c r="E9" s="213">
        <f>SUM(143700-11000)</f>
        <v>132700</v>
      </c>
      <c r="F9" s="231">
        <f t="shared" ref="F9:F39" si="1">SUM(D9:E9)</f>
        <v>132700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4.75" customHeight="1">
      <c r="A10" s="251" t="s">
        <v>18</v>
      </c>
      <c r="B10" s="242" t="s">
        <v>168</v>
      </c>
      <c r="C10" s="154" t="s">
        <v>74</v>
      </c>
      <c r="D10" s="213">
        <f>SUM(143750-20000-50000-73750)</f>
        <v>0</v>
      </c>
      <c r="E10" s="213">
        <f>SUM(128700-10000)</f>
        <v>118700</v>
      </c>
      <c r="F10" s="231">
        <f t="shared" si="1"/>
        <v>118700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4.75" customHeight="1">
      <c r="A11" s="251" t="s">
        <v>22</v>
      </c>
      <c r="B11" s="242" t="s">
        <v>169</v>
      </c>
      <c r="C11" s="154" t="s">
        <v>21</v>
      </c>
      <c r="D11" s="213">
        <f>SUM(71290-71290)</f>
        <v>0</v>
      </c>
      <c r="E11" s="213">
        <f>SUM(78266-10000)</f>
        <v>68266</v>
      </c>
      <c r="F11" s="231">
        <f t="shared" si="1"/>
        <v>68266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4.75" customHeight="1">
      <c r="A12" s="251" t="s">
        <v>25</v>
      </c>
      <c r="B12" s="149" t="s">
        <v>28</v>
      </c>
      <c r="C12" s="154" t="s">
        <v>32</v>
      </c>
      <c r="D12" s="213">
        <f>SUM(47137-47137)</f>
        <v>0</v>
      </c>
      <c r="E12" s="213">
        <f>SUM(48700-48700)</f>
        <v>0</v>
      </c>
      <c r="F12" s="231">
        <f t="shared" si="1"/>
        <v>0</v>
      </c>
      <c r="G12" s="5"/>
      <c r="H12" s="5"/>
      <c r="I12" s="51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4.75" customHeight="1">
      <c r="A13" s="251" t="s">
        <v>30</v>
      </c>
      <c r="B13" s="222" t="s">
        <v>120</v>
      </c>
      <c r="C13" s="154" t="s">
        <v>40</v>
      </c>
      <c r="D13" s="213">
        <f>SUM(40000-40000)</f>
        <v>0</v>
      </c>
      <c r="E13" s="213">
        <f>SUM(47237-47237)</f>
        <v>0</v>
      </c>
      <c r="F13" s="231">
        <f t="shared" si="1"/>
        <v>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4.75" customHeight="1">
      <c r="A14" s="251" t="s">
        <v>34</v>
      </c>
      <c r="B14" s="211" t="s">
        <v>81</v>
      </c>
      <c r="C14" s="154" t="s">
        <v>40</v>
      </c>
      <c r="D14" s="213">
        <f>SUM(47237-47237)</f>
        <v>0</v>
      </c>
      <c r="E14" s="213">
        <f>SUM(38700-20000-8700-10000)</f>
        <v>0</v>
      </c>
      <c r="F14" s="231">
        <f t="shared" si="1"/>
        <v>0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4.75" customHeight="1">
      <c r="A15" s="251" t="s">
        <v>41</v>
      </c>
      <c r="B15" s="244" t="s">
        <v>38</v>
      </c>
      <c r="C15" s="154" t="s">
        <v>43</v>
      </c>
      <c r="D15" s="213">
        <f>SUM(17510-10500-7010)</f>
        <v>0</v>
      </c>
      <c r="E15" s="213">
        <f>SUM(16915-5000)</f>
        <v>11915</v>
      </c>
      <c r="F15" s="231">
        <f t="shared" si="1"/>
        <v>11915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4.75" customHeight="1">
      <c r="A16" s="251" t="s">
        <v>44</v>
      </c>
      <c r="B16" s="159" t="s">
        <v>42</v>
      </c>
      <c r="C16" s="154" t="s">
        <v>43</v>
      </c>
      <c r="D16" s="213">
        <f t="shared" ref="D16:D17" si="2">SUM(18750-18750)</f>
        <v>0</v>
      </c>
      <c r="E16" s="213">
        <f>SUM(18055-3000-15055)</f>
        <v>0</v>
      </c>
      <c r="F16" s="231">
        <f t="shared" si="1"/>
        <v>0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4.75" customHeight="1">
      <c r="A17" s="251" t="s">
        <v>47</v>
      </c>
      <c r="B17" s="242" t="s">
        <v>185</v>
      </c>
      <c r="C17" s="154" t="s">
        <v>43</v>
      </c>
      <c r="D17" s="213">
        <f t="shared" si="2"/>
        <v>0</v>
      </c>
      <c r="E17" s="213">
        <f>SUM(18700-5500)</f>
        <v>13200</v>
      </c>
      <c r="F17" s="231">
        <f t="shared" si="1"/>
        <v>13200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4.75" customHeight="1">
      <c r="A18" s="251" t="s">
        <v>49</v>
      </c>
      <c r="B18" s="242" t="s">
        <v>187</v>
      </c>
      <c r="C18" s="154" t="s">
        <v>43</v>
      </c>
      <c r="D18" s="213">
        <f>SUM(18900-18900)</f>
        <v>0</v>
      </c>
      <c r="E18" s="213">
        <f>SUM(18155-0)</f>
        <v>18155</v>
      </c>
      <c r="F18" s="231">
        <f t="shared" si="1"/>
        <v>18155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4.75" customHeight="1">
      <c r="A19" s="251" t="s">
        <v>51</v>
      </c>
      <c r="B19" s="149" t="s">
        <v>123</v>
      </c>
      <c r="C19" s="154" t="s">
        <v>43</v>
      </c>
      <c r="D19" s="213">
        <f>SUM(20090-20090)</f>
        <v>0</v>
      </c>
      <c r="E19" s="213">
        <f>SUM(20700-5000-15700)</f>
        <v>0</v>
      </c>
      <c r="F19" s="231">
        <f t="shared" si="1"/>
        <v>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4.75" customHeight="1">
      <c r="A20" s="251" t="s">
        <v>53</v>
      </c>
      <c r="B20" s="242" t="s">
        <v>188</v>
      </c>
      <c r="C20" s="154" t="s">
        <v>40</v>
      </c>
      <c r="D20" s="213">
        <f>SUM(27832-27832)</f>
        <v>0</v>
      </c>
      <c r="E20" s="213">
        <f>SUM(27782-5000)</f>
        <v>22782</v>
      </c>
      <c r="F20" s="231">
        <f t="shared" si="1"/>
        <v>22782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4.75" customHeight="1">
      <c r="A21" s="251" t="s">
        <v>55</v>
      </c>
      <c r="B21" s="161" t="s">
        <v>189</v>
      </c>
      <c r="C21" s="161" t="s">
        <v>36</v>
      </c>
      <c r="D21" s="213">
        <f>SUM(19111-19111)</f>
        <v>0</v>
      </c>
      <c r="E21" s="213">
        <f>SUM(22387-22387)</f>
        <v>0</v>
      </c>
      <c r="F21" s="231">
        <f t="shared" si="1"/>
        <v>0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4.75" customHeight="1">
      <c r="A22" s="251" t="s">
        <v>60</v>
      </c>
      <c r="B22" s="161" t="s">
        <v>207</v>
      </c>
      <c r="C22" s="154" t="s">
        <v>43</v>
      </c>
      <c r="D22" s="213">
        <f>SUM(12698-12698)</f>
        <v>0</v>
      </c>
      <c r="E22" s="213">
        <f>SUM(17165-5000)</f>
        <v>12165</v>
      </c>
      <c r="F22" s="231">
        <f t="shared" si="1"/>
        <v>12165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4.75" customHeight="1">
      <c r="A23" s="251" t="s">
        <v>65</v>
      </c>
      <c r="B23" s="161" t="s">
        <v>122</v>
      </c>
      <c r="C23" s="154" t="s">
        <v>43</v>
      </c>
      <c r="D23" s="213">
        <f>SUM(8571-8571)</f>
        <v>0</v>
      </c>
      <c r="E23" s="213">
        <f>SUM(23700-10000-13700)</f>
        <v>0</v>
      </c>
      <c r="F23" s="231">
        <f t="shared" si="1"/>
        <v>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4.75" customHeight="1">
      <c r="A24" s="251" t="s">
        <v>68</v>
      </c>
      <c r="B24" s="161" t="s">
        <v>172</v>
      </c>
      <c r="C24" s="154" t="s">
        <v>43</v>
      </c>
      <c r="D24" s="213">
        <f>SUM(6137-6137)</f>
        <v>0</v>
      </c>
      <c r="E24" s="213">
        <f>SUM(16469-16469)</f>
        <v>0</v>
      </c>
      <c r="F24" s="231">
        <f t="shared" si="1"/>
        <v>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4.75" customHeight="1">
      <c r="A25" s="251" t="s">
        <v>57</v>
      </c>
      <c r="B25" s="161" t="s">
        <v>210</v>
      </c>
      <c r="C25" s="161" t="s">
        <v>36</v>
      </c>
      <c r="D25" s="213">
        <f>SUM(6052-6052)</f>
        <v>0</v>
      </c>
      <c r="E25" s="246" t="s">
        <v>186</v>
      </c>
      <c r="F25" s="231">
        <f t="shared" si="1"/>
        <v>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4.75" customHeight="1">
      <c r="A26" s="251" t="s">
        <v>62</v>
      </c>
      <c r="B26" s="161" t="s">
        <v>33</v>
      </c>
      <c r="C26" s="154" t="s">
        <v>32</v>
      </c>
      <c r="D26" s="213"/>
      <c r="E26" s="213">
        <f>SUM(56864-45000)</f>
        <v>11864</v>
      </c>
      <c r="F26" s="231">
        <f t="shared" si="1"/>
        <v>11864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4.75" customHeight="1">
      <c r="A27" s="251" t="s">
        <v>64</v>
      </c>
      <c r="B27" s="161" t="s">
        <v>31</v>
      </c>
      <c r="C27" s="164" t="s">
        <v>36</v>
      </c>
      <c r="D27" s="213"/>
      <c r="E27" s="213">
        <f>SUM(27782-27782)</f>
        <v>0</v>
      </c>
      <c r="F27" s="231">
        <f t="shared" si="1"/>
        <v>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4.75" customHeight="1">
      <c r="A28" s="251" t="s">
        <v>70</v>
      </c>
      <c r="B28" s="161" t="s">
        <v>170</v>
      </c>
      <c r="C28" s="164" t="s">
        <v>36</v>
      </c>
      <c r="D28" s="213"/>
      <c r="E28" s="213">
        <f>SUM(17508-17508)</f>
        <v>0</v>
      </c>
      <c r="F28" s="231">
        <f t="shared" si="1"/>
        <v>0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4.75" customHeight="1">
      <c r="A29" s="251" t="s">
        <v>72</v>
      </c>
      <c r="B29" s="161" t="s">
        <v>190</v>
      </c>
      <c r="C29" s="154" t="s">
        <v>43</v>
      </c>
      <c r="D29" s="213"/>
      <c r="E29" s="213">
        <f>SUM(17558-17558)</f>
        <v>0</v>
      </c>
      <c r="F29" s="231">
        <f t="shared" si="1"/>
        <v>0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4.75" customHeight="1">
      <c r="A30" s="251" t="s">
        <v>75</v>
      </c>
      <c r="B30" s="161" t="s">
        <v>191</v>
      </c>
      <c r="C30" s="154" t="s">
        <v>43</v>
      </c>
      <c r="D30" s="213"/>
      <c r="E30" s="213">
        <f>SUM(16368-16368)</f>
        <v>0</v>
      </c>
      <c r="F30" s="231">
        <f t="shared" si="1"/>
        <v>0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4.75" customHeight="1">
      <c r="A31" s="251" t="s">
        <v>89</v>
      </c>
      <c r="B31" s="161" t="s">
        <v>213</v>
      </c>
      <c r="C31" s="154" t="s">
        <v>43</v>
      </c>
      <c r="D31" s="213"/>
      <c r="E31" s="246" t="s">
        <v>186</v>
      </c>
      <c r="F31" s="231">
        <f t="shared" si="1"/>
        <v>0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24.75" customHeight="1">
      <c r="A32" s="251" t="s">
        <v>91</v>
      </c>
      <c r="B32" s="161" t="s">
        <v>192</v>
      </c>
      <c r="C32" s="154" t="s">
        <v>43</v>
      </c>
      <c r="D32" s="213"/>
      <c r="E32" s="213">
        <f>SUM(20874-8000-12874)</f>
        <v>0</v>
      </c>
      <c r="F32" s="231">
        <f t="shared" si="1"/>
        <v>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24.75" customHeight="1">
      <c r="A33" s="251" t="s">
        <v>93</v>
      </c>
      <c r="B33" s="149" t="s">
        <v>124</v>
      </c>
      <c r="C33" s="154" t="s">
        <v>43</v>
      </c>
      <c r="D33" s="213"/>
      <c r="E33" s="213">
        <f>SUM(13242-12600-642)</f>
        <v>0</v>
      </c>
      <c r="F33" s="231">
        <f t="shared" si="1"/>
        <v>0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24.75" customHeight="1">
      <c r="A34" s="251" t="s">
        <v>97</v>
      </c>
      <c r="B34" s="161" t="s">
        <v>163</v>
      </c>
      <c r="C34" s="164" t="s">
        <v>36</v>
      </c>
      <c r="D34" s="213"/>
      <c r="E34" s="213">
        <f>SUM(16840-16840)</f>
        <v>0</v>
      </c>
      <c r="F34" s="231">
        <f t="shared" si="1"/>
        <v>0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24.75" customHeight="1">
      <c r="A35" s="251" t="s">
        <v>99</v>
      </c>
      <c r="B35" s="161" t="s">
        <v>35</v>
      </c>
      <c r="C35" s="164" t="s">
        <v>36</v>
      </c>
      <c r="D35" s="213"/>
      <c r="E35" s="213">
        <f>SUM(11040-11040)</f>
        <v>0</v>
      </c>
      <c r="F35" s="231">
        <f t="shared" si="1"/>
        <v>0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24.75" customHeight="1">
      <c r="A36" s="251" t="s">
        <v>100</v>
      </c>
      <c r="B36" s="161" t="s">
        <v>193</v>
      </c>
      <c r="C36" s="164" t="s">
        <v>36</v>
      </c>
      <c r="D36" s="213"/>
      <c r="E36" s="213"/>
      <c r="F36" s="231">
        <f t="shared" si="1"/>
        <v>0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4.75" customHeight="1">
      <c r="A37" s="251" t="s">
        <v>101</v>
      </c>
      <c r="B37" s="161" t="s">
        <v>179</v>
      </c>
      <c r="C37" s="164" t="s">
        <v>36</v>
      </c>
      <c r="D37" s="213"/>
      <c r="E37" s="213">
        <f>SUM(9226-9226)</f>
        <v>0</v>
      </c>
      <c r="F37" s="231">
        <f t="shared" si="1"/>
        <v>0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24.75" customHeight="1">
      <c r="A38" s="251" t="s">
        <v>104</v>
      </c>
      <c r="B38" s="161" t="s">
        <v>194</v>
      </c>
      <c r="C38" s="164" t="s">
        <v>43</v>
      </c>
      <c r="D38" s="213"/>
      <c r="E38" s="213">
        <f>SUM(6615-6615)</f>
        <v>0</v>
      </c>
      <c r="F38" s="231">
        <f t="shared" si="1"/>
        <v>0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4.75" customHeight="1">
      <c r="A39" s="251" t="s">
        <v>107</v>
      </c>
      <c r="B39" s="161" t="s">
        <v>121</v>
      </c>
      <c r="C39" s="164" t="s">
        <v>36</v>
      </c>
      <c r="D39" s="213"/>
      <c r="E39" s="213">
        <f>SUM(8410-3000-5410)</f>
        <v>0</v>
      </c>
      <c r="F39" s="231">
        <f t="shared" si="1"/>
        <v>0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4.75" customHeight="1">
      <c r="A40" s="256"/>
      <c r="B40" s="161"/>
      <c r="C40" s="161"/>
      <c r="D40" s="213"/>
      <c r="E40" s="213"/>
      <c r="F40" s="231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24.75" customHeight="1">
      <c r="A41" s="256"/>
      <c r="B41" s="161"/>
      <c r="C41" s="161"/>
      <c r="D41" s="213"/>
      <c r="E41" s="213"/>
      <c r="F41" s="231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24.75" customHeight="1">
      <c r="A42" s="256"/>
      <c r="B42" s="161"/>
      <c r="C42" s="161"/>
      <c r="D42" s="213"/>
      <c r="E42" s="213"/>
      <c r="F42" s="231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24.75" customHeight="1">
      <c r="A43" s="256"/>
      <c r="B43" s="161"/>
      <c r="C43" s="161"/>
      <c r="D43" s="213"/>
      <c r="E43" s="213"/>
      <c r="F43" s="231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24.75" customHeight="1">
      <c r="A44" s="256"/>
      <c r="B44" s="161"/>
      <c r="C44" s="161"/>
      <c r="D44" s="213"/>
      <c r="E44" s="213"/>
      <c r="F44" s="231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24.75" customHeight="1">
      <c r="A45" s="256"/>
      <c r="B45" s="161"/>
      <c r="C45" s="161"/>
      <c r="D45" s="213"/>
      <c r="E45" s="213"/>
      <c r="F45" s="231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24.75" customHeight="1">
      <c r="A46" s="256"/>
      <c r="B46" s="161"/>
      <c r="C46" s="161"/>
      <c r="D46" s="213"/>
      <c r="E46" s="213"/>
      <c r="F46" s="231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24.75" customHeight="1">
      <c r="A47" s="252"/>
      <c r="B47" s="252"/>
      <c r="C47" s="151"/>
      <c r="D47" s="253"/>
      <c r="E47" s="253"/>
      <c r="F47" s="260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24.75" customHeight="1">
      <c r="A48" s="261" t="s">
        <v>78</v>
      </c>
      <c r="B48" s="262"/>
      <c r="C48" s="262"/>
      <c r="D48" s="231">
        <f t="shared" ref="D48:F48" si="3">SUM(D9:D47)</f>
        <v>0</v>
      </c>
      <c r="E48" s="231">
        <f t="shared" si="3"/>
        <v>409747</v>
      </c>
      <c r="F48" s="231">
        <f t="shared" si="3"/>
        <v>409747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121"/>
      <c r="B49" s="121"/>
      <c r="C49" s="121"/>
      <c r="D49" s="121"/>
      <c r="E49" s="250"/>
      <c r="F49" s="11"/>
      <c r="G49" s="5"/>
      <c r="H49" s="5"/>
      <c r="I49" s="5"/>
      <c r="J49" s="224"/>
      <c r="K49" s="224"/>
      <c r="L49" s="224"/>
      <c r="M49" s="224"/>
      <c r="N49" s="224"/>
      <c r="O49" s="224"/>
      <c r="P49" s="224"/>
      <c r="Q49" s="224"/>
      <c r="R49" s="224"/>
      <c r="S49" s="224"/>
      <c r="T49" s="224"/>
      <c r="U49" s="224"/>
      <c r="V49" s="224"/>
      <c r="W49" s="224"/>
      <c r="X49" s="224"/>
      <c r="Y49" s="224"/>
      <c r="Z49" s="224"/>
    </row>
    <row r="50" ht="16.5" customHeight="1">
      <c r="A50" s="121"/>
      <c r="B50" s="121"/>
      <c r="C50" s="121"/>
      <c r="D50" s="121"/>
      <c r="E50" s="250"/>
      <c r="F50" s="11"/>
      <c r="G50" s="5"/>
      <c r="H50" s="5"/>
      <c r="I50" s="5"/>
      <c r="J50" s="224"/>
      <c r="K50" s="224"/>
      <c r="L50" s="224"/>
      <c r="M50" s="224"/>
      <c r="N50" s="224"/>
      <c r="O50" s="224"/>
      <c r="P50" s="224"/>
      <c r="Q50" s="224"/>
      <c r="R50" s="224"/>
      <c r="S50" s="224"/>
      <c r="T50" s="224"/>
      <c r="U50" s="224"/>
      <c r="V50" s="224"/>
      <c r="W50" s="224"/>
      <c r="X50" s="224"/>
      <c r="Y50" s="224"/>
      <c r="Z50" s="224"/>
    </row>
    <row r="51" ht="16.5" customHeight="1">
      <c r="A51" s="121"/>
      <c r="B51" s="121"/>
      <c r="C51" s="121"/>
      <c r="D51" s="121"/>
      <c r="E51" s="250"/>
      <c r="F51" s="11"/>
      <c r="G51" s="5"/>
      <c r="H51" s="5"/>
      <c r="I51" s="5"/>
      <c r="J51" s="224"/>
      <c r="K51" s="224"/>
      <c r="L51" s="224"/>
      <c r="M51" s="224"/>
      <c r="N51" s="224"/>
      <c r="O51" s="224"/>
      <c r="P51" s="224"/>
      <c r="Q51" s="224"/>
      <c r="R51" s="224"/>
      <c r="S51" s="224"/>
      <c r="T51" s="224"/>
      <c r="U51" s="224"/>
      <c r="V51" s="224"/>
      <c r="W51" s="224"/>
      <c r="X51" s="224"/>
      <c r="Y51" s="224"/>
      <c r="Z51" s="224"/>
    </row>
    <row r="52" ht="16.5" customHeight="1">
      <c r="A52" s="121"/>
      <c r="B52" s="121"/>
      <c r="C52" s="121"/>
      <c r="D52" s="121"/>
      <c r="E52" s="250"/>
      <c r="F52" s="11"/>
      <c r="G52" s="5"/>
      <c r="H52" s="5"/>
      <c r="I52" s="5"/>
      <c r="J52" s="224"/>
      <c r="K52" s="224"/>
      <c r="L52" s="224"/>
      <c r="M52" s="224"/>
      <c r="N52" s="224"/>
      <c r="O52" s="224"/>
      <c r="P52" s="224"/>
      <c r="Q52" s="224"/>
      <c r="R52" s="224"/>
      <c r="S52" s="224"/>
      <c r="T52" s="224"/>
      <c r="U52" s="224"/>
      <c r="V52" s="224"/>
      <c r="W52" s="224"/>
      <c r="X52" s="224"/>
      <c r="Y52" s="224"/>
      <c r="Z52" s="224"/>
    </row>
    <row r="53" ht="16.5" customHeight="1">
      <c r="A53" s="121"/>
      <c r="B53" s="121"/>
      <c r="C53" s="121"/>
      <c r="D53" s="121"/>
      <c r="E53" s="250"/>
      <c r="F53" s="11"/>
      <c r="G53" s="5"/>
      <c r="H53" s="5"/>
      <c r="I53" s="5"/>
      <c r="J53" s="224"/>
      <c r="K53" s="224"/>
      <c r="L53" s="224"/>
      <c r="M53" s="224"/>
      <c r="N53" s="224"/>
      <c r="O53" s="224"/>
      <c r="P53" s="224"/>
      <c r="Q53" s="224"/>
      <c r="R53" s="224"/>
      <c r="S53" s="224"/>
      <c r="T53" s="224"/>
      <c r="U53" s="224"/>
      <c r="V53" s="224"/>
      <c r="W53" s="224"/>
      <c r="X53" s="224"/>
      <c r="Y53" s="224"/>
      <c r="Z53" s="224"/>
    </row>
    <row r="54" ht="16.5" customHeight="1">
      <c r="A54" s="121"/>
      <c r="B54" s="121"/>
      <c r="C54" s="121"/>
      <c r="D54" s="121"/>
      <c r="E54" s="250"/>
      <c r="F54" s="11"/>
      <c r="G54" s="5"/>
      <c r="H54" s="5"/>
      <c r="I54" s="5"/>
      <c r="J54" s="224"/>
      <c r="K54" s="224"/>
      <c r="L54" s="224"/>
      <c r="M54" s="224"/>
      <c r="N54" s="224"/>
      <c r="O54" s="224"/>
      <c r="P54" s="224"/>
      <c r="Q54" s="224"/>
      <c r="R54" s="224"/>
      <c r="S54" s="224"/>
      <c r="T54" s="224"/>
      <c r="U54" s="224"/>
      <c r="V54" s="224"/>
      <c r="W54" s="224"/>
      <c r="X54" s="224"/>
      <c r="Y54" s="224"/>
      <c r="Z54" s="224"/>
    </row>
    <row r="55" ht="16.5" customHeight="1">
      <c r="A55" s="121"/>
      <c r="B55" s="121"/>
      <c r="C55" s="121"/>
      <c r="D55" s="121"/>
      <c r="E55" s="250"/>
      <c r="F55" s="11"/>
      <c r="G55" s="5"/>
      <c r="H55" s="5"/>
      <c r="I55" s="5"/>
      <c r="J55" s="224"/>
      <c r="K55" s="224"/>
      <c r="L55" s="224"/>
      <c r="M55" s="224"/>
      <c r="N55" s="224"/>
      <c r="O55" s="224"/>
      <c r="P55" s="224"/>
      <c r="Q55" s="224"/>
      <c r="R55" s="224"/>
      <c r="S55" s="224"/>
      <c r="T55" s="224"/>
      <c r="U55" s="224"/>
      <c r="V55" s="224"/>
      <c r="W55" s="224"/>
      <c r="X55" s="224"/>
      <c r="Y55" s="224"/>
      <c r="Z55" s="224"/>
    </row>
    <row r="56" ht="16.5" customHeight="1">
      <c r="A56" s="121"/>
      <c r="B56" s="121"/>
      <c r="C56" s="121"/>
      <c r="D56" s="121"/>
      <c r="E56" s="250"/>
      <c r="F56" s="11"/>
      <c r="G56" s="5"/>
      <c r="H56" s="5"/>
      <c r="I56" s="5"/>
      <c r="J56" s="224"/>
      <c r="K56" s="224"/>
      <c r="L56" s="224"/>
      <c r="M56" s="224"/>
      <c r="N56" s="224"/>
      <c r="O56" s="224"/>
      <c r="P56" s="224"/>
      <c r="Q56" s="224"/>
      <c r="R56" s="224"/>
      <c r="S56" s="224"/>
      <c r="T56" s="224"/>
      <c r="U56" s="224"/>
      <c r="V56" s="224"/>
      <c r="W56" s="224"/>
      <c r="X56" s="224"/>
      <c r="Y56" s="224"/>
      <c r="Z56" s="224"/>
    </row>
    <row r="57" ht="16.5" customHeight="1">
      <c r="A57" s="121"/>
      <c r="B57" s="121"/>
      <c r="C57" s="121"/>
      <c r="D57" s="121"/>
      <c r="E57" s="250"/>
      <c r="F57" s="11"/>
      <c r="G57" s="5"/>
      <c r="H57" s="5"/>
      <c r="I57" s="5"/>
      <c r="J57" s="224"/>
      <c r="K57" s="224"/>
      <c r="L57" s="224"/>
      <c r="M57" s="224"/>
      <c r="N57" s="224"/>
      <c r="O57" s="224"/>
      <c r="P57" s="224"/>
      <c r="Q57" s="224"/>
      <c r="R57" s="224"/>
      <c r="S57" s="224"/>
      <c r="T57" s="224"/>
      <c r="U57" s="224"/>
      <c r="V57" s="224"/>
      <c r="W57" s="224"/>
      <c r="X57" s="224"/>
      <c r="Y57" s="224"/>
      <c r="Z57" s="224"/>
    </row>
    <row r="58" ht="16.5" customHeight="1">
      <c r="A58" s="121"/>
      <c r="B58" s="121"/>
      <c r="C58" s="121"/>
      <c r="D58" s="121"/>
      <c r="E58" s="250"/>
      <c r="F58" s="11"/>
      <c r="G58" s="5"/>
      <c r="H58" s="5"/>
      <c r="I58" s="5"/>
      <c r="J58" s="224"/>
      <c r="K58" s="224"/>
      <c r="L58" s="224"/>
      <c r="M58" s="224"/>
      <c r="N58" s="224"/>
      <c r="O58" s="224"/>
      <c r="P58" s="224"/>
      <c r="Q58" s="224"/>
      <c r="R58" s="224"/>
      <c r="S58" s="224"/>
      <c r="T58" s="224"/>
      <c r="U58" s="224"/>
      <c r="V58" s="224"/>
      <c r="W58" s="224"/>
      <c r="X58" s="224"/>
      <c r="Y58" s="224"/>
      <c r="Z58" s="224"/>
    </row>
    <row r="59" ht="16.5" customHeight="1">
      <c r="A59" s="5"/>
      <c r="B59" s="5"/>
      <c r="C59" s="5"/>
      <c r="D59" s="5"/>
      <c r="E59" s="223"/>
      <c r="F59" s="11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5"/>
      <c r="B60" s="5"/>
      <c r="C60" s="5"/>
      <c r="D60" s="5"/>
      <c r="E60" s="223"/>
      <c r="F60" s="11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5"/>
      <c r="B61" s="5"/>
      <c r="C61" s="5"/>
      <c r="D61" s="5"/>
      <c r="E61" s="223"/>
      <c r="F61" s="11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5"/>
      <c r="B62" s="5"/>
      <c r="C62" s="5"/>
      <c r="D62" s="5"/>
      <c r="E62" s="223"/>
      <c r="F62" s="11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5"/>
      <c r="B63" s="5"/>
      <c r="C63" s="5"/>
      <c r="D63" s="5"/>
      <c r="E63" s="223"/>
      <c r="F63" s="11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5"/>
      <c r="B64" s="5"/>
      <c r="C64" s="5"/>
      <c r="D64" s="5"/>
      <c r="E64" s="223"/>
      <c r="F64" s="11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5"/>
      <c r="B65" s="5"/>
      <c r="C65" s="5"/>
      <c r="D65" s="5"/>
      <c r="E65" s="223"/>
      <c r="F65" s="11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5"/>
      <c r="B66" s="5"/>
      <c r="C66" s="5"/>
      <c r="D66" s="5"/>
      <c r="E66" s="223"/>
      <c r="F66" s="11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5"/>
      <c r="B67" s="5"/>
      <c r="C67" s="5"/>
      <c r="D67" s="5"/>
      <c r="E67" s="223"/>
      <c r="F67" s="11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5"/>
      <c r="B68" s="5"/>
      <c r="C68" s="5"/>
      <c r="D68" s="5"/>
      <c r="E68" s="223"/>
      <c r="F68" s="11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5"/>
      <c r="B69" s="5"/>
      <c r="C69" s="5"/>
      <c r="D69" s="5"/>
      <c r="E69" s="223"/>
      <c r="F69" s="11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5"/>
      <c r="B70" s="5"/>
      <c r="C70" s="5"/>
      <c r="D70" s="5"/>
      <c r="E70" s="223"/>
      <c r="F70" s="11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5"/>
      <c r="B71" s="5"/>
      <c r="C71" s="5"/>
      <c r="D71" s="5"/>
      <c r="E71" s="223"/>
      <c r="F71" s="11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5"/>
      <c r="B72" s="5"/>
      <c r="C72" s="5"/>
      <c r="D72" s="5"/>
      <c r="E72" s="223"/>
      <c r="F72" s="11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5"/>
      <c r="B73" s="5"/>
      <c r="C73" s="5"/>
      <c r="D73" s="5"/>
      <c r="E73" s="223"/>
      <c r="F73" s="11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5"/>
      <c r="B74" s="5"/>
      <c r="C74" s="5"/>
      <c r="D74" s="5"/>
      <c r="E74" s="223"/>
      <c r="F74" s="11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5"/>
      <c r="B75" s="5"/>
      <c r="C75" s="5"/>
      <c r="D75" s="5"/>
      <c r="E75" s="223"/>
      <c r="F75" s="11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5"/>
      <c r="B76" s="5"/>
      <c r="C76" s="5"/>
      <c r="D76" s="5"/>
      <c r="E76" s="223"/>
      <c r="F76" s="11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5"/>
      <c r="B77" s="5"/>
      <c r="C77" s="5"/>
      <c r="D77" s="5"/>
      <c r="E77" s="223"/>
      <c r="F77" s="11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5"/>
      <c r="B78" s="5"/>
      <c r="C78" s="5"/>
      <c r="D78" s="5"/>
      <c r="E78" s="223"/>
      <c r="F78" s="11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5"/>
      <c r="B79" s="5"/>
      <c r="C79" s="5"/>
      <c r="D79" s="5"/>
      <c r="E79" s="223"/>
      <c r="F79" s="11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5"/>
      <c r="B80" s="5"/>
      <c r="C80" s="5"/>
      <c r="D80" s="5"/>
      <c r="E80" s="223"/>
      <c r="F80" s="11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5"/>
      <c r="B81" s="5"/>
      <c r="C81" s="5"/>
      <c r="D81" s="5"/>
      <c r="E81" s="223"/>
      <c r="F81" s="11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5"/>
      <c r="B82" s="5"/>
      <c r="C82" s="5"/>
      <c r="D82" s="5"/>
      <c r="E82" s="223"/>
      <c r="F82" s="11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5"/>
      <c r="B83" s="5"/>
      <c r="C83" s="5"/>
      <c r="D83" s="5"/>
      <c r="E83" s="223"/>
      <c r="F83" s="11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5"/>
      <c r="B84" s="5"/>
      <c r="C84" s="5"/>
      <c r="D84" s="5"/>
      <c r="E84" s="223"/>
      <c r="F84" s="11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5"/>
      <c r="B85" s="5"/>
      <c r="C85" s="5"/>
      <c r="D85" s="5"/>
      <c r="E85" s="223"/>
      <c r="F85" s="11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5"/>
      <c r="B86" s="5"/>
      <c r="C86" s="5"/>
      <c r="D86" s="5"/>
      <c r="E86" s="223"/>
      <c r="F86" s="11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5"/>
      <c r="B87" s="5"/>
      <c r="C87" s="5"/>
      <c r="D87" s="5"/>
      <c r="E87" s="223"/>
      <c r="F87" s="11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5"/>
      <c r="B88" s="5"/>
      <c r="C88" s="5"/>
      <c r="D88" s="5"/>
      <c r="E88" s="223"/>
      <c r="F88" s="11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5"/>
      <c r="B89" s="5"/>
      <c r="C89" s="5"/>
      <c r="D89" s="5"/>
      <c r="E89" s="223"/>
      <c r="F89" s="11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5"/>
      <c r="B90" s="5"/>
      <c r="C90" s="5"/>
      <c r="D90" s="5"/>
      <c r="E90" s="223"/>
      <c r="F90" s="11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5"/>
      <c r="B91" s="5"/>
      <c r="C91" s="5"/>
      <c r="D91" s="5"/>
      <c r="E91" s="223"/>
      <c r="F91" s="11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5"/>
      <c r="B92" s="5"/>
      <c r="C92" s="5"/>
      <c r="D92" s="5"/>
      <c r="E92" s="223"/>
      <c r="F92" s="11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5"/>
      <c r="B93" s="5"/>
      <c r="C93" s="5"/>
      <c r="D93" s="5"/>
      <c r="E93" s="223"/>
      <c r="F93" s="11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5"/>
      <c r="B94" s="5"/>
      <c r="C94" s="5"/>
      <c r="D94" s="5"/>
      <c r="E94" s="223"/>
      <c r="F94" s="11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5"/>
      <c r="B95" s="5"/>
      <c r="C95" s="5"/>
      <c r="D95" s="5"/>
      <c r="E95" s="223"/>
      <c r="F95" s="11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5"/>
      <c r="B96" s="5"/>
      <c r="C96" s="5"/>
      <c r="D96" s="5"/>
      <c r="E96" s="223"/>
      <c r="F96" s="11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5"/>
      <c r="B97" s="5"/>
      <c r="C97" s="5"/>
      <c r="D97" s="5"/>
      <c r="E97" s="223"/>
      <c r="F97" s="11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5"/>
      <c r="B98" s="5"/>
      <c r="C98" s="5"/>
      <c r="D98" s="5"/>
      <c r="E98" s="223"/>
      <c r="F98" s="11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5"/>
      <c r="B99" s="5"/>
      <c r="C99" s="5"/>
      <c r="D99" s="5"/>
      <c r="E99" s="223"/>
      <c r="F99" s="11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5"/>
      <c r="B100" s="5"/>
      <c r="C100" s="5"/>
      <c r="D100" s="5"/>
      <c r="E100" s="223"/>
      <c r="F100" s="11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5"/>
      <c r="B101" s="5"/>
      <c r="C101" s="5"/>
      <c r="D101" s="5"/>
      <c r="E101" s="223"/>
      <c r="F101" s="11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5"/>
      <c r="B102" s="5"/>
      <c r="C102" s="5"/>
      <c r="D102" s="5"/>
      <c r="E102" s="223"/>
      <c r="F102" s="11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5"/>
      <c r="B103" s="5"/>
      <c r="C103" s="5"/>
      <c r="D103" s="5"/>
      <c r="E103" s="223"/>
      <c r="F103" s="11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5"/>
      <c r="B104" s="5"/>
      <c r="C104" s="5"/>
      <c r="D104" s="5"/>
      <c r="E104" s="223"/>
      <c r="F104" s="11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5"/>
      <c r="B105" s="5"/>
      <c r="C105" s="5"/>
      <c r="D105" s="5"/>
      <c r="E105" s="223"/>
      <c r="F105" s="11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5"/>
      <c r="B106" s="5"/>
      <c r="C106" s="5"/>
      <c r="D106" s="5"/>
      <c r="E106" s="223"/>
      <c r="F106" s="11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5"/>
      <c r="B107" s="5"/>
      <c r="C107" s="5"/>
      <c r="D107" s="5"/>
      <c r="E107" s="223"/>
      <c r="F107" s="11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5"/>
      <c r="B108" s="5"/>
      <c r="C108" s="5"/>
      <c r="D108" s="5"/>
      <c r="E108" s="223"/>
      <c r="F108" s="11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5"/>
      <c r="B109" s="5"/>
      <c r="C109" s="5"/>
      <c r="D109" s="5"/>
      <c r="E109" s="223"/>
      <c r="F109" s="11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5"/>
      <c r="B110" s="5"/>
      <c r="C110" s="5"/>
      <c r="D110" s="5"/>
      <c r="E110" s="223"/>
      <c r="F110" s="11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5"/>
      <c r="B111" s="5"/>
      <c r="C111" s="5"/>
      <c r="D111" s="5"/>
      <c r="E111" s="223"/>
      <c r="F111" s="11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5"/>
      <c r="B112" s="5"/>
      <c r="C112" s="5"/>
      <c r="D112" s="5"/>
      <c r="E112" s="223"/>
      <c r="F112" s="11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5"/>
      <c r="B113" s="5"/>
      <c r="C113" s="5"/>
      <c r="D113" s="5"/>
      <c r="E113" s="223"/>
      <c r="F113" s="11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5"/>
      <c r="B114" s="5"/>
      <c r="C114" s="5"/>
      <c r="D114" s="5"/>
      <c r="E114" s="223"/>
      <c r="F114" s="11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5"/>
      <c r="B115" s="5"/>
      <c r="C115" s="5"/>
      <c r="D115" s="5"/>
      <c r="E115" s="223"/>
      <c r="F115" s="11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5"/>
      <c r="B116" s="5"/>
      <c r="C116" s="5"/>
      <c r="D116" s="5"/>
      <c r="E116" s="223"/>
      <c r="F116" s="11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5"/>
      <c r="B117" s="5"/>
      <c r="C117" s="5"/>
      <c r="D117" s="5"/>
      <c r="E117" s="223"/>
      <c r="F117" s="11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5"/>
      <c r="B118" s="5"/>
      <c r="C118" s="5"/>
      <c r="D118" s="5"/>
      <c r="E118" s="223"/>
      <c r="F118" s="11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5"/>
      <c r="B119" s="5"/>
      <c r="C119" s="5"/>
      <c r="D119" s="5"/>
      <c r="E119" s="223"/>
      <c r="F119" s="11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5"/>
      <c r="B120" s="5"/>
      <c r="C120" s="5"/>
      <c r="D120" s="5"/>
      <c r="E120" s="223"/>
      <c r="F120" s="11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5"/>
      <c r="B121" s="5"/>
      <c r="C121" s="5"/>
      <c r="D121" s="5"/>
      <c r="E121" s="223"/>
      <c r="F121" s="11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5"/>
      <c r="B122" s="5"/>
      <c r="C122" s="5"/>
      <c r="D122" s="5"/>
      <c r="E122" s="223"/>
      <c r="F122" s="11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5"/>
      <c r="B123" s="5"/>
      <c r="C123" s="5"/>
      <c r="D123" s="5"/>
      <c r="E123" s="223"/>
      <c r="F123" s="11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5"/>
      <c r="B124" s="5"/>
      <c r="C124" s="5"/>
      <c r="D124" s="5"/>
      <c r="E124" s="223"/>
      <c r="F124" s="11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5"/>
      <c r="B125" s="5"/>
      <c r="C125" s="5"/>
      <c r="D125" s="5"/>
      <c r="E125" s="223"/>
      <c r="F125" s="11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5"/>
      <c r="B126" s="5"/>
      <c r="C126" s="5"/>
      <c r="D126" s="5"/>
      <c r="E126" s="223"/>
      <c r="F126" s="11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5"/>
      <c r="B127" s="5"/>
      <c r="C127" s="5"/>
      <c r="D127" s="5"/>
      <c r="E127" s="223"/>
      <c r="F127" s="11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5"/>
      <c r="B128" s="5"/>
      <c r="C128" s="5"/>
      <c r="D128" s="5"/>
      <c r="E128" s="223"/>
      <c r="F128" s="11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5"/>
      <c r="B129" s="5"/>
      <c r="C129" s="5"/>
      <c r="D129" s="5"/>
      <c r="E129" s="223"/>
      <c r="F129" s="11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5"/>
      <c r="B130" s="5"/>
      <c r="C130" s="5"/>
      <c r="D130" s="5"/>
      <c r="E130" s="223"/>
      <c r="F130" s="11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5"/>
      <c r="B131" s="5"/>
      <c r="C131" s="5"/>
      <c r="D131" s="5"/>
      <c r="E131" s="223"/>
      <c r="F131" s="11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5"/>
      <c r="B132" s="5"/>
      <c r="C132" s="5"/>
      <c r="D132" s="5"/>
      <c r="E132" s="223"/>
      <c r="F132" s="11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5"/>
      <c r="B133" s="5"/>
      <c r="C133" s="5"/>
      <c r="D133" s="5"/>
      <c r="E133" s="223"/>
      <c r="F133" s="11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5"/>
      <c r="B134" s="5"/>
      <c r="C134" s="5"/>
      <c r="D134" s="5"/>
      <c r="E134" s="223"/>
      <c r="F134" s="11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5"/>
      <c r="B135" s="5"/>
      <c r="C135" s="5"/>
      <c r="D135" s="5"/>
      <c r="E135" s="223"/>
      <c r="F135" s="11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5"/>
      <c r="B136" s="5"/>
      <c r="C136" s="5"/>
      <c r="D136" s="5"/>
      <c r="E136" s="223"/>
      <c r="F136" s="11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5"/>
      <c r="B137" s="5"/>
      <c r="C137" s="5"/>
      <c r="D137" s="5"/>
      <c r="E137" s="223"/>
      <c r="F137" s="11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5"/>
      <c r="B138" s="5"/>
      <c r="C138" s="5"/>
      <c r="D138" s="5"/>
      <c r="E138" s="223"/>
      <c r="F138" s="11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5"/>
      <c r="B139" s="5"/>
      <c r="C139" s="5"/>
      <c r="D139" s="5"/>
      <c r="E139" s="223"/>
      <c r="F139" s="11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5"/>
      <c r="B140" s="5"/>
      <c r="C140" s="5"/>
      <c r="D140" s="5"/>
      <c r="E140" s="223"/>
      <c r="F140" s="11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5"/>
      <c r="B141" s="5"/>
      <c r="C141" s="5"/>
      <c r="D141" s="5"/>
      <c r="E141" s="223"/>
      <c r="F141" s="11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5"/>
      <c r="B142" s="5"/>
      <c r="C142" s="5"/>
      <c r="D142" s="5"/>
      <c r="E142" s="223"/>
      <c r="F142" s="11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5"/>
      <c r="B143" s="5"/>
      <c r="C143" s="5"/>
      <c r="D143" s="5"/>
      <c r="E143" s="223"/>
      <c r="F143" s="11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5"/>
      <c r="B144" s="5"/>
      <c r="C144" s="5"/>
      <c r="D144" s="5"/>
      <c r="E144" s="223"/>
      <c r="F144" s="11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5"/>
      <c r="B145" s="5"/>
      <c r="C145" s="5"/>
      <c r="D145" s="5"/>
      <c r="E145" s="223"/>
      <c r="F145" s="11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5"/>
      <c r="B146" s="5"/>
      <c r="C146" s="5"/>
      <c r="D146" s="5"/>
      <c r="E146" s="223"/>
      <c r="F146" s="11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5"/>
      <c r="B147" s="5"/>
      <c r="C147" s="5"/>
      <c r="D147" s="5"/>
      <c r="E147" s="223"/>
      <c r="F147" s="11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5"/>
      <c r="B148" s="5"/>
      <c r="C148" s="5"/>
      <c r="D148" s="5"/>
      <c r="E148" s="223"/>
      <c r="F148" s="11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5"/>
      <c r="B149" s="5"/>
      <c r="C149" s="5"/>
      <c r="D149" s="5"/>
      <c r="E149" s="223"/>
      <c r="F149" s="11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5"/>
      <c r="B150" s="5"/>
      <c r="C150" s="5"/>
      <c r="D150" s="5"/>
      <c r="E150" s="223"/>
      <c r="F150" s="11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5"/>
      <c r="B151" s="5"/>
      <c r="C151" s="5"/>
      <c r="D151" s="5"/>
      <c r="E151" s="223"/>
      <c r="F151" s="11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5"/>
      <c r="B152" s="5"/>
      <c r="C152" s="5"/>
      <c r="D152" s="5"/>
      <c r="E152" s="223"/>
      <c r="F152" s="11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5"/>
      <c r="B153" s="5"/>
      <c r="C153" s="5"/>
      <c r="D153" s="5"/>
      <c r="E153" s="223"/>
      <c r="F153" s="11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5"/>
      <c r="B154" s="5"/>
      <c r="C154" s="5"/>
      <c r="D154" s="5"/>
      <c r="E154" s="223"/>
      <c r="F154" s="11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5"/>
      <c r="B155" s="5"/>
      <c r="C155" s="5"/>
      <c r="D155" s="5"/>
      <c r="E155" s="223"/>
      <c r="F155" s="11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5"/>
      <c r="B156" s="5"/>
      <c r="C156" s="5"/>
      <c r="D156" s="5"/>
      <c r="E156" s="223"/>
      <c r="F156" s="11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5"/>
      <c r="B157" s="5"/>
      <c r="C157" s="5"/>
      <c r="D157" s="5"/>
      <c r="E157" s="223"/>
      <c r="F157" s="11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5"/>
      <c r="B158" s="5"/>
      <c r="C158" s="5"/>
      <c r="D158" s="5"/>
      <c r="E158" s="223"/>
      <c r="F158" s="11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5"/>
      <c r="B159" s="5"/>
      <c r="C159" s="5"/>
      <c r="D159" s="5"/>
      <c r="E159" s="223"/>
      <c r="F159" s="11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5"/>
      <c r="B160" s="5"/>
      <c r="C160" s="5"/>
      <c r="D160" s="5"/>
      <c r="E160" s="223"/>
      <c r="F160" s="11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5"/>
      <c r="B161" s="5"/>
      <c r="C161" s="5"/>
      <c r="D161" s="5"/>
      <c r="E161" s="223"/>
      <c r="F161" s="11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5"/>
      <c r="B162" s="5"/>
      <c r="C162" s="5"/>
      <c r="D162" s="5"/>
      <c r="E162" s="223"/>
      <c r="F162" s="11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5"/>
      <c r="B163" s="5"/>
      <c r="C163" s="5"/>
      <c r="D163" s="5"/>
      <c r="E163" s="223"/>
      <c r="F163" s="11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5"/>
      <c r="B164" s="5"/>
      <c r="C164" s="5"/>
      <c r="D164" s="5"/>
      <c r="E164" s="223"/>
      <c r="F164" s="11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5"/>
      <c r="B165" s="5"/>
      <c r="C165" s="5"/>
      <c r="D165" s="5"/>
      <c r="E165" s="223"/>
      <c r="F165" s="11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5"/>
      <c r="B166" s="5"/>
      <c r="C166" s="5"/>
      <c r="D166" s="5"/>
      <c r="E166" s="223"/>
      <c r="F166" s="11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5"/>
      <c r="B167" s="5"/>
      <c r="C167" s="5"/>
      <c r="D167" s="5"/>
      <c r="E167" s="223"/>
      <c r="F167" s="11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5"/>
      <c r="B168" s="5"/>
      <c r="C168" s="5"/>
      <c r="D168" s="5"/>
      <c r="E168" s="223"/>
      <c r="F168" s="11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5"/>
      <c r="B169" s="5"/>
      <c r="C169" s="5"/>
      <c r="D169" s="5"/>
      <c r="E169" s="223"/>
      <c r="F169" s="11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5"/>
      <c r="B170" s="5"/>
      <c r="C170" s="5"/>
      <c r="D170" s="5"/>
      <c r="E170" s="223"/>
      <c r="F170" s="11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5"/>
      <c r="B171" s="5"/>
      <c r="C171" s="5"/>
      <c r="D171" s="5"/>
      <c r="E171" s="223"/>
      <c r="F171" s="11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5"/>
      <c r="B172" s="5"/>
      <c r="C172" s="5"/>
      <c r="D172" s="5"/>
      <c r="E172" s="223"/>
      <c r="F172" s="11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5"/>
      <c r="B173" s="5"/>
      <c r="C173" s="5"/>
      <c r="D173" s="5"/>
      <c r="E173" s="223"/>
      <c r="F173" s="11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5"/>
      <c r="B174" s="5"/>
      <c r="C174" s="5"/>
      <c r="D174" s="5"/>
      <c r="E174" s="223"/>
      <c r="F174" s="11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5"/>
      <c r="B175" s="5"/>
      <c r="C175" s="5"/>
      <c r="D175" s="5"/>
      <c r="E175" s="223"/>
      <c r="F175" s="11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5"/>
      <c r="B176" s="5"/>
      <c r="C176" s="5"/>
      <c r="D176" s="5"/>
      <c r="E176" s="223"/>
      <c r="F176" s="11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5"/>
      <c r="B177" s="5"/>
      <c r="C177" s="5"/>
      <c r="D177" s="5"/>
      <c r="E177" s="223"/>
      <c r="F177" s="11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5"/>
      <c r="B178" s="5"/>
      <c r="C178" s="5"/>
      <c r="D178" s="5"/>
      <c r="E178" s="223"/>
      <c r="F178" s="11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5"/>
      <c r="B179" s="5"/>
      <c r="C179" s="5"/>
      <c r="D179" s="5"/>
      <c r="E179" s="223"/>
      <c r="F179" s="11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5"/>
      <c r="B180" s="5"/>
      <c r="C180" s="5"/>
      <c r="D180" s="5"/>
      <c r="E180" s="223"/>
      <c r="F180" s="11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5"/>
      <c r="B181" s="5"/>
      <c r="C181" s="5"/>
      <c r="D181" s="5"/>
      <c r="E181" s="223"/>
      <c r="F181" s="11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5"/>
      <c r="B182" s="5"/>
      <c r="C182" s="5"/>
      <c r="D182" s="5"/>
      <c r="E182" s="223"/>
      <c r="F182" s="11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5"/>
      <c r="B183" s="5"/>
      <c r="C183" s="5"/>
      <c r="D183" s="5"/>
      <c r="E183" s="223"/>
      <c r="F183" s="11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5"/>
      <c r="B184" s="5"/>
      <c r="C184" s="5"/>
      <c r="D184" s="5"/>
      <c r="E184" s="223"/>
      <c r="F184" s="11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5"/>
      <c r="B185" s="5"/>
      <c r="C185" s="5"/>
      <c r="D185" s="5"/>
      <c r="E185" s="223"/>
      <c r="F185" s="11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5"/>
      <c r="B186" s="5"/>
      <c r="C186" s="5"/>
      <c r="D186" s="5"/>
      <c r="E186" s="223"/>
      <c r="F186" s="11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5"/>
      <c r="B187" s="5"/>
      <c r="C187" s="5"/>
      <c r="D187" s="5"/>
      <c r="E187" s="223"/>
      <c r="F187" s="11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5"/>
      <c r="B188" s="5"/>
      <c r="C188" s="5"/>
      <c r="D188" s="5"/>
      <c r="E188" s="223"/>
      <c r="F188" s="11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5"/>
      <c r="B189" s="5"/>
      <c r="C189" s="5"/>
      <c r="D189" s="5"/>
      <c r="E189" s="223"/>
      <c r="F189" s="11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5"/>
      <c r="B190" s="5"/>
      <c r="C190" s="5"/>
      <c r="D190" s="5"/>
      <c r="E190" s="223"/>
      <c r="F190" s="11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5"/>
      <c r="B191" s="5"/>
      <c r="C191" s="5"/>
      <c r="D191" s="5"/>
      <c r="E191" s="223"/>
      <c r="F191" s="11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5"/>
      <c r="B192" s="5"/>
      <c r="C192" s="5"/>
      <c r="D192" s="5"/>
      <c r="E192" s="223"/>
      <c r="F192" s="11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5"/>
      <c r="B193" s="5"/>
      <c r="C193" s="5"/>
      <c r="D193" s="5"/>
      <c r="E193" s="223"/>
      <c r="F193" s="11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5"/>
      <c r="B194" s="5"/>
      <c r="C194" s="5"/>
      <c r="D194" s="5"/>
      <c r="E194" s="223"/>
      <c r="F194" s="11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5"/>
      <c r="B195" s="5"/>
      <c r="C195" s="5"/>
      <c r="D195" s="5"/>
      <c r="E195" s="223"/>
      <c r="F195" s="11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5"/>
      <c r="B196" s="5"/>
      <c r="C196" s="5"/>
      <c r="D196" s="5"/>
      <c r="E196" s="223"/>
      <c r="F196" s="11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5"/>
      <c r="B197" s="5"/>
      <c r="C197" s="5"/>
      <c r="D197" s="5"/>
      <c r="E197" s="223"/>
      <c r="F197" s="11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5"/>
      <c r="B198" s="5"/>
      <c r="C198" s="5"/>
      <c r="D198" s="5"/>
      <c r="E198" s="223"/>
      <c r="F198" s="11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5"/>
      <c r="B199" s="5"/>
      <c r="C199" s="5"/>
      <c r="D199" s="5"/>
      <c r="E199" s="223"/>
      <c r="F199" s="11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5"/>
      <c r="B200" s="5"/>
      <c r="C200" s="5"/>
      <c r="D200" s="5"/>
      <c r="E200" s="223"/>
      <c r="F200" s="11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5"/>
      <c r="B201" s="5"/>
      <c r="C201" s="5"/>
      <c r="D201" s="5"/>
      <c r="E201" s="223"/>
      <c r="F201" s="11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5"/>
      <c r="B202" s="5"/>
      <c r="C202" s="5"/>
      <c r="D202" s="5"/>
      <c r="E202" s="223"/>
      <c r="F202" s="11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5"/>
      <c r="B203" s="5"/>
      <c r="C203" s="5"/>
      <c r="D203" s="5"/>
      <c r="E203" s="223"/>
      <c r="F203" s="11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5"/>
      <c r="B204" s="5"/>
      <c r="C204" s="5"/>
      <c r="D204" s="5"/>
      <c r="E204" s="223"/>
      <c r="F204" s="11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5"/>
      <c r="B205" s="5"/>
      <c r="C205" s="5"/>
      <c r="D205" s="5"/>
      <c r="E205" s="223"/>
      <c r="F205" s="11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5"/>
      <c r="B206" s="5"/>
      <c r="C206" s="5"/>
      <c r="D206" s="5"/>
      <c r="E206" s="223"/>
      <c r="F206" s="11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5"/>
      <c r="B207" s="5"/>
      <c r="C207" s="5"/>
      <c r="D207" s="5"/>
      <c r="E207" s="223"/>
      <c r="F207" s="11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5"/>
      <c r="B208" s="5"/>
      <c r="C208" s="5"/>
      <c r="D208" s="5"/>
      <c r="E208" s="223"/>
      <c r="F208" s="11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5"/>
      <c r="B209" s="5"/>
      <c r="C209" s="5"/>
      <c r="D209" s="5"/>
      <c r="E209" s="223"/>
      <c r="F209" s="11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5"/>
      <c r="B210" s="5"/>
      <c r="C210" s="5"/>
      <c r="D210" s="5"/>
      <c r="E210" s="223"/>
      <c r="F210" s="11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5"/>
      <c r="B211" s="5"/>
      <c r="C211" s="5"/>
      <c r="D211" s="5"/>
      <c r="E211" s="223"/>
      <c r="F211" s="11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5"/>
      <c r="B212" s="5"/>
      <c r="C212" s="5"/>
      <c r="D212" s="5"/>
      <c r="E212" s="223"/>
      <c r="F212" s="11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5"/>
      <c r="B213" s="5"/>
      <c r="C213" s="5"/>
      <c r="D213" s="5"/>
      <c r="E213" s="223"/>
      <c r="F213" s="11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5"/>
      <c r="B214" s="5"/>
      <c r="C214" s="5"/>
      <c r="D214" s="5"/>
      <c r="E214" s="223"/>
      <c r="F214" s="11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5"/>
      <c r="B215" s="5"/>
      <c r="C215" s="5"/>
      <c r="D215" s="5"/>
      <c r="E215" s="223"/>
      <c r="F215" s="11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5"/>
      <c r="B216" s="5"/>
      <c r="C216" s="5"/>
      <c r="D216" s="5"/>
      <c r="E216" s="223"/>
      <c r="F216" s="11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5"/>
      <c r="B217" s="5"/>
      <c r="C217" s="5"/>
      <c r="D217" s="5"/>
      <c r="E217" s="223"/>
      <c r="F217" s="11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5"/>
      <c r="B218" s="5"/>
      <c r="C218" s="5"/>
      <c r="D218" s="5"/>
      <c r="E218" s="223"/>
      <c r="F218" s="11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5"/>
      <c r="B219" s="5"/>
      <c r="C219" s="5"/>
      <c r="D219" s="5"/>
      <c r="E219" s="223"/>
      <c r="F219" s="11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5"/>
      <c r="B220" s="5"/>
      <c r="C220" s="5"/>
      <c r="D220" s="5"/>
      <c r="E220" s="223"/>
      <c r="F220" s="11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5"/>
      <c r="B221" s="5"/>
      <c r="C221" s="5"/>
      <c r="D221" s="5"/>
      <c r="E221" s="223"/>
      <c r="F221" s="11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5"/>
      <c r="B222" s="5"/>
      <c r="C222" s="5"/>
      <c r="D222" s="5"/>
      <c r="E222" s="223"/>
      <c r="F222" s="11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5"/>
      <c r="B223" s="5"/>
      <c r="C223" s="5"/>
      <c r="D223" s="5"/>
      <c r="E223" s="223"/>
      <c r="F223" s="11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5"/>
      <c r="B224" s="5"/>
      <c r="C224" s="5"/>
      <c r="D224" s="5"/>
      <c r="E224" s="223"/>
      <c r="F224" s="11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5"/>
      <c r="B225" s="5"/>
      <c r="C225" s="5"/>
      <c r="D225" s="5"/>
      <c r="E225" s="223"/>
      <c r="F225" s="11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5"/>
      <c r="B226" s="5"/>
      <c r="C226" s="5"/>
      <c r="D226" s="5"/>
      <c r="E226" s="223"/>
      <c r="F226" s="11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5"/>
      <c r="B227" s="5"/>
      <c r="C227" s="5"/>
      <c r="D227" s="5"/>
      <c r="E227" s="223"/>
      <c r="F227" s="11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5"/>
      <c r="B228" s="5"/>
      <c r="C228" s="5"/>
      <c r="D228" s="5"/>
      <c r="E228" s="223"/>
      <c r="F228" s="11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5"/>
      <c r="B229" s="5"/>
      <c r="C229" s="5"/>
      <c r="D229" s="5"/>
      <c r="E229" s="223"/>
      <c r="F229" s="11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5"/>
      <c r="B230" s="5"/>
      <c r="C230" s="5"/>
      <c r="D230" s="5"/>
      <c r="E230" s="223"/>
      <c r="F230" s="11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5"/>
      <c r="B231" s="5"/>
      <c r="C231" s="5"/>
      <c r="D231" s="5"/>
      <c r="E231" s="223"/>
      <c r="F231" s="11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5"/>
      <c r="B232" s="5"/>
      <c r="C232" s="5"/>
      <c r="D232" s="5"/>
      <c r="E232" s="223"/>
      <c r="F232" s="11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5"/>
      <c r="B233" s="5"/>
      <c r="C233" s="5"/>
      <c r="D233" s="5"/>
      <c r="E233" s="223"/>
      <c r="F233" s="11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5"/>
      <c r="B234" s="5"/>
      <c r="C234" s="5"/>
      <c r="D234" s="5"/>
      <c r="E234" s="223"/>
      <c r="F234" s="11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5"/>
      <c r="B235" s="5"/>
      <c r="C235" s="5"/>
      <c r="D235" s="5"/>
      <c r="E235" s="223"/>
      <c r="F235" s="11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5"/>
      <c r="B236" s="5"/>
      <c r="C236" s="5"/>
      <c r="D236" s="5"/>
      <c r="E236" s="223"/>
      <c r="F236" s="11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5"/>
      <c r="B237" s="5"/>
      <c r="C237" s="5"/>
      <c r="D237" s="5"/>
      <c r="E237" s="223"/>
      <c r="F237" s="11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5"/>
      <c r="B238" s="5"/>
      <c r="C238" s="5"/>
      <c r="D238" s="5"/>
      <c r="E238" s="223"/>
      <c r="F238" s="11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5"/>
      <c r="B239" s="5"/>
      <c r="C239" s="5"/>
      <c r="D239" s="5"/>
      <c r="E239" s="223"/>
      <c r="F239" s="11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5"/>
      <c r="B240" s="5"/>
      <c r="C240" s="5"/>
      <c r="D240" s="5"/>
      <c r="E240" s="223"/>
      <c r="F240" s="11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5"/>
      <c r="B241" s="5"/>
      <c r="C241" s="5"/>
      <c r="D241" s="5"/>
      <c r="E241" s="223"/>
      <c r="F241" s="11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5"/>
      <c r="B242" s="5"/>
      <c r="C242" s="5"/>
      <c r="D242" s="5"/>
      <c r="E242" s="223"/>
      <c r="F242" s="11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5"/>
      <c r="B243" s="5"/>
      <c r="C243" s="5"/>
      <c r="D243" s="5"/>
      <c r="E243" s="223"/>
      <c r="F243" s="11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5"/>
      <c r="B244" s="5"/>
      <c r="C244" s="5"/>
      <c r="D244" s="5"/>
      <c r="E244" s="223"/>
      <c r="F244" s="11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5"/>
      <c r="B245" s="5"/>
      <c r="C245" s="5"/>
      <c r="D245" s="5"/>
      <c r="E245" s="223"/>
      <c r="F245" s="11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5"/>
      <c r="B246" s="5"/>
      <c r="C246" s="5"/>
      <c r="D246" s="5"/>
      <c r="E246" s="223"/>
      <c r="F246" s="11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5"/>
      <c r="B247" s="5"/>
      <c r="C247" s="5"/>
      <c r="D247" s="5"/>
      <c r="E247" s="223"/>
      <c r="F247" s="11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5"/>
      <c r="B248" s="5"/>
      <c r="C248" s="5"/>
      <c r="D248" s="5"/>
      <c r="E248" s="223"/>
      <c r="F248" s="11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5"/>
      <c r="B249" s="5"/>
      <c r="C249" s="5"/>
      <c r="D249" s="5"/>
      <c r="E249" s="223"/>
      <c r="F249" s="11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5"/>
      <c r="B250" s="5"/>
      <c r="C250" s="5"/>
      <c r="D250" s="5"/>
      <c r="E250" s="223"/>
      <c r="F250" s="11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5"/>
      <c r="B251" s="5"/>
      <c r="C251" s="5"/>
      <c r="D251" s="5"/>
      <c r="E251" s="223"/>
      <c r="F251" s="11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5"/>
      <c r="B252" s="5"/>
      <c r="C252" s="5"/>
      <c r="D252" s="5"/>
      <c r="E252" s="223"/>
      <c r="F252" s="11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5"/>
      <c r="B253" s="5"/>
      <c r="C253" s="5"/>
      <c r="D253" s="5"/>
      <c r="E253" s="223"/>
      <c r="F253" s="11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5"/>
      <c r="B254" s="5"/>
      <c r="C254" s="5"/>
      <c r="D254" s="5"/>
      <c r="E254" s="223"/>
      <c r="F254" s="11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5"/>
      <c r="B255" s="5"/>
      <c r="C255" s="5"/>
      <c r="D255" s="5"/>
      <c r="E255" s="223"/>
      <c r="F255" s="11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5"/>
      <c r="B256" s="5"/>
      <c r="C256" s="5"/>
      <c r="D256" s="5"/>
      <c r="E256" s="223"/>
      <c r="F256" s="11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5"/>
      <c r="B257" s="5"/>
      <c r="C257" s="5"/>
      <c r="D257" s="5"/>
      <c r="E257" s="223"/>
      <c r="F257" s="11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5"/>
      <c r="B258" s="5"/>
      <c r="C258" s="5"/>
      <c r="D258" s="5"/>
      <c r="E258" s="223"/>
      <c r="F258" s="11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5"/>
      <c r="B259" s="5"/>
      <c r="C259" s="5"/>
      <c r="D259" s="5"/>
      <c r="E259" s="223"/>
      <c r="F259" s="11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5"/>
      <c r="B260" s="5"/>
      <c r="C260" s="5"/>
      <c r="D260" s="5"/>
      <c r="E260" s="223"/>
      <c r="F260" s="11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5"/>
      <c r="B261" s="5"/>
      <c r="C261" s="5"/>
      <c r="D261" s="5"/>
      <c r="E261" s="223"/>
      <c r="F261" s="11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5"/>
      <c r="B262" s="5"/>
      <c r="C262" s="5"/>
      <c r="D262" s="5"/>
      <c r="E262" s="223"/>
      <c r="F262" s="11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5"/>
      <c r="B263" s="5"/>
      <c r="C263" s="5"/>
      <c r="D263" s="5"/>
      <c r="E263" s="223"/>
      <c r="F263" s="11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5"/>
      <c r="B264" s="5"/>
      <c r="C264" s="5"/>
      <c r="D264" s="5"/>
      <c r="E264" s="223"/>
      <c r="F264" s="11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5"/>
      <c r="B265" s="5"/>
      <c r="C265" s="5"/>
      <c r="D265" s="5"/>
      <c r="E265" s="223"/>
      <c r="F265" s="11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5"/>
      <c r="B266" s="5"/>
      <c r="C266" s="5"/>
      <c r="D266" s="5"/>
      <c r="E266" s="223"/>
      <c r="F266" s="11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5"/>
      <c r="B267" s="5"/>
      <c r="C267" s="5"/>
      <c r="D267" s="5"/>
      <c r="E267" s="223"/>
      <c r="F267" s="11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5"/>
      <c r="B268" s="5"/>
      <c r="C268" s="5"/>
      <c r="D268" s="5"/>
      <c r="E268" s="223"/>
      <c r="F268" s="11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5"/>
      <c r="B269" s="5"/>
      <c r="C269" s="5"/>
      <c r="D269" s="5"/>
      <c r="E269" s="223"/>
      <c r="F269" s="11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5"/>
      <c r="B270" s="5"/>
      <c r="C270" s="5"/>
      <c r="D270" s="5"/>
      <c r="E270" s="223"/>
      <c r="F270" s="11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5"/>
      <c r="B271" s="5"/>
      <c r="C271" s="5"/>
      <c r="D271" s="5"/>
      <c r="E271" s="223"/>
      <c r="F271" s="11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5"/>
      <c r="B272" s="5"/>
      <c r="C272" s="5"/>
      <c r="D272" s="5"/>
      <c r="E272" s="223"/>
      <c r="F272" s="11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5"/>
      <c r="B273" s="5"/>
      <c r="C273" s="5"/>
      <c r="D273" s="5"/>
      <c r="E273" s="223"/>
      <c r="F273" s="11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5"/>
      <c r="B274" s="5"/>
      <c r="C274" s="5"/>
      <c r="D274" s="5"/>
      <c r="E274" s="223"/>
      <c r="F274" s="11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5"/>
      <c r="B275" s="5"/>
      <c r="C275" s="5"/>
      <c r="D275" s="5"/>
      <c r="E275" s="223"/>
      <c r="F275" s="11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5"/>
      <c r="B276" s="5"/>
      <c r="C276" s="5"/>
      <c r="D276" s="5"/>
      <c r="E276" s="223"/>
      <c r="F276" s="11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5"/>
      <c r="B277" s="5"/>
      <c r="C277" s="5"/>
      <c r="D277" s="5"/>
      <c r="E277" s="223"/>
      <c r="F277" s="11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5"/>
      <c r="B278" s="5"/>
      <c r="C278" s="5"/>
      <c r="D278" s="5"/>
      <c r="E278" s="223"/>
      <c r="F278" s="11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5"/>
      <c r="B279" s="5"/>
      <c r="C279" s="5"/>
      <c r="D279" s="5"/>
      <c r="E279" s="223"/>
      <c r="F279" s="11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5"/>
      <c r="B280" s="5"/>
      <c r="C280" s="5"/>
      <c r="D280" s="5"/>
      <c r="E280" s="223"/>
      <c r="F280" s="11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5"/>
      <c r="B281" s="5"/>
      <c r="C281" s="5"/>
      <c r="D281" s="5"/>
      <c r="E281" s="223"/>
      <c r="F281" s="11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5"/>
      <c r="B282" s="5"/>
      <c r="C282" s="5"/>
      <c r="D282" s="5"/>
      <c r="E282" s="223"/>
      <c r="F282" s="11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5"/>
      <c r="B283" s="5"/>
      <c r="C283" s="5"/>
      <c r="D283" s="5"/>
      <c r="E283" s="223"/>
      <c r="F283" s="11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5"/>
      <c r="B284" s="5"/>
      <c r="C284" s="5"/>
      <c r="D284" s="5"/>
      <c r="E284" s="223"/>
      <c r="F284" s="11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5"/>
      <c r="B285" s="5"/>
      <c r="C285" s="5"/>
      <c r="D285" s="5"/>
      <c r="E285" s="223"/>
      <c r="F285" s="11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5"/>
      <c r="B286" s="5"/>
      <c r="C286" s="5"/>
      <c r="D286" s="5"/>
      <c r="E286" s="223"/>
      <c r="F286" s="11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5"/>
      <c r="B287" s="5"/>
      <c r="C287" s="5"/>
      <c r="D287" s="5"/>
      <c r="E287" s="223"/>
      <c r="F287" s="11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5"/>
      <c r="B288" s="5"/>
      <c r="C288" s="5"/>
      <c r="D288" s="5"/>
      <c r="E288" s="223"/>
      <c r="F288" s="11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5"/>
      <c r="B289" s="5"/>
      <c r="C289" s="5"/>
      <c r="D289" s="5"/>
      <c r="E289" s="223"/>
      <c r="F289" s="11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5"/>
      <c r="B290" s="5"/>
      <c r="C290" s="5"/>
      <c r="D290" s="5"/>
      <c r="E290" s="223"/>
      <c r="F290" s="11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5"/>
      <c r="B291" s="5"/>
      <c r="C291" s="5"/>
      <c r="D291" s="5"/>
      <c r="E291" s="223"/>
      <c r="F291" s="11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5"/>
      <c r="B292" s="5"/>
      <c r="C292" s="5"/>
      <c r="D292" s="5"/>
      <c r="E292" s="223"/>
      <c r="F292" s="11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5"/>
      <c r="B293" s="5"/>
      <c r="C293" s="5"/>
      <c r="D293" s="5"/>
      <c r="E293" s="223"/>
      <c r="F293" s="11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5"/>
      <c r="B294" s="5"/>
      <c r="C294" s="5"/>
      <c r="D294" s="5"/>
      <c r="E294" s="223"/>
      <c r="F294" s="11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5"/>
      <c r="B295" s="5"/>
      <c r="C295" s="5"/>
      <c r="D295" s="5"/>
      <c r="E295" s="223"/>
      <c r="F295" s="11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5"/>
      <c r="B296" s="5"/>
      <c r="C296" s="5"/>
      <c r="D296" s="5"/>
      <c r="E296" s="223"/>
      <c r="F296" s="11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5"/>
      <c r="B297" s="5"/>
      <c r="C297" s="5"/>
      <c r="D297" s="5"/>
      <c r="E297" s="223"/>
      <c r="F297" s="11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5"/>
      <c r="B298" s="5"/>
      <c r="C298" s="5"/>
      <c r="D298" s="5"/>
      <c r="E298" s="223"/>
      <c r="F298" s="11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5"/>
      <c r="B299" s="5"/>
      <c r="C299" s="5"/>
      <c r="D299" s="5"/>
      <c r="E299" s="223"/>
      <c r="F299" s="11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5"/>
      <c r="B300" s="5"/>
      <c r="C300" s="5"/>
      <c r="D300" s="5"/>
      <c r="E300" s="223"/>
      <c r="F300" s="11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5"/>
      <c r="B301" s="5"/>
      <c r="C301" s="5"/>
      <c r="D301" s="5"/>
      <c r="E301" s="223"/>
      <c r="F301" s="11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5"/>
      <c r="B302" s="5"/>
      <c r="C302" s="5"/>
      <c r="D302" s="5"/>
      <c r="E302" s="223"/>
      <c r="F302" s="11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5"/>
      <c r="B303" s="5"/>
      <c r="C303" s="5"/>
      <c r="D303" s="5"/>
      <c r="E303" s="223"/>
      <c r="F303" s="11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5"/>
      <c r="B304" s="5"/>
      <c r="C304" s="5"/>
      <c r="D304" s="5"/>
      <c r="E304" s="223"/>
      <c r="F304" s="11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5"/>
      <c r="B305" s="5"/>
      <c r="C305" s="5"/>
      <c r="D305" s="5"/>
      <c r="E305" s="223"/>
      <c r="F305" s="11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5"/>
      <c r="B306" s="5"/>
      <c r="C306" s="5"/>
      <c r="D306" s="5"/>
      <c r="E306" s="223"/>
      <c r="F306" s="11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5"/>
      <c r="B307" s="5"/>
      <c r="C307" s="5"/>
      <c r="D307" s="5"/>
      <c r="E307" s="223"/>
      <c r="F307" s="11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5"/>
      <c r="B308" s="5"/>
      <c r="C308" s="5"/>
      <c r="D308" s="5"/>
      <c r="E308" s="223"/>
      <c r="F308" s="11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5"/>
      <c r="B309" s="5"/>
      <c r="C309" s="5"/>
      <c r="D309" s="5"/>
      <c r="E309" s="223"/>
      <c r="F309" s="11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5"/>
      <c r="B310" s="5"/>
      <c r="C310" s="5"/>
      <c r="D310" s="5"/>
      <c r="E310" s="223"/>
      <c r="F310" s="11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5"/>
      <c r="B311" s="5"/>
      <c r="C311" s="5"/>
      <c r="D311" s="5"/>
      <c r="E311" s="223"/>
      <c r="F311" s="11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5"/>
      <c r="B312" s="5"/>
      <c r="C312" s="5"/>
      <c r="D312" s="5"/>
      <c r="E312" s="223"/>
      <c r="F312" s="11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5"/>
      <c r="B313" s="5"/>
      <c r="C313" s="5"/>
      <c r="D313" s="5"/>
      <c r="E313" s="223"/>
      <c r="F313" s="11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5"/>
      <c r="B314" s="5"/>
      <c r="C314" s="5"/>
      <c r="D314" s="5"/>
      <c r="E314" s="223"/>
      <c r="F314" s="11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5"/>
      <c r="B315" s="5"/>
      <c r="C315" s="5"/>
      <c r="D315" s="5"/>
      <c r="E315" s="223"/>
      <c r="F315" s="11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5"/>
      <c r="B316" s="5"/>
      <c r="C316" s="5"/>
      <c r="D316" s="5"/>
      <c r="E316" s="223"/>
      <c r="F316" s="11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5"/>
      <c r="B317" s="5"/>
      <c r="C317" s="5"/>
      <c r="D317" s="5"/>
      <c r="E317" s="223"/>
      <c r="F317" s="11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5"/>
      <c r="B318" s="5"/>
      <c r="C318" s="5"/>
      <c r="D318" s="5"/>
      <c r="E318" s="223"/>
      <c r="F318" s="11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5"/>
      <c r="B319" s="5"/>
      <c r="C319" s="5"/>
      <c r="D319" s="5"/>
      <c r="E319" s="223"/>
      <c r="F319" s="11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5"/>
      <c r="B320" s="5"/>
      <c r="C320" s="5"/>
      <c r="D320" s="5"/>
      <c r="E320" s="223"/>
      <c r="F320" s="11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5"/>
      <c r="B321" s="5"/>
      <c r="C321" s="5"/>
      <c r="D321" s="5"/>
      <c r="E321" s="223"/>
      <c r="F321" s="11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5"/>
      <c r="B322" s="5"/>
      <c r="C322" s="5"/>
      <c r="D322" s="5"/>
      <c r="E322" s="223"/>
      <c r="F322" s="11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5"/>
      <c r="B323" s="5"/>
      <c r="C323" s="5"/>
      <c r="D323" s="5"/>
      <c r="E323" s="223"/>
      <c r="F323" s="11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5"/>
      <c r="B324" s="5"/>
      <c r="C324" s="5"/>
      <c r="D324" s="5"/>
      <c r="E324" s="223"/>
      <c r="F324" s="11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5"/>
      <c r="B325" s="5"/>
      <c r="C325" s="5"/>
      <c r="D325" s="5"/>
      <c r="E325" s="223"/>
      <c r="F325" s="11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5"/>
      <c r="B326" s="5"/>
      <c r="C326" s="5"/>
      <c r="D326" s="5"/>
      <c r="E326" s="223"/>
      <c r="F326" s="11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5"/>
      <c r="B327" s="5"/>
      <c r="C327" s="5"/>
      <c r="D327" s="5"/>
      <c r="E327" s="223"/>
      <c r="F327" s="11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5"/>
      <c r="B328" s="5"/>
      <c r="C328" s="5"/>
      <c r="D328" s="5"/>
      <c r="E328" s="223"/>
      <c r="F328" s="11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5"/>
      <c r="B329" s="5"/>
      <c r="C329" s="5"/>
      <c r="D329" s="5"/>
      <c r="E329" s="223"/>
      <c r="F329" s="11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5"/>
      <c r="B330" s="5"/>
      <c r="C330" s="5"/>
      <c r="D330" s="5"/>
      <c r="E330" s="223"/>
      <c r="F330" s="11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5"/>
      <c r="B331" s="5"/>
      <c r="C331" s="5"/>
      <c r="D331" s="5"/>
      <c r="E331" s="223"/>
      <c r="F331" s="11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5"/>
      <c r="B332" s="5"/>
      <c r="C332" s="5"/>
      <c r="D332" s="5"/>
      <c r="E332" s="223"/>
      <c r="F332" s="11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5"/>
      <c r="B333" s="5"/>
      <c r="C333" s="5"/>
      <c r="D333" s="5"/>
      <c r="E333" s="223"/>
      <c r="F333" s="11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5"/>
      <c r="B334" s="5"/>
      <c r="C334" s="5"/>
      <c r="D334" s="5"/>
      <c r="E334" s="223"/>
      <c r="F334" s="11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5"/>
      <c r="B335" s="5"/>
      <c r="C335" s="5"/>
      <c r="D335" s="5"/>
      <c r="E335" s="223"/>
      <c r="F335" s="11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5"/>
      <c r="B336" s="5"/>
      <c r="C336" s="5"/>
      <c r="D336" s="5"/>
      <c r="E336" s="223"/>
      <c r="F336" s="11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5"/>
      <c r="B337" s="5"/>
      <c r="C337" s="5"/>
      <c r="D337" s="5"/>
      <c r="E337" s="223"/>
      <c r="F337" s="11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5"/>
      <c r="B338" s="5"/>
      <c r="C338" s="5"/>
      <c r="D338" s="5"/>
      <c r="E338" s="223"/>
      <c r="F338" s="11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5"/>
      <c r="B339" s="5"/>
      <c r="C339" s="5"/>
      <c r="D339" s="5"/>
      <c r="E339" s="223"/>
      <c r="F339" s="11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5"/>
      <c r="B340" s="5"/>
      <c r="C340" s="5"/>
      <c r="D340" s="5"/>
      <c r="E340" s="223"/>
      <c r="F340" s="11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5"/>
      <c r="B341" s="5"/>
      <c r="C341" s="5"/>
      <c r="D341" s="5"/>
      <c r="E341" s="223"/>
      <c r="F341" s="11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5"/>
      <c r="B342" s="5"/>
      <c r="C342" s="5"/>
      <c r="D342" s="5"/>
      <c r="E342" s="223"/>
      <c r="F342" s="11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5"/>
      <c r="B343" s="5"/>
      <c r="C343" s="5"/>
      <c r="D343" s="5"/>
      <c r="E343" s="223"/>
      <c r="F343" s="11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5"/>
      <c r="B344" s="5"/>
      <c r="C344" s="5"/>
      <c r="D344" s="5"/>
      <c r="E344" s="223"/>
      <c r="F344" s="11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5"/>
      <c r="B345" s="5"/>
      <c r="C345" s="5"/>
      <c r="D345" s="5"/>
      <c r="E345" s="223"/>
      <c r="F345" s="11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5"/>
      <c r="B346" s="5"/>
      <c r="C346" s="5"/>
      <c r="D346" s="5"/>
      <c r="E346" s="223"/>
      <c r="F346" s="11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5"/>
      <c r="B347" s="5"/>
      <c r="C347" s="5"/>
      <c r="D347" s="5"/>
      <c r="E347" s="223"/>
      <c r="F347" s="11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5"/>
      <c r="B348" s="5"/>
      <c r="C348" s="5"/>
      <c r="D348" s="5"/>
      <c r="E348" s="223"/>
      <c r="F348" s="11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5"/>
      <c r="B349" s="5"/>
      <c r="C349" s="5"/>
      <c r="D349" s="5"/>
      <c r="E349" s="223"/>
      <c r="F349" s="11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5"/>
      <c r="B350" s="5"/>
      <c r="C350" s="5"/>
      <c r="D350" s="5"/>
      <c r="E350" s="223"/>
      <c r="F350" s="11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5"/>
      <c r="B351" s="5"/>
      <c r="C351" s="5"/>
      <c r="D351" s="5"/>
      <c r="E351" s="223"/>
      <c r="F351" s="11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5"/>
      <c r="B352" s="5"/>
      <c r="C352" s="5"/>
      <c r="D352" s="5"/>
      <c r="E352" s="223"/>
      <c r="F352" s="11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5"/>
      <c r="B353" s="5"/>
      <c r="C353" s="5"/>
      <c r="D353" s="5"/>
      <c r="E353" s="223"/>
      <c r="F353" s="11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5"/>
      <c r="B354" s="5"/>
      <c r="C354" s="5"/>
      <c r="D354" s="5"/>
      <c r="E354" s="223"/>
      <c r="F354" s="11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5"/>
      <c r="B355" s="5"/>
      <c r="C355" s="5"/>
      <c r="D355" s="5"/>
      <c r="E355" s="223"/>
      <c r="F355" s="11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5"/>
      <c r="B356" s="5"/>
      <c r="C356" s="5"/>
      <c r="D356" s="5"/>
      <c r="E356" s="223"/>
      <c r="F356" s="11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5"/>
      <c r="B357" s="5"/>
      <c r="C357" s="5"/>
      <c r="D357" s="5"/>
      <c r="E357" s="223"/>
      <c r="F357" s="11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5"/>
      <c r="B358" s="5"/>
      <c r="C358" s="5"/>
      <c r="D358" s="5"/>
      <c r="E358" s="223"/>
      <c r="F358" s="11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5"/>
      <c r="B359" s="5"/>
      <c r="C359" s="5"/>
      <c r="D359" s="5"/>
      <c r="E359" s="223"/>
      <c r="F359" s="11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5"/>
      <c r="B360" s="5"/>
      <c r="C360" s="5"/>
      <c r="D360" s="5"/>
      <c r="E360" s="223"/>
      <c r="F360" s="11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5"/>
      <c r="B361" s="5"/>
      <c r="C361" s="5"/>
      <c r="D361" s="5"/>
      <c r="E361" s="223"/>
      <c r="F361" s="11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5"/>
      <c r="B362" s="5"/>
      <c r="C362" s="5"/>
      <c r="D362" s="5"/>
      <c r="E362" s="223"/>
      <c r="F362" s="11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5"/>
      <c r="B363" s="5"/>
      <c r="C363" s="5"/>
      <c r="D363" s="5"/>
      <c r="E363" s="223"/>
      <c r="F363" s="11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5"/>
      <c r="B364" s="5"/>
      <c r="C364" s="5"/>
      <c r="D364" s="5"/>
      <c r="E364" s="223"/>
      <c r="F364" s="11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5"/>
      <c r="B365" s="5"/>
      <c r="C365" s="5"/>
      <c r="D365" s="5"/>
      <c r="E365" s="223"/>
      <c r="F365" s="11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5"/>
      <c r="B366" s="5"/>
      <c r="C366" s="5"/>
      <c r="D366" s="5"/>
      <c r="E366" s="223"/>
      <c r="F366" s="11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5"/>
      <c r="B367" s="5"/>
      <c r="C367" s="5"/>
      <c r="D367" s="5"/>
      <c r="E367" s="223"/>
      <c r="F367" s="11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5"/>
      <c r="B368" s="5"/>
      <c r="C368" s="5"/>
      <c r="D368" s="5"/>
      <c r="E368" s="223"/>
      <c r="F368" s="11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5"/>
      <c r="B369" s="5"/>
      <c r="C369" s="5"/>
      <c r="D369" s="5"/>
      <c r="E369" s="223"/>
      <c r="F369" s="11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5"/>
      <c r="B370" s="5"/>
      <c r="C370" s="5"/>
      <c r="D370" s="5"/>
      <c r="E370" s="223"/>
      <c r="F370" s="11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5"/>
      <c r="B371" s="5"/>
      <c r="C371" s="5"/>
      <c r="D371" s="5"/>
      <c r="E371" s="223"/>
      <c r="F371" s="11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5"/>
      <c r="B372" s="5"/>
      <c r="C372" s="5"/>
      <c r="D372" s="5"/>
      <c r="E372" s="223"/>
      <c r="F372" s="11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5"/>
      <c r="B373" s="5"/>
      <c r="C373" s="5"/>
      <c r="D373" s="5"/>
      <c r="E373" s="223"/>
      <c r="F373" s="11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5"/>
      <c r="B374" s="5"/>
      <c r="C374" s="5"/>
      <c r="D374" s="5"/>
      <c r="E374" s="223"/>
      <c r="F374" s="11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5"/>
      <c r="B375" s="5"/>
      <c r="C375" s="5"/>
      <c r="D375" s="5"/>
      <c r="E375" s="223"/>
      <c r="F375" s="11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5"/>
      <c r="B376" s="5"/>
      <c r="C376" s="5"/>
      <c r="D376" s="5"/>
      <c r="E376" s="223"/>
      <c r="F376" s="11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5"/>
      <c r="B377" s="5"/>
      <c r="C377" s="5"/>
      <c r="D377" s="5"/>
      <c r="E377" s="223"/>
      <c r="F377" s="11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5"/>
      <c r="B378" s="5"/>
      <c r="C378" s="5"/>
      <c r="D378" s="5"/>
      <c r="E378" s="223"/>
      <c r="F378" s="11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5"/>
      <c r="B379" s="5"/>
      <c r="C379" s="5"/>
      <c r="D379" s="5"/>
      <c r="E379" s="223"/>
      <c r="F379" s="11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5"/>
      <c r="B380" s="5"/>
      <c r="C380" s="5"/>
      <c r="D380" s="5"/>
      <c r="E380" s="223"/>
      <c r="F380" s="11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5"/>
      <c r="B381" s="5"/>
      <c r="C381" s="5"/>
      <c r="D381" s="5"/>
      <c r="E381" s="223"/>
      <c r="F381" s="11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5"/>
      <c r="B382" s="5"/>
      <c r="C382" s="5"/>
      <c r="D382" s="5"/>
      <c r="E382" s="223"/>
      <c r="F382" s="11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5"/>
      <c r="B383" s="5"/>
      <c r="C383" s="5"/>
      <c r="D383" s="5"/>
      <c r="E383" s="223"/>
      <c r="F383" s="11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5"/>
      <c r="B384" s="5"/>
      <c r="C384" s="5"/>
      <c r="D384" s="5"/>
      <c r="E384" s="223"/>
      <c r="F384" s="11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5"/>
      <c r="B385" s="5"/>
      <c r="C385" s="5"/>
      <c r="D385" s="5"/>
      <c r="E385" s="223"/>
      <c r="F385" s="11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5"/>
      <c r="B386" s="5"/>
      <c r="C386" s="5"/>
      <c r="D386" s="5"/>
      <c r="E386" s="223"/>
      <c r="F386" s="11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5"/>
      <c r="B387" s="5"/>
      <c r="C387" s="5"/>
      <c r="D387" s="5"/>
      <c r="E387" s="223"/>
      <c r="F387" s="11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5"/>
      <c r="B388" s="5"/>
      <c r="C388" s="5"/>
      <c r="D388" s="5"/>
      <c r="E388" s="223"/>
      <c r="F388" s="11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5"/>
      <c r="B389" s="5"/>
      <c r="C389" s="5"/>
      <c r="D389" s="5"/>
      <c r="E389" s="223"/>
      <c r="F389" s="11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5"/>
      <c r="B390" s="5"/>
      <c r="C390" s="5"/>
      <c r="D390" s="5"/>
      <c r="E390" s="223"/>
      <c r="F390" s="11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5"/>
      <c r="B391" s="5"/>
      <c r="C391" s="5"/>
      <c r="D391" s="5"/>
      <c r="E391" s="223"/>
      <c r="F391" s="11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5"/>
      <c r="B392" s="5"/>
      <c r="C392" s="5"/>
      <c r="D392" s="5"/>
      <c r="E392" s="223"/>
      <c r="F392" s="11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5"/>
      <c r="B393" s="5"/>
      <c r="C393" s="5"/>
      <c r="D393" s="5"/>
      <c r="E393" s="223"/>
      <c r="F393" s="11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5"/>
      <c r="B394" s="5"/>
      <c r="C394" s="5"/>
      <c r="D394" s="5"/>
      <c r="E394" s="223"/>
      <c r="F394" s="11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5"/>
      <c r="B395" s="5"/>
      <c r="C395" s="5"/>
      <c r="D395" s="5"/>
      <c r="E395" s="223"/>
      <c r="F395" s="11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5"/>
      <c r="B396" s="5"/>
      <c r="C396" s="5"/>
      <c r="D396" s="5"/>
      <c r="E396" s="223"/>
      <c r="F396" s="11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5"/>
      <c r="B397" s="5"/>
      <c r="C397" s="5"/>
      <c r="D397" s="5"/>
      <c r="E397" s="223"/>
      <c r="F397" s="11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5"/>
      <c r="B398" s="5"/>
      <c r="C398" s="5"/>
      <c r="D398" s="5"/>
      <c r="E398" s="223"/>
      <c r="F398" s="11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5"/>
      <c r="B399" s="5"/>
      <c r="C399" s="5"/>
      <c r="D399" s="5"/>
      <c r="E399" s="223"/>
      <c r="F399" s="11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5"/>
      <c r="B400" s="5"/>
      <c r="C400" s="5"/>
      <c r="D400" s="5"/>
      <c r="E400" s="223"/>
      <c r="F400" s="11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5"/>
      <c r="B401" s="5"/>
      <c r="C401" s="5"/>
      <c r="D401" s="5"/>
      <c r="E401" s="223"/>
      <c r="F401" s="11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5"/>
      <c r="B402" s="5"/>
      <c r="C402" s="5"/>
      <c r="D402" s="5"/>
      <c r="E402" s="223"/>
      <c r="F402" s="11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5"/>
      <c r="B403" s="5"/>
      <c r="C403" s="5"/>
      <c r="D403" s="5"/>
      <c r="E403" s="223"/>
      <c r="F403" s="11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5"/>
      <c r="B404" s="5"/>
      <c r="C404" s="5"/>
      <c r="D404" s="5"/>
      <c r="E404" s="223"/>
      <c r="F404" s="11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5"/>
      <c r="B405" s="5"/>
      <c r="C405" s="5"/>
      <c r="D405" s="5"/>
      <c r="E405" s="223"/>
      <c r="F405" s="11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5"/>
      <c r="B406" s="5"/>
      <c r="C406" s="5"/>
      <c r="D406" s="5"/>
      <c r="E406" s="223"/>
      <c r="F406" s="11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5"/>
      <c r="B407" s="5"/>
      <c r="C407" s="5"/>
      <c r="D407" s="5"/>
      <c r="E407" s="223"/>
      <c r="F407" s="11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5"/>
      <c r="B408" s="5"/>
      <c r="C408" s="5"/>
      <c r="D408" s="5"/>
      <c r="E408" s="223"/>
      <c r="F408" s="11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5"/>
      <c r="B409" s="5"/>
      <c r="C409" s="5"/>
      <c r="D409" s="5"/>
      <c r="E409" s="223"/>
      <c r="F409" s="11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5"/>
      <c r="B410" s="5"/>
      <c r="C410" s="5"/>
      <c r="D410" s="5"/>
      <c r="E410" s="223"/>
      <c r="F410" s="11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5"/>
      <c r="B411" s="5"/>
      <c r="C411" s="5"/>
      <c r="D411" s="5"/>
      <c r="E411" s="223"/>
      <c r="F411" s="11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5"/>
      <c r="B412" s="5"/>
      <c r="C412" s="5"/>
      <c r="D412" s="5"/>
      <c r="E412" s="223"/>
      <c r="F412" s="11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5"/>
      <c r="B413" s="5"/>
      <c r="C413" s="5"/>
      <c r="D413" s="5"/>
      <c r="E413" s="223"/>
      <c r="F413" s="11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5"/>
      <c r="B414" s="5"/>
      <c r="C414" s="5"/>
      <c r="D414" s="5"/>
      <c r="E414" s="223"/>
      <c r="F414" s="11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5"/>
      <c r="B415" s="5"/>
      <c r="C415" s="5"/>
      <c r="D415" s="5"/>
      <c r="E415" s="223"/>
      <c r="F415" s="11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5"/>
      <c r="B416" s="5"/>
      <c r="C416" s="5"/>
      <c r="D416" s="5"/>
      <c r="E416" s="223"/>
      <c r="F416" s="11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5"/>
      <c r="B417" s="5"/>
      <c r="C417" s="5"/>
      <c r="D417" s="5"/>
      <c r="E417" s="223"/>
      <c r="F417" s="11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5"/>
      <c r="B418" s="5"/>
      <c r="C418" s="5"/>
      <c r="D418" s="5"/>
      <c r="E418" s="223"/>
      <c r="F418" s="11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5"/>
      <c r="B419" s="5"/>
      <c r="C419" s="5"/>
      <c r="D419" s="5"/>
      <c r="E419" s="223"/>
      <c r="F419" s="11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5"/>
      <c r="B420" s="5"/>
      <c r="C420" s="5"/>
      <c r="D420" s="5"/>
      <c r="E420" s="223"/>
      <c r="F420" s="11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5"/>
      <c r="B421" s="5"/>
      <c r="C421" s="5"/>
      <c r="D421" s="5"/>
      <c r="E421" s="223"/>
      <c r="F421" s="11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5"/>
      <c r="B422" s="5"/>
      <c r="C422" s="5"/>
      <c r="D422" s="5"/>
      <c r="E422" s="223"/>
      <c r="F422" s="11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5"/>
      <c r="B423" s="5"/>
      <c r="C423" s="5"/>
      <c r="D423" s="5"/>
      <c r="E423" s="223"/>
      <c r="F423" s="11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5"/>
      <c r="B424" s="5"/>
      <c r="C424" s="5"/>
      <c r="D424" s="5"/>
      <c r="E424" s="223"/>
      <c r="F424" s="11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5"/>
      <c r="B425" s="5"/>
      <c r="C425" s="5"/>
      <c r="D425" s="5"/>
      <c r="E425" s="223"/>
      <c r="F425" s="11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5"/>
      <c r="B426" s="5"/>
      <c r="C426" s="5"/>
      <c r="D426" s="5"/>
      <c r="E426" s="223"/>
      <c r="F426" s="11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5"/>
      <c r="B427" s="5"/>
      <c r="C427" s="5"/>
      <c r="D427" s="5"/>
      <c r="E427" s="223"/>
      <c r="F427" s="11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5"/>
      <c r="B428" s="5"/>
      <c r="C428" s="5"/>
      <c r="D428" s="5"/>
      <c r="E428" s="223"/>
      <c r="F428" s="11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5"/>
      <c r="B429" s="5"/>
      <c r="C429" s="5"/>
      <c r="D429" s="5"/>
      <c r="E429" s="223"/>
      <c r="F429" s="11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5"/>
      <c r="B430" s="5"/>
      <c r="C430" s="5"/>
      <c r="D430" s="5"/>
      <c r="E430" s="223"/>
      <c r="F430" s="11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5"/>
      <c r="B431" s="5"/>
      <c r="C431" s="5"/>
      <c r="D431" s="5"/>
      <c r="E431" s="223"/>
      <c r="F431" s="11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5"/>
      <c r="B432" s="5"/>
      <c r="C432" s="5"/>
      <c r="D432" s="5"/>
      <c r="E432" s="223"/>
      <c r="F432" s="11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5"/>
      <c r="B433" s="5"/>
      <c r="C433" s="5"/>
      <c r="D433" s="5"/>
      <c r="E433" s="223"/>
      <c r="F433" s="11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5"/>
      <c r="B434" s="5"/>
      <c r="C434" s="5"/>
      <c r="D434" s="5"/>
      <c r="E434" s="223"/>
      <c r="F434" s="11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5"/>
      <c r="B435" s="5"/>
      <c r="C435" s="5"/>
      <c r="D435" s="5"/>
      <c r="E435" s="223"/>
      <c r="F435" s="11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5"/>
      <c r="B436" s="5"/>
      <c r="C436" s="5"/>
      <c r="D436" s="5"/>
      <c r="E436" s="223"/>
      <c r="F436" s="11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5"/>
      <c r="B437" s="5"/>
      <c r="C437" s="5"/>
      <c r="D437" s="5"/>
      <c r="E437" s="223"/>
      <c r="F437" s="11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5"/>
      <c r="B438" s="5"/>
      <c r="C438" s="5"/>
      <c r="D438" s="5"/>
      <c r="E438" s="223"/>
      <c r="F438" s="11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5"/>
      <c r="B439" s="5"/>
      <c r="C439" s="5"/>
      <c r="D439" s="5"/>
      <c r="E439" s="223"/>
      <c r="F439" s="11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5"/>
      <c r="B440" s="5"/>
      <c r="C440" s="5"/>
      <c r="D440" s="5"/>
      <c r="E440" s="223"/>
      <c r="F440" s="11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5"/>
      <c r="B441" s="5"/>
      <c r="C441" s="5"/>
      <c r="D441" s="5"/>
      <c r="E441" s="223"/>
      <c r="F441" s="11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5"/>
      <c r="B442" s="5"/>
      <c r="C442" s="5"/>
      <c r="D442" s="5"/>
      <c r="E442" s="223"/>
      <c r="F442" s="11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5"/>
      <c r="B443" s="5"/>
      <c r="C443" s="5"/>
      <c r="D443" s="5"/>
      <c r="E443" s="223"/>
      <c r="F443" s="11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5"/>
      <c r="B444" s="5"/>
      <c r="C444" s="5"/>
      <c r="D444" s="5"/>
      <c r="E444" s="223"/>
      <c r="F444" s="11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5"/>
      <c r="B445" s="5"/>
      <c r="C445" s="5"/>
      <c r="D445" s="5"/>
      <c r="E445" s="223"/>
      <c r="F445" s="11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5"/>
      <c r="B446" s="5"/>
      <c r="C446" s="5"/>
      <c r="D446" s="5"/>
      <c r="E446" s="223"/>
      <c r="F446" s="11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5"/>
      <c r="B447" s="5"/>
      <c r="C447" s="5"/>
      <c r="D447" s="5"/>
      <c r="E447" s="223"/>
      <c r="F447" s="11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5"/>
      <c r="B448" s="5"/>
      <c r="C448" s="5"/>
      <c r="D448" s="5"/>
      <c r="E448" s="223"/>
      <c r="F448" s="11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5"/>
      <c r="B449" s="5"/>
      <c r="C449" s="5"/>
      <c r="D449" s="5"/>
      <c r="E449" s="223"/>
      <c r="F449" s="11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5"/>
      <c r="B450" s="5"/>
      <c r="C450" s="5"/>
      <c r="D450" s="5"/>
      <c r="E450" s="223"/>
      <c r="F450" s="11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5"/>
      <c r="B451" s="5"/>
      <c r="C451" s="5"/>
      <c r="D451" s="5"/>
      <c r="E451" s="223"/>
      <c r="F451" s="11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5"/>
      <c r="B452" s="5"/>
      <c r="C452" s="5"/>
      <c r="D452" s="5"/>
      <c r="E452" s="223"/>
      <c r="F452" s="11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5"/>
      <c r="B453" s="5"/>
      <c r="C453" s="5"/>
      <c r="D453" s="5"/>
      <c r="E453" s="223"/>
      <c r="F453" s="11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5"/>
      <c r="B454" s="5"/>
      <c r="C454" s="5"/>
      <c r="D454" s="5"/>
      <c r="E454" s="223"/>
      <c r="F454" s="11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5"/>
      <c r="B455" s="5"/>
      <c r="C455" s="5"/>
      <c r="D455" s="5"/>
      <c r="E455" s="223"/>
      <c r="F455" s="11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5"/>
      <c r="B456" s="5"/>
      <c r="C456" s="5"/>
      <c r="D456" s="5"/>
      <c r="E456" s="223"/>
      <c r="F456" s="11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5"/>
      <c r="B457" s="5"/>
      <c r="C457" s="5"/>
      <c r="D457" s="5"/>
      <c r="E457" s="223"/>
      <c r="F457" s="11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5"/>
      <c r="B458" s="5"/>
      <c r="C458" s="5"/>
      <c r="D458" s="5"/>
      <c r="E458" s="223"/>
      <c r="F458" s="11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5"/>
      <c r="B459" s="5"/>
      <c r="C459" s="5"/>
      <c r="D459" s="5"/>
      <c r="E459" s="223"/>
      <c r="F459" s="11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5"/>
      <c r="B460" s="5"/>
      <c r="C460" s="5"/>
      <c r="D460" s="5"/>
      <c r="E460" s="223"/>
      <c r="F460" s="11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5"/>
      <c r="B461" s="5"/>
      <c r="C461" s="5"/>
      <c r="D461" s="5"/>
      <c r="E461" s="223"/>
      <c r="F461" s="11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5"/>
      <c r="B462" s="5"/>
      <c r="C462" s="5"/>
      <c r="D462" s="5"/>
      <c r="E462" s="223"/>
      <c r="F462" s="11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5"/>
      <c r="B463" s="5"/>
      <c r="C463" s="5"/>
      <c r="D463" s="5"/>
      <c r="E463" s="223"/>
      <c r="F463" s="11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5"/>
      <c r="B464" s="5"/>
      <c r="C464" s="5"/>
      <c r="D464" s="5"/>
      <c r="E464" s="223"/>
      <c r="F464" s="11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5"/>
      <c r="B465" s="5"/>
      <c r="C465" s="5"/>
      <c r="D465" s="5"/>
      <c r="E465" s="223"/>
      <c r="F465" s="11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5"/>
      <c r="B466" s="5"/>
      <c r="C466" s="5"/>
      <c r="D466" s="5"/>
      <c r="E466" s="223"/>
      <c r="F466" s="11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5"/>
      <c r="B467" s="5"/>
      <c r="C467" s="5"/>
      <c r="D467" s="5"/>
      <c r="E467" s="223"/>
      <c r="F467" s="11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5"/>
      <c r="B468" s="5"/>
      <c r="C468" s="5"/>
      <c r="D468" s="5"/>
      <c r="E468" s="223"/>
      <c r="F468" s="11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5"/>
      <c r="B469" s="5"/>
      <c r="C469" s="5"/>
      <c r="D469" s="5"/>
      <c r="E469" s="223"/>
      <c r="F469" s="11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5"/>
      <c r="B470" s="5"/>
      <c r="C470" s="5"/>
      <c r="D470" s="5"/>
      <c r="E470" s="223"/>
      <c r="F470" s="11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5"/>
      <c r="B471" s="5"/>
      <c r="C471" s="5"/>
      <c r="D471" s="5"/>
      <c r="E471" s="223"/>
      <c r="F471" s="11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5"/>
      <c r="B472" s="5"/>
      <c r="C472" s="5"/>
      <c r="D472" s="5"/>
      <c r="E472" s="223"/>
      <c r="F472" s="11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5"/>
      <c r="B473" s="5"/>
      <c r="C473" s="5"/>
      <c r="D473" s="5"/>
      <c r="E473" s="223"/>
      <c r="F473" s="11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5"/>
      <c r="B474" s="5"/>
      <c r="C474" s="5"/>
      <c r="D474" s="5"/>
      <c r="E474" s="223"/>
      <c r="F474" s="11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5"/>
      <c r="B475" s="5"/>
      <c r="C475" s="5"/>
      <c r="D475" s="5"/>
      <c r="E475" s="223"/>
      <c r="F475" s="11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5"/>
      <c r="B476" s="5"/>
      <c r="C476" s="5"/>
      <c r="D476" s="5"/>
      <c r="E476" s="223"/>
      <c r="F476" s="11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5"/>
      <c r="B477" s="5"/>
      <c r="C477" s="5"/>
      <c r="D477" s="5"/>
      <c r="E477" s="223"/>
      <c r="F477" s="11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5"/>
      <c r="B478" s="5"/>
      <c r="C478" s="5"/>
      <c r="D478" s="5"/>
      <c r="E478" s="223"/>
      <c r="F478" s="11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5"/>
      <c r="B479" s="5"/>
      <c r="C479" s="5"/>
      <c r="D479" s="5"/>
      <c r="E479" s="223"/>
      <c r="F479" s="11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5"/>
      <c r="B480" s="5"/>
      <c r="C480" s="5"/>
      <c r="D480" s="5"/>
      <c r="E480" s="223"/>
      <c r="F480" s="11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5"/>
      <c r="B481" s="5"/>
      <c r="C481" s="5"/>
      <c r="D481" s="5"/>
      <c r="E481" s="223"/>
      <c r="F481" s="11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5"/>
      <c r="B482" s="5"/>
      <c r="C482" s="5"/>
      <c r="D482" s="5"/>
      <c r="E482" s="223"/>
      <c r="F482" s="11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5"/>
      <c r="B483" s="5"/>
      <c r="C483" s="5"/>
      <c r="D483" s="5"/>
      <c r="E483" s="223"/>
      <c r="F483" s="11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5"/>
      <c r="B484" s="5"/>
      <c r="C484" s="5"/>
      <c r="D484" s="5"/>
      <c r="E484" s="223"/>
      <c r="F484" s="11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5"/>
      <c r="B485" s="5"/>
      <c r="C485" s="5"/>
      <c r="D485" s="5"/>
      <c r="E485" s="223"/>
      <c r="F485" s="11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5"/>
      <c r="B486" s="5"/>
      <c r="C486" s="5"/>
      <c r="D486" s="5"/>
      <c r="E486" s="223"/>
      <c r="F486" s="11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5"/>
      <c r="B487" s="5"/>
      <c r="C487" s="5"/>
      <c r="D487" s="5"/>
      <c r="E487" s="223"/>
      <c r="F487" s="11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5"/>
      <c r="B488" s="5"/>
      <c r="C488" s="5"/>
      <c r="D488" s="5"/>
      <c r="E488" s="223"/>
      <c r="F488" s="11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5"/>
      <c r="B489" s="5"/>
      <c r="C489" s="5"/>
      <c r="D489" s="5"/>
      <c r="E489" s="223"/>
      <c r="F489" s="11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5"/>
      <c r="B490" s="5"/>
      <c r="C490" s="5"/>
      <c r="D490" s="5"/>
      <c r="E490" s="223"/>
      <c r="F490" s="11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5"/>
      <c r="B491" s="5"/>
      <c r="C491" s="5"/>
      <c r="D491" s="5"/>
      <c r="E491" s="223"/>
      <c r="F491" s="11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5"/>
      <c r="B492" s="5"/>
      <c r="C492" s="5"/>
      <c r="D492" s="5"/>
      <c r="E492" s="223"/>
      <c r="F492" s="11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5"/>
      <c r="B493" s="5"/>
      <c r="C493" s="5"/>
      <c r="D493" s="5"/>
      <c r="E493" s="223"/>
      <c r="F493" s="11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5"/>
      <c r="B494" s="5"/>
      <c r="C494" s="5"/>
      <c r="D494" s="5"/>
      <c r="E494" s="223"/>
      <c r="F494" s="11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5"/>
      <c r="B495" s="5"/>
      <c r="C495" s="5"/>
      <c r="D495" s="5"/>
      <c r="E495" s="223"/>
      <c r="F495" s="11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5"/>
      <c r="B496" s="5"/>
      <c r="C496" s="5"/>
      <c r="D496" s="5"/>
      <c r="E496" s="223"/>
      <c r="F496" s="11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5"/>
      <c r="B497" s="5"/>
      <c r="C497" s="5"/>
      <c r="D497" s="5"/>
      <c r="E497" s="223"/>
      <c r="F497" s="11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5"/>
      <c r="B498" s="5"/>
      <c r="C498" s="5"/>
      <c r="D498" s="5"/>
      <c r="E498" s="223"/>
      <c r="F498" s="11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5"/>
      <c r="B499" s="5"/>
      <c r="C499" s="5"/>
      <c r="D499" s="5"/>
      <c r="E499" s="223"/>
      <c r="F499" s="11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5"/>
      <c r="B500" s="5"/>
      <c r="C500" s="5"/>
      <c r="D500" s="5"/>
      <c r="E500" s="223"/>
      <c r="F500" s="11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5"/>
      <c r="B501" s="5"/>
      <c r="C501" s="5"/>
      <c r="D501" s="5"/>
      <c r="E501" s="223"/>
      <c r="F501" s="11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5"/>
      <c r="B502" s="5"/>
      <c r="C502" s="5"/>
      <c r="D502" s="5"/>
      <c r="E502" s="223"/>
      <c r="F502" s="11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5"/>
      <c r="B503" s="5"/>
      <c r="C503" s="5"/>
      <c r="D503" s="5"/>
      <c r="E503" s="223"/>
      <c r="F503" s="11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5"/>
      <c r="B504" s="5"/>
      <c r="C504" s="5"/>
      <c r="D504" s="5"/>
      <c r="E504" s="223"/>
      <c r="F504" s="11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5"/>
      <c r="B505" s="5"/>
      <c r="C505" s="5"/>
      <c r="D505" s="5"/>
      <c r="E505" s="223"/>
      <c r="F505" s="11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5"/>
      <c r="B506" s="5"/>
      <c r="C506" s="5"/>
      <c r="D506" s="5"/>
      <c r="E506" s="223"/>
      <c r="F506" s="11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5"/>
      <c r="B507" s="5"/>
      <c r="C507" s="5"/>
      <c r="D507" s="5"/>
      <c r="E507" s="223"/>
      <c r="F507" s="11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5"/>
      <c r="B508" s="5"/>
      <c r="C508" s="5"/>
      <c r="D508" s="5"/>
      <c r="E508" s="223"/>
      <c r="F508" s="11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5"/>
      <c r="B509" s="5"/>
      <c r="C509" s="5"/>
      <c r="D509" s="5"/>
      <c r="E509" s="223"/>
      <c r="F509" s="11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5"/>
      <c r="B510" s="5"/>
      <c r="C510" s="5"/>
      <c r="D510" s="5"/>
      <c r="E510" s="223"/>
      <c r="F510" s="11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5"/>
      <c r="B511" s="5"/>
      <c r="C511" s="5"/>
      <c r="D511" s="5"/>
      <c r="E511" s="223"/>
      <c r="F511" s="11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5"/>
      <c r="B512" s="5"/>
      <c r="C512" s="5"/>
      <c r="D512" s="5"/>
      <c r="E512" s="223"/>
      <c r="F512" s="11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5"/>
      <c r="B513" s="5"/>
      <c r="C513" s="5"/>
      <c r="D513" s="5"/>
      <c r="E513" s="223"/>
      <c r="F513" s="11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5"/>
      <c r="B514" s="5"/>
      <c r="C514" s="5"/>
      <c r="D514" s="5"/>
      <c r="E514" s="223"/>
      <c r="F514" s="11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5"/>
      <c r="B515" s="5"/>
      <c r="C515" s="5"/>
      <c r="D515" s="5"/>
      <c r="E515" s="223"/>
      <c r="F515" s="11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5"/>
      <c r="B516" s="5"/>
      <c r="C516" s="5"/>
      <c r="D516" s="5"/>
      <c r="E516" s="223"/>
      <c r="F516" s="11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5"/>
      <c r="B517" s="5"/>
      <c r="C517" s="5"/>
      <c r="D517" s="5"/>
      <c r="E517" s="223"/>
      <c r="F517" s="11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5"/>
      <c r="B518" s="5"/>
      <c r="C518" s="5"/>
      <c r="D518" s="5"/>
      <c r="E518" s="223"/>
      <c r="F518" s="11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5"/>
      <c r="B519" s="5"/>
      <c r="C519" s="5"/>
      <c r="D519" s="5"/>
      <c r="E519" s="223"/>
      <c r="F519" s="11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5"/>
      <c r="B520" s="5"/>
      <c r="C520" s="5"/>
      <c r="D520" s="5"/>
      <c r="E520" s="223"/>
      <c r="F520" s="11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5"/>
      <c r="B521" s="5"/>
      <c r="C521" s="5"/>
      <c r="D521" s="5"/>
      <c r="E521" s="223"/>
      <c r="F521" s="11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5"/>
      <c r="B522" s="5"/>
      <c r="C522" s="5"/>
      <c r="D522" s="5"/>
      <c r="E522" s="223"/>
      <c r="F522" s="11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5"/>
      <c r="B523" s="5"/>
      <c r="C523" s="5"/>
      <c r="D523" s="5"/>
      <c r="E523" s="223"/>
      <c r="F523" s="11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5"/>
      <c r="B524" s="5"/>
      <c r="C524" s="5"/>
      <c r="D524" s="5"/>
      <c r="E524" s="223"/>
      <c r="F524" s="11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5"/>
      <c r="B525" s="5"/>
      <c r="C525" s="5"/>
      <c r="D525" s="5"/>
      <c r="E525" s="223"/>
      <c r="F525" s="11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5"/>
      <c r="B526" s="5"/>
      <c r="C526" s="5"/>
      <c r="D526" s="5"/>
      <c r="E526" s="223"/>
      <c r="F526" s="11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5"/>
      <c r="B527" s="5"/>
      <c r="C527" s="5"/>
      <c r="D527" s="5"/>
      <c r="E527" s="223"/>
      <c r="F527" s="11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5"/>
      <c r="B528" s="5"/>
      <c r="C528" s="5"/>
      <c r="D528" s="5"/>
      <c r="E528" s="223"/>
      <c r="F528" s="11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5"/>
      <c r="B529" s="5"/>
      <c r="C529" s="5"/>
      <c r="D529" s="5"/>
      <c r="E529" s="223"/>
      <c r="F529" s="11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5"/>
      <c r="B530" s="5"/>
      <c r="C530" s="5"/>
      <c r="D530" s="5"/>
      <c r="E530" s="223"/>
      <c r="F530" s="11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5"/>
      <c r="B531" s="5"/>
      <c r="C531" s="5"/>
      <c r="D531" s="5"/>
      <c r="E531" s="223"/>
      <c r="F531" s="11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5"/>
      <c r="B532" s="5"/>
      <c r="C532" s="5"/>
      <c r="D532" s="5"/>
      <c r="E532" s="223"/>
      <c r="F532" s="11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5"/>
      <c r="B533" s="5"/>
      <c r="C533" s="5"/>
      <c r="D533" s="5"/>
      <c r="E533" s="223"/>
      <c r="F533" s="11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5"/>
      <c r="B534" s="5"/>
      <c r="C534" s="5"/>
      <c r="D534" s="5"/>
      <c r="E534" s="223"/>
      <c r="F534" s="11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5"/>
      <c r="B535" s="5"/>
      <c r="C535" s="5"/>
      <c r="D535" s="5"/>
      <c r="E535" s="223"/>
      <c r="F535" s="11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5"/>
      <c r="B536" s="5"/>
      <c r="C536" s="5"/>
      <c r="D536" s="5"/>
      <c r="E536" s="223"/>
      <c r="F536" s="11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5"/>
      <c r="B537" s="5"/>
      <c r="C537" s="5"/>
      <c r="D537" s="5"/>
      <c r="E537" s="223"/>
      <c r="F537" s="11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5"/>
      <c r="B538" s="5"/>
      <c r="C538" s="5"/>
      <c r="D538" s="5"/>
      <c r="E538" s="223"/>
      <c r="F538" s="11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5"/>
      <c r="B539" s="5"/>
      <c r="C539" s="5"/>
      <c r="D539" s="5"/>
      <c r="E539" s="223"/>
      <c r="F539" s="11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5"/>
      <c r="B540" s="5"/>
      <c r="C540" s="5"/>
      <c r="D540" s="5"/>
      <c r="E540" s="223"/>
      <c r="F540" s="11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5"/>
      <c r="B541" s="5"/>
      <c r="C541" s="5"/>
      <c r="D541" s="5"/>
      <c r="E541" s="223"/>
      <c r="F541" s="11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5"/>
      <c r="B542" s="5"/>
      <c r="C542" s="5"/>
      <c r="D542" s="5"/>
      <c r="E542" s="223"/>
      <c r="F542" s="11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5"/>
      <c r="B543" s="5"/>
      <c r="C543" s="5"/>
      <c r="D543" s="5"/>
      <c r="E543" s="223"/>
      <c r="F543" s="11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5"/>
      <c r="B544" s="5"/>
      <c r="C544" s="5"/>
      <c r="D544" s="5"/>
      <c r="E544" s="223"/>
      <c r="F544" s="11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5"/>
      <c r="B545" s="5"/>
      <c r="C545" s="5"/>
      <c r="D545" s="5"/>
      <c r="E545" s="223"/>
      <c r="F545" s="11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5"/>
      <c r="B546" s="5"/>
      <c r="C546" s="5"/>
      <c r="D546" s="5"/>
      <c r="E546" s="223"/>
      <c r="F546" s="11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5"/>
      <c r="B547" s="5"/>
      <c r="C547" s="5"/>
      <c r="D547" s="5"/>
      <c r="E547" s="223"/>
      <c r="F547" s="11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5"/>
      <c r="B548" s="5"/>
      <c r="C548" s="5"/>
      <c r="D548" s="5"/>
      <c r="E548" s="223"/>
      <c r="F548" s="11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5"/>
      <c r="B549" s="5"/>
      <c r="C549" s="5"/>
      <c r="D549" s="5"/>
      <c r="E549" s="223"/>
      <c r="F549" s="11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5"/>
      <c r="B550" s="5"/>
      <c r="C550" s="5"/>
      <c r="D550" s="5"/>
      <c r="E550" s="223"/>
      <c r="F550" s="11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5"/>
      <c r="B551" s="5"/>
      <c r="C551" s="5"/>
      <c r="D551" s="5"/>
      <c r="E551" s="223"/>
      <c r="F551" s="11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5"/>
      <c r="B552" s="5"/>
      <c r="C552" s="5"/>
      <c r="D552" s="5"/>
      <c r="E552" s="223"/>
      <c r="F552" s="11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5"/>
      <c r="B553" s="5"/>
      <c r="C553" s="5"/>
      <c r="D553" s="5"/>
      <c r="E553" s="223"/>
      <c r="F553" s="11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5"/>
      <c r="B554" s="5"/>
      <c r="C554" s="5"/>
      <c r="D554" s="5"/>
      <c r="E554" s="223"/>
      <c r="F554" s="11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5"/>
      <c r="B555" s="5"/>
      <c r="C555" s="5"/>
      <c r="D555" s="5"/>
      <c r="E555" s="223"/>
      <c r="F555" s="11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5"/>
      <c r="B556" s="5"/>
      <c r="C556" s="5"/>
      <c r="D556" s="5"/>
      <c r="E556" s="223"/>
      <c r="F556" s="11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5"/>
      <c r="B557" s="5"/>
      <c r="C557" s="5"/>
      <c r="D557" s="5"/>
      <c r="E557" s="223"/>
      <c r="F557" s="11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5"/>
      <c r="B558" s="5"/>
      <c r="C558" s="5"/>
      <c r="D558" s="5"/>
      <c r="E558" s="223"/>
      <c r="F558" s="11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5"/>
      <c r="B559" s="5"/>
      <c r="C559" s="5"/>
      <c r="D559" s="5"/>
      <c r="E559" s="223"/>
      <c r="F559" s="11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5"/>
      <c r="B560" s="5"/>
      <c r="C560" s="5"/>
      <c r="D560" s="5"/>
      <c r="E560" s="223"/>
      <c r="F560" s="11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5"/>
      <c r="B561" s="5"/>
      <c r="C561" s="5"/>
      <c r="D561" s="5"/>
      <c r="E561" s="223"/>
      <c r="F561" s="11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5"/>
      <c r="B562" s="5"/>
      <c r="C562" s="5"/>
      <c r="D562" s="5"/>
      <c r="E562" s="223"/>
      <c r="F562" s="11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5"/>
      <c r="B563" s="5"/>
      <c r="C563" s="5"/>
      <c r="D563" s="5"/>
      <c r="E563" s="223"/>
      <c r="F563" s="11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5"/>
      <c r="B564" s="5"/>
      <c r="C564" s="5"/>
      <c r="D564" s="5"/>
      <c r="E564" s="223"/>
      <c r="F564" s="11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5"/>
      <c r="B565" s="5"/>
      <c r="C565" s="5"/>
      <c r="D565" s="5"/>
      <c r="E565" s="223"/>
      <c r="F565" s="11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5"/>
      <c r="B566" s="5"/>
      <c r="C566" s="5"/>
      <c r="D566" s="5"/>
      <c r="E566" s="223"/>
      <c r="F566" s="11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5"/>
      <c r="B567" s="5"/>
      <c r="C567" s="5"/>
      <c r="D567" s="5"/>
      <c r="E567" s="223"/>
      <c r="F567" s="11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5"/>
      <c r="B568" s="5"/>
      <c r="C568" s="5"/>
      <c r="D568" s="5"/>
      <c r="E568" s="223"/>
      <c r="F568" s="11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5"/>
      <c r="B569" s="5"/>
      <c r="C569" s="5"/>
      <c r="D569" s="5"/>
      <c r="E569" s="223"/>
      <c r="F569" s="11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5"/>
      <c r="B570" s="5"/>
      <c r="C570" s="5"/>
      <c r="D570" s="5"/>
      <c r="E570" s="223"/>
      <c r="F570" s="11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5"/>
      <c r="B571" s="5"/>
      <c r="C571" s="5"/>
      <c r="D571" s="5"/>
      <c r="E571" s="223"/>
      <c r="F571" s="11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5"/>
      <c r="B572" s="5"/>
      <c r="C572" s="5"/>
      <c r="D572" s="5"/>
      <c r="E572" s="223"/>
      <c r="F572" s="11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5"/>
      <c r="B573" s="5"/>
      <c r="C573" s="5"/>
      <c r="D573" s="5"/>
      <c r="E573" s="223"/>
      <c r="F573" s="11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5"/>
      <c r="B574" s="5"/>
      <c r="C574" s="5"/>
      <c r="D574" s="5"/>
      <c r="E574" s="223"/>
      <c r="F574" s="11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5"/>
      <c r="B575" s="5"/>
      <c r="C575" s="5"/>
      <c r="D575" s="5"/>
      <c r="E575" s="223"/>
      <c r="F575" s="11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5"/>
      <c r="B576" s="5"/>
      <c r="C576" s="5"/>
      <c r="D576" s="5"/>
      <c r="E576" s="223"/>
      <c r="F576" s="11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5"/>
      <c r="B577" s="5"/>
      <c r="C577" s="5"/>
      <c r="D577" s="5"/>
      <c r="E577" s="223"/>
      <c r="F577" s="11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5"/>
      <c r="B578" s="5"/>
      <c r="C578" s="5"/>
      <c r="D578" s="5"/>
      <c r="E578" s="223"/>
      <c r="F578" s="11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5"/>
      <c r="B579" s="5"/>
      <c r="C579" s="5"/>
      <c r="D579" s="5"/>
      <c r="E579" s="223"/>
      <c r="F579" s="11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5"/>
      <c r="B580" s="5"/>
      <c r="C580" s="5"/>
      <c r="D580" s="5"/>
      <c r="E580" s="223"/>
      <c r="F580" s="11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5"/>
      <c r="B581" s="5"/>
      <c r="C581" s="5"/>
      <c r="D581" s="5"/>
      <c r="E581" s="223"/>
      <c r="F581" s="11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5"/>
      <c r="B582" s="5"/>
      <c r="C582" s="5"/>
      <c r="D582" s="5"/>
      <c r="E582" s="223"/>
      <c r="F582" s="11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5"/>
      <c r="B583" s="5"/>
      <c r="C583" s="5"/>
      <c r="D583" s="5"/>
      <c r="E583" s="223"/>
      <c r="F583" s="11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5"/>
      <c r="B584" s="5"/>
      <c r="C584" s="5"/>
      <c r="D584" s="5"/>
      <c r="E584" s="223"/>
      <c r="F584" s="11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5"/>
      <c r="B585" s="5"/>
      <c r="C585" s="5"/>
      <c r="D585" s="5"/>
      <c r="E585" s="223"/>
      <c r="F585" s="11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5"/>
      <c r="B586" s="5"/>
      <c r="C586" s="5"/>
      <c r="D586" s="5"/>
      <c r="E586" s="223"/>
      <c r="F586" s="11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5"/>
      <c r="B587" s="5"/>
      <c r="C587" s="5"/>
      <c r="D587" s="5"/>
      <c r="E587" s="223"/>
      <c r="F587" s="11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5"/>
      <c r="B588" s="5"/>
      <c r="C588" s="5"/>
      <c r="D588" s="5"/>
      <c r="E588" s="223"/>
      <c r="F588" s="11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5"/>
      <c r="B589" s="5"/>
      <c r="C589" s="5"/>
      <c r="D589" s="5"/>
      <c r="E589" s="223"/>
      <c r="F589" s="11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5"/>
      <c r="B590" s="5"/>
      <c r="C590" s="5"/>
      <c r="D590" s="5"/>
      <c r="E590" s="223"/>
      <c r="F590" s="11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5"/>
      <c r="B591" s="5"/>
      <c r="C591" s="5"/>
      <c r="D591" s="5"/>
      <c r="E591" s="223"/>
      <c r="F591" s="11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5"/>
      <c r="B592" s="5"/>
      <c r="C592" s="5"/>
      <c r="D592" s="5"/>
      <c r="E592" s="223"/>
      <c r="F592" s="11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5"/>
      <c r="B593" s="5"/>
      <c r="C593" s="5"/>
      <c r="D593" s="5"/>
      <c r="E593" s="223"/>
      <c r="F593" s="11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5"/>
      <c r="B594" s="5"/>
      <c r="C594" s="5"/>
      <c r="D594" s="5"/>
      <c r="E594" s="223"/>
      <c r="F594" s="11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5"/>
      <c r="B595" s="5"/>
      <c r="C595" s="5"/>
      <c r="D595" s="5"/>
      <c r="E595" s="223"/>
      <c r="F595" s="11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5"/>
      <c r="B596" s="5"/>
      <c r="C596" s="5"/>
      <c r="D596" s="5"/>
      <c r="E596" s="223"/>
      <c r="F596" s="11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5"/>
      <c r="B597" s="5"/>
      <c r="C597" s="5"/>
      <c r="D597" s="5"/>
      <c r="E597" s="223"/>
      <c r="F597" s="11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5"/>
      <c r="B598" s="5"/>
      <c r="C598" s="5"/>
      <c r="D598" s="5"/>
      <c r="E598" s="223"/>
      <c r="F598" s="11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5"/>
      <c r="B599" s="5"/>
      <c r="C599" s="5"/>
      <c r="D599" s="5"/>
      <c r="E599" s="223"/>
      <c r="F599" s="11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5"/>
      <c r="B600" s="5"/>
      <c r="C600" s="5"/>
      <c r="D600" s="5"/>
      <c r="E600" s="223"/>
      <c r="F600" s="11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5"/>
      <c r="B601" s="5"/>
      <c r="C601" s="5"/>
      <c r="D601" s="5"/>
      <c r="E601" s="223"/>
      <c r="F601" s="11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5"/>
      <c r="B602" s="5"/>
      <c r="C602" s="5"/>
      <c r="D602" s="5"/>
      <c r="E602" s="223"/>
      <c r="F602" s="11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5"/>
      <c r="B603" s="5"/>
      <c r="C603" s="5"/>
      <c r="D603" s="5"/>
      <c r="E603" s="223"/>
      <c r="F603" s="11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5"/>
      <c r="B604" s="5"/>
      <c r="C604" s="5"/>
      <c r="D604" s="5"/>
      <c r="E604" s="223"/>
      <c r="F604" s="11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5"/>
      <c r="B605" s="5"/>
      <c r="C605" s="5"/>
      <c r="D605" s="5"/>
      <c r="E605" s="223"/>
      <c r="F605" s="11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5"/>
      <c r="B606" s="5"/>
      <c r="C606" s="5"/>
      <c r="D606" s="5"/>
      <c r="E606" s="223"/>
      <c r="F606" s="11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5"/>
      <c r="B607" s="5"/>
      <c r="C607" s="5"/>
      <c r="D607" s="5"/>
      <c r="E607" s="223"/>
      <c r="F607" s="11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5"/>
      <c r="B608" s="5"/>
      <c r="C608" s="5"/>
      <c r="D608" s="5"/>
      <c r="E608" s="223"/>
      <c r="F608" s="11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5"/>
      <c r="B609" s="5"/>
      <c r="C609" s="5"/>
      <c r="D609" s="5"/>
      <c r="E609" s="223"/>
      <c r="F609" s="11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5"/>
      <c r="B610" s="5"/>
      <c r="C610" s="5"/>
      <c r="D610" s="5"/>
      <c r="E610" s="223"/>
      <c r="F610" s="11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5"/>
      <c r="B611" s="5"/>
      <c r="C611" s="5"/>
      <c r="D611" s="5"/>
      <c r="E611" s="223"/>
      <c r="F611" s="11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5"/>
      <c r="B612" s="5"/>
      <c r="C612" s="5"/>
      <c r="D612" s="5"/>
      <c r="E612" s="223"/>
      <c r="F612" s="11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5"/>
      <c r="B613" s="5"/>
      <c r="C613" s="5"/>
      <c r="D613" s="5"/>
      <c r="E613" s="223"/>
      <c r="F613" s="11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5"/>
      <c r="B614" s="5"/>
      <c r="C614" s="5"/>
      <c r="D614" s="5"/>
      <c r="E614" s="223"/>
      <c r="F614" s="11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5"/>
      <c r="B615" s="5"/>
      <c r="C615" s="5"/>
      <c r="D615" s="5"/>
      <c r="E615" s="223"/>
      <c r="F615" s="11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5"/>
      <c r="B616" s="5"/>
      <c r="C616" s="5"/>
      <c r="D616" s="5"/>
      <c r="E616" s="223"/>
      <c r="F616" s="11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5"/>
      <c r="B617" s="5"/>
      <c r="C617" s="5"/>
      <c r="D617" s="5"/>
      <c r="E617" s="223"/>
      <c r="F617" s="11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5"/>
      <c r="B618" s="5"/>
      <c r="C618" s="5"/>
      <c r="D618" s="5"/>
      <c r="E618" s="223"/>
      <c r="F618" s="11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5"/>
      <c r="B619" s="5"/>
      <c r="C619" s="5"/>
      <c r="D619" s="5"/>
      <c r="E619" s="223"/>
      <c r="F619" s="11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5"/>
      <c r="B620" s="5"/>
      <c r="C620" s="5"/>
      <c r="D620" s="5"/>
      <c r="E620" s="223"/>
      <c r="F620" s="11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5"/>
      <c r="B621" s="5"/>
      <c r="C621" s="5"/>
      <c r="D621" s="5"/>
      <c r="E621" s="223"/>
      <c r="F621" s="11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5"/>
      <c r="B622" s="5"/>
      <c r="C622" s="5"/>
      <c r="D622" s="5"/>
      <c r="E622" s="223"/>
      <c r="F622" s="11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5"/>
      <c r="B623" s="5"/>
      <c r="C623" s="5"/>
      <c r="D623" s="5"/>
      <c r="E623" s="223"/>
      <c r="F623" s="11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5"/>
      <c r="B624" s="5"/>
      <c r="C624" s="5"/>
      <c r="D624" s="5"/>
      <c r="E624" s="223"/>
      <c r="F624" s="11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5"/>
      <c r="B625" s="5"/>
      <c r="C625" s="5"/>
      <c r="D625" s="5"/>
      <c r="E625" s="223"/>
      <c r="F625" s="11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5"/>
      <c r="B626" s="5"/>
      <c r="C626" s="5"/>
      <c r="D626" s="5"/>
      <c r="E626" s="223"/>
      <c r="F626" s="11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5"/>
      <c r="B627" s="5"/>
      <c r="C627" s="5"/>
      <c r="D627" s="5"/>
      <c r="E627" s="223"/>
      <c r="F627" s="11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5"/>
      <c r="B628" s="5"/>
      <c r="C628" s="5"/>
      <c r="D628" s="5"/>
      <c r="E628" s="223"/>
      <c r="F628" s="11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5"/>
      <c r="B629" s="5"/>
      <c r="C629" s="5"/>
      <c r="D629" s="5"/>
      <c r="E629" s="223"/>
      <c r="F629" s="11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5"/>
      <c r="B630" s="5"/>
      <c r="C630" s="5"/>
      <c r="D630" s="5"/>
      <c r="E630" s="223"/>
      <c r="F630" s="11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5"/>
      <c r="B631" s="5"/>
      <c r="C631" s="5"/>
      <c r="D631" s="5"/>
      <c r="E631" s="223"/>
      <c r="F631" s="11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5"/>
      <c r="B632" s="5"/>
      <c r="C632" s="5"/>
      <c r="D632" s="5"/>
      <c r="E632" s="223"/>
      <c r="F632" s="11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5"/>
      <c r="B633" s="5"/>
      <c r="C633" s="5"/>
      <c r="D633" s="5"/>
      <c r="E633" s="223"/>
      <c r="F633" s="11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5"/>
      <c r="B634" s="5"/>
      <c r="C634" s="5"/>
      <c r="D634" s="5"/>
      <c r="E634" s="223"/>
      <c r="F634" s="11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5"/>
      <c r="B635" s="5"/>
      <c r="C635" s="5"/>
      <c r="D635" s="5"/>
      <c r="E635" s="223"/>
      <c r="F635" s="11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5"/>
      <c r="B636" s="5"/>
      <c r="C636" s="5"/>
      <c r="D636" s="5"/>
      <c r="E636" s="223"/>
      <c r="F636" s="11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5"/>
      <c r="B637" s="5"/>
      <c r="C637" s="5"/>
      <c r="D637" s="5"/>
      <c r="E637" s="223"/>
      <c r="F637" s="11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5"/>
      <c r="B638" s="5"/>
      <c r="C638" s="5"/>
      <c r="D638" s="5"/>
      <c r="E638" s="223"/>
      <c r="F638" s="11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5"/>
      <c r="B639" s="5"/>
      <c r="C639" s="5"/>
      <c r="D639" s="5"/>
      <c r="E639" s="223"/>
      <c r="F639" s="11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5"/>
      <c r="B640" s="5"/>
      <c r="C640" s="5"/>
      <c r="D640" s="5"/>
      <c r="E640" s="223"/>
      <c r="F640" s="11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5"/>
      <c r="B641" s="5"/>
      <c r="C641" s="5"/>
      <c r="D641" s="5"/>
      <c r="E641" s="223"/>
      <c r="F641" s="11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5"/>
      <c r="B642" s="5"/>
      <c r="C642" s="5"/>
      <c r="D642" s="5"/>
      <c r="E642" s="223"/>
      <c r="F642" s="11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5"/>
      <c r="B643" s="5"/>
      <c r="C643" s="5"/>
      <c r="D643" s="5"/>
      <c r="E643" s="223"/>
      <c r="F643" s="11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5"/>
      <c r="B644" s="5"/>
      <c r="C644" s="5"/>
      <c r="D644" s="5"/>
      <c r="E644" s="223"/>
      <c r="F644" s="11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5"/>
      <c r="B645" s="5"/>
      <c r="C645" s="5"/>
      <c r="D645" s="5"/>
      <c r="E645" s="223"/>
      <c r="F645" s="11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5"/>
      <c r="B646" s="5"/>
      <c r="C646" s="5"/>
      <c r="D646" s="5"/>
      <c r="E646" s="223"/>
      <c r="F646" s="11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5"/>
      <c r="B647" s="5"/>
      <c r="C647" s="5"/>
      <c r="D647" s="5"/>
      <c r="E647" s="223"/>
      <c r="F647" s="11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5"/>
      <c r="B648" s="5"/>
      <c r="C648" s="5"/>
      <c r="D648" s="5"/>
      <c r="E648" s="223"/>
      <c r="F648" s="11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5"/>
      <c r="B649" s="5"/>
      <c r="C649" s="5"/>
      <c r="D649" s="5"/>
      <c r="E649" s="223"/>
      <c r="F649" s="11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5"/>
      <c r="B650" s="5"/>
      <c r="C650" s="5"/>
      <c r="D650" s="5"/>
      <c r="E650" s="223"/>
      <c r="F650" s="11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5"/>
      <c r="B651" s="5"/>
      <c r="C651" s="5"/>
      <c r="D651" s="5"/>
      <c r="E651" s="223"/>
      <c r="F651" s="11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5"/>
      <c r="B652" s="5"/>
      <c r="C652" s="5"/>
      <c r="D652" s="5"/>
      <c r="E652" s="223"/>
      <c r="F652" s="11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5"/>
      <c r="B653" s="5"/>
      <c r="C653" s="5"/>
      <c r="D653" s="5"/>
      <c r="E653" s="223"/>
      <c r="F653" s="11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5"/>
      <c r="B654" s="5"/>
      <c r="C654" s="5"/>
      <c r="D654" s="5"/>
      <c r="E654" s="223"/>
      <c r="F654" s="11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5"/>
      <c r="B655" s="5"/>
      <c r="C655" s="5"/>
      <c r="D655" s="5"/>
      <c r="E655" s="223"/>
      <c r="F655" s="11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5"/>
      <c r="B656" s="5"/>
      <c r="C656" s="5"/>
      <c r="D656" s="5"/>
      <c r="E656" s="223"/>
      <c r="F656" s="11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5"/>
      <c r="B657" s="5"/>
      <c r="C657" s="5"/>
      <c r="D657" s="5"/>
      <c r="E657" s="223"/>
      <c r="F657" s="11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5"/>
      <c r="B658" s="5"/>
      <c r="C658" s="5"/>
      <c r="D658" s="5"/>
      <c r="E658" s="223"/>
      <c r="F658" s="11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5"/>
      <c r="B659" s="5"/>
      <c r="C659" s="5"/>
      <c r="D659" s="5"/>
      <c r="E659" s="223"/>
      <c r="F659" s="11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5"/>
      <c r="B660" s="5"/>
      <c r="C660" s="5"/>
      <c r="D660" s="5"/>
      <c r="E660" s="223"/>
      <c r="F660" s="11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5"/>
      <c r="B661" s="5"/>
      <c r="C661" s="5"/>
      <c r="D661" s="5"/>
      <c r="E661" s="223"/>
      <c r="F661" s="11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5"/>
      <c r="B662" s="5"/>
      <c r="C662" s="5"/>
      <c r="D662" s="5"/>
      <c r="E662" s="223"/>
      <c r="F662" s="11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5"/>
      <c r="B663" s="5"/>
      <c r="C663" s="5"/>
      <c r="D663" s="5"/>
      <c r="E663" s="223"/>
      <c r="F663" s="11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5"/>
      <c r="B664" s="5"/>
      <c r="C664" s="5"/>
      <c r="D664" s="5"/>
      <c r="E664" s="223"/>
      <c r="F664" s="11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5"/>
      <c r="B665" s="5"/>
      <c r="C665" s="5"/>
      <c r="D665" s="5"/>
      <c r="E665" s="223"/>
      <c r="F665" s="11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5"/>
      <c r="B666" s="5"/>
      <c r="C666" s="5"/>
      <c r="D666" s="5"/>
      <c r="E666" s="223"/>
      <c r="F666" s="11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5"/>
      <c r="B667" s="5"/>
      <c r="C667" s="5"/>
      <c r="D667" s="5"/>
      <c r="E667" s="223"/>
      <c r="F667" s="11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5"/>
      <c r="B668" s="5"/>
      <c r="C668" s="5"/>
      <c r="D668" s="5"/>
      <c r="E668" s="223"/>
      <c r="F668" s="11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5"/>
      <c r="B669" s="5"/>
      <c r="C669" s="5"/>
      <c r="D669" s="5"/>
      <c r="E669" s="223"/>
      <c r="F669" s="11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5"/>
      <c r="B670" s="5"/>
      <c r="C670" s="5"/>
      <c r="D670" s="5"/>
      <c r="E670" s="223"/>
      <c r="F670" s="11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5"/>
      <c r="B671" s="5"/>
      <c r="C671" s="5"/>
      <c r="D671" s="5"/>
      <c r="E671" s="223"/>
      <c r="F671" s="11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5"/>
      <c r="B672" s="5"/>
      <c r="C672" s="5"/>
      <c r="D672" s="5"/>
      <c r="E672" s="223"/>
      <c r="F672" s="11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5"/>
      <c r="B673" s="5"/>
      <c r="C673" s="5"/>
      <c r="D673" s="5"/>
      <c r="E673" s="223"/>
      <c r="F673" s="11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5"/>
      <c r="B674" s="5"/>
      <c r="C674" s="5"/>
      <c r="D674" s="5"/>
      <c r="E674" s="223"/>
      <c r="F674" s="11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5"/>
      <c r="B675" s="5"/>
      <c r="C675" s="5"/>
      <c r="D675" s="5"/>
      <c r="E675" s="223"/>
      <c r="F675" s="11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5"/>
      <c r="B676" s="5"/>
      <c r="C676" s="5"/>
      <c r="D676" s="5"/>
      <c r="E676" s="223"/>
      <c r="F676" s="11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5"/>
      <c r="B677" s="5"/>
      <c r="C677" s="5"/>
      <c r="D677" s="5"/>
      <c r="E677" s="223"/>
      <c r="F677" s="11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5"/>
      <c r="B678" s="5"/>
      <c r="C678" s="5"/>
      <c r="D678" s="5"/>
      <c r="E678" s="223"/>
      <c r="F678" s="11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5"/>
      <c r="B679" s="5"/>
      <c r="C679" s="5"/>
      <c r="D679" s="5"/>
      <c r="E679" s="223"/>
      <c r="F679" s="11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5"/>
      <c r="B680" s="5"/>
      <c r="C680" s="5"/>
      <c r="D680" s="5"/>
      <c r="E680" s="223"/>
      <c r="F680" s="11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5"/>
      <c r="B681" s="5"/>
      <c r="C681" s="5"/>
      <c r="D681" s="5"/>
      <c r="E681" s="223"/>
      <c r="F681" s="11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5"/>
      <c r="B682" s="5"/>
      <c r="C682" s="5"/>
      <c r="D682" s="5"/>
      <c r="E682" s="223"/>
      <c r="F682" s="11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5"/>
      <c r="B683" s="5"/>
      <c r="C683" s="5"/>
      <c r="D683" s="5"/>
      <c r="E683" s="223"/>
      <c r="F683" s="11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5"/>
      <c r="B684" s="5"/>
      <c r="C684" s="5"/>
      <c r="D684" s="5"/>
      <c r="E684" s="223"/>
      <c r="F684" s="11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5"/>
      <c r="B685" s="5"/>
      <c r="C685" s="5"/>
      <c r="D685" s="5"/>
      <c r="E685" s="223"/>
      <c r="F685" s="11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5"/>
      <c r="B686" s="5"/>
      <c r="C686" s="5"/>
      <c r="D686" s="5"/>
      <c r="E686" s="223"/>
      <c r="F686" s="11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5"/>
      <c r="B687" s="5"/>
      <c r="C687" s="5"/>
      <c r="D687" s="5"/>
      <c r="E687" s="223"/>
      <c r="F687" s="11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5"/>
      <c r="B688" s="5"/>
      <c r="C688" s="5"/>
      <c r="D688" s="5"/>
      <c r="E688" s="223"/>
      <c r="F688" s="11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5"/>
      <c r="B689" s="5"/>
      <c r="C689" s="5"/>
      <c r="D689" s="5"/>
      <c r="E689" s="223"/>
      <c r="F689" s="11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5"/>
      <c r="B690" s="5"/>
      <c r="C690" s="5"/>
      <c r="D690" s="5"/>
      <c r="E690" s="223"/>
      <c r="F690" s="11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5"/>
      <c r="B691" s="5"/>
      <c r="C691" s="5"/>
      <c r="D691" s="5"/>
      <c r="E691" s="223"/>
      <c r="F691" s="11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5"/>
      <c r="B692" s="5"/>
      <c r="C692" s="5"/>
      <c r="D692" s="5"/>
      <c r="E692" s="223"/>
      <c r="F692" s="11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5"/>
      <c r="B693" s="5"/>
      <c r="C693" s="5"/>
      <c r="D693" s="5"/>
      <c r="E693" s="223"/>
      <c r="F693" s="11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5"/>
      <c r="B694" s="5"/>
      <c r="C694" s="5"/>
      <c r="D694" s="5"/>
      <c r="E694" s="223"/>
      <c r="F694" s="11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5"/>
      <c r="B695" s="5"/>
      <c r="C695" s="5"/>
      <c r="D695" s="5"/>
      <c r="E695" s="223"/>
      <c r="F695" s="11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5"/>
      <c r="B696" s="5"/>
      <c r="C696" s="5"/>
      <c r="D696" s="5"/>
      <c r="E696" s="223"/>
      <c r="F696" s="11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5"/>
      <c r="B697" s="5"/>
      <c r="C697" s="5"/>
      <c r="D697" s="5"/>
      <c r="E697" s="223"/>
      <c r="F697" s="11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5"/>
      <c r="B698" s="5"/>
      <c r="C698" s="5"/>
      <c r="D698" s="5"/>
      <c r="E698" s="223"/>
      <c r="F698" s="11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5"/>
      <c r="B699" s="5"/>
      <c r="C699" s="5"/>
      <c r="D699" s="5"/>
      <c r="E699" s="223"/>
      <c r="F699" s="11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5"/>
      <c r="B700" s="5"/>
      <c r="C700" s="5"/>
      <c r="D700" s="5"/>
      <c r="E700" s="223"/>
      <c r="F700" s="11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5"/>
      <c r="B701" s="5"/>
      <c r="C701" s="5"/>
      <c r="D701" s="5"/>
      <c r="E701" s="223"/>
      <c r="F701" s="11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5"/>
      <c r="B702" s="5"/>
      <c r="C702" s="5"/>
      <c r="D702" s="5"/>
      <c r="E702" s="223"/>
      <c r="F702" s="11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5"/>
      <c r="B703" s="5"/>
      <c r="C703" s="5"/>
      <c r="D703" s="5"/>
      <c r="E703" s="223"/>
      <c r="F703" s="11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5"/>
      <c r="B704" s="5"/>
      <c r="C704" s="5"/>
      <c r="D704" s="5"/>
      <c r="E704" s="223"/>
      <c r="F704" s="11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5"/>
      <c r="B705" s="5"/>
      <c r="C705" s="5"/>
      <c r="D705" s="5"/>
      <c r="E705" s="223"/>
      <c r="F705" s="11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5"/>
      <c r="B706" s="5"/>
      <c r="C706" s="5"/>
      <c r="D706" s="5"/>
      <c r="E706" s="223"/>
      <c r="F706" s="11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5"/>
      <c r="B707" s="5"/>
      <c r="C707" s="5"/>
      <c r="D707" s="5"/>
      <c r="E707" s="223"/>
      <c r="F707" s="11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5"/>
      <c r="B708" s="5"/>
      <c r="C708" s="5"/>
      <c r="D708" s="5"/>
      <c r="E708" s="223"/>
      <c r="F708" s="11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5"/>
      <c r="B709" s="5"/>
      <c r="C709" s="5"/>
      <c r="D709" s="5"/>
      <c r="E709" s="223"/>
      <c r="F709" s="11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5"/>
      <c r="B710" s="5"/>
      <c r="C710" s="5"/>
      <c r="D710" s="5"/>
      <c r="E710" s="223"/>
      <c r="F710" s="11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5"/>
      <c r="B711" s="5"/>
      <c r="C711" s="5"/>
      <c r="D711" s="5"/>
      <c r="E711" s="223"/>
      <c r="F711" s="11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5"/>
      <c r="B712" s="5"/>
      <c r="C712" s="5"/>
      <c r="D712" s="5"/>
      <c r="E712" s="223"/>
      <c r="F712" s="11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5"/>
      <c r="B713" s="5"/>
      <c r="C713" s="5"/>
      <c r="D713" s="5"/>
      <c r="E713" s="223"/>
      <c r="F713" s="11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5"/>
      <c r="B714" s="5"/>
      <c r="C714" s="5"/>
      <c r="D714" s="5"/>
      <c r="E714" s="223"/>
      <c r="F714" s="11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5"/>
      <c r="B715" s="5"/>
      <c r="C715" s="5"/>
      <c r="D715" s="5"/>
      <c r="E715" s="223"/>
      <c r="F715" s="11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5"/>
      <c r="B716" s="5"/>
      <c r="C716" s="5"/>
      <c r="D716" s="5"/>
      <c r="E716" s="223"/>
      <c r="F716" s="11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5"/>
      <c r="B717" s="5"/>
      <c r="C717" s="5"/>
      <c r="D717" s="5"/>
      <c r="E717" s="223"/>
      <c r="F717" s="11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5"/>
      <c r="B718" s="5"/>
      <c r="C718" s="5"/>
      <c r="D718" s="5"/>
      <c r="E718" s="223"/>
      <c r="F718" s="11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5"/>
      <c r="B719" s="5"/>
      <c r="C719" s="5"/>
      <c r="D719" s="5"/>
      <c r="E719" s="223"/>
      <c r="F719" s="11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5"/>
      <c r="B720" s="5"/>
      <c r="C720" s="5"/>
      <c r="D720" s="5"/>
      <c r="E720" s="223"/>
      <c r="F720" s="11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5"/>
      <c r="B721" s="5"/>
      <c r="C721" s="5"/>
      <c r="D721" s="5"/>
      <c r="E721" s="223"/>
      <c r="F721" s="11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5"/>
      <c r="B722" s="5"/>
      <c r="C722" s="5"/>
      <c r="D722" s="5"/>
      <c r="E722" s="223"/>
      <c r="F722" s="11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5"/>
      <c r="B723" s="5"/>
      <c r="C723" s="5"/>
      <c r="D723" s="5"/>
      <c r="E723" s="223"/>
      <c r="F723" s="11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5"/>
      <c r="B724" s="5"/>
      <c r="C724" s="5"/>
      <c r="D724" s="5"/>
      <c r="E724" s="223"/>
      <c r="F724" s="11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5"/>
      <c r="B725" s="5"/>
      <c r="C725" s="5"/>
      <c r="D725" s="5"/>
      <c r="E725" s="223"/>
      <c r="F725" s="11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5"/>
      <c r="B726" s="5"/>
      <c r="C726" s="5"/>
      <c r="D726" s="5"/>
      <c r="E726" s="223"/>
      <c r="F726" s="11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5"/>
      <c r="B727" s="5"/>
      <c r="C727" s="5"/>
      <c r="D727" s="5"/>
      <c r="E727" s="223"/>
      <c r="F727" s="11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5"/>
      <c r="B728" s="5"/>
      <c r="C728" s="5"/>
      <c r="D728" s="5"/>
      <c r="E728" s="223"/>
      <c r="F728" s="11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5"/>
      <c r="B729" s="5"/>
      <c r="C729" s="5"/>
      <c r="D729" s="5"/>
      <c r="E729" s="223"/>
      <c r="F729" s="11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5"/>
      <c r="B730" s="5"/>
      <c r="C730" s="5"/>
      <c r="D730" s="5"/>
      <c r="E730" s="223"/>
      <c r="F730" s="11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5"/>
      <c r="B731" s="5"/>
      <c r="C731" s="5"/>
      <c r="D731" s="5"/>
      <c r="E731" s="223"/>
      <c r="F731" s="11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5"/>
      <c r="B732" s="5"/>
      <c r="C732" s="5"/>
      <c r="D732" s="5"/>
      <c r="E732" s="223"/>
      <c r="F732" s="11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5"/>
      <c r="B733" s="5"/>
      <c r="C733" s="5"/>
      <c r="D733" s="5"/>
      <c r="E733" s="223"/>
      <c r="F733" s="11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5"/>
      <c r="B734" s="5"/>
      <c r="C734" s="5"/>
      <c r="D734" s="5"/>
      <c r="E734" s="223"/>
      <c r="F734" s="11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5"/>
      <c r="B735" s="5"/>
      <c r="C735" s="5"/>
      <c r="D735" s="5"/>
      <c r="E735" s="223"/>
      <c r="F735" s="11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5"/>
      <c r="B736" s="5"/>
      <c r="C736" s="5"/>
      <c r="D736" s="5"/>
      <c r="E736" s="223"/>
      <c r="F736" s="11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5"/>
      <c r="B737" s="5"/>
      <c r="C737" s="5"/>
      <c r="D737" s="5"/>
      <c r="E737" s="223"/>
      <c r="F737" s="11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5"/>
      <c r="B738" s="5"/>
      <c r="C738" s="5"/>
      <c r="D738" s="5"/>
      <c r="E738" s="223"/>
      <c r="F738" s="11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5"/>
      <c r="B739" s="5"/>
      <c r="C739" s="5"/>
      <c r="D739" s="5"/>
      <c r="E739" s="223"/>
      <c r="F739" s="11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5"/>
      <c r="B740" s="5"/>
      <c r="C740" s="5"/>
      <c r="D740" s="5"/>
      <c r="E740" s="223"/>
      <c r="F740" s="11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5"/>
      <c r="B741" s="5"/>
      <c r="C741" s="5"/>
      <c r="D741" s="5"/>
      <c r="E741" s="223"/>
      <c r="F741" s="11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5"/>
      <c r="B742" s="5"/>
      <c r="C742" s="5"/>
      <c r="D742" s="5"/>
      <c r="E742" s="223"/>
      <c r="F742" s="11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5"/>
      <c r="B743" s="5"/>
      <c r="C743" s="5"/>
      <c r="D743" s="5"/>
      <c r="E743" s="223"/>
      <c r="F743" s="11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5"/>
      <c r="B744" s="5"/>
      <c r="C744" s="5"/>
      <c r="D744" s="5"/>
      <c r="E744" s="223"/>
      <c r="F744" s="11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5"/>
      <c r="B745" s="5"/>
      <c r="C745" s="5"/>
      <c r="D745" s="5"/>
      <c r="E745" s="223"/>
      <c r="F745" s="11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5"/>
      <c r="B746" s="5"/>
      <c r="C746" s="5"/>
      <c r="D746" s="5"/>
      <c r="E746" s="223"/>
      <c r="F746" s="11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5"/>
      <c r="B747" s="5"/>
      <c r="C747" s="5"/>
      <c r="D747" s="5"/>
      <c r="E747" s="223"/>
      <c r="F747" s="11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5"/>
      <c r="B748" s="5"/>
      <c r="C748" s="5"/>
      <c r="D748" s="5"/>
      <c r="E748" s="223"/>
      <c r="F748" s="11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5"/>
      <c r="B749" s="5"/>
      <c r="C749" s="5"/>
      <c r="D749" s="5"/>
      <c r="E749" s="223"/>
      <c r="F749" s="11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5"/>
      <c r="B750" s="5"/>
      <c r="C750" s="5"/>
      <c r="D750" s="5"/>
      <c r="E750" s="223"/>
      <c r="F750" s="11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5"/>
      <c r="B751" s="5"/>
      <c r="C751" s="5"/>
      <c r="D751" s="5"/>
      <c r="E751" s="223"/>
      <c r="F751" s="11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5"/>
      <c r="B752" s="5"/>
      <c r="C752" s="5"/>
      <c r="D752" s="5"/>
      <c r="E752" s="223"/>
      <c r="F752" s="11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5"/>
      <c r="B753" s="5"/>
      <c r="C753" s="5"/>
      <c r="D753" s="5"/>
      <c r="E753" s="223"/>
      <c r="F753" s="11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5"/>
      <c r="B754" s="5"/>
      <c r="C754" s="5"/>
      <c r="D754" s="5"/>
      <c r="E754" s="223"/>
      <c r="F754" s="11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5"/>
      <c r="B755" s="5"/>
      <c r="C755" s="5"/>
      <c r="D755" s="5"/>
      <c r="E755" s="223"/>
      <c r="F755" s="11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5"/>
      <c r="B756" s="5"/>
      <c r="C756" s="5"/>
      <c r="D756" s="5"/>
      <c r="E756" s="223"/>
      <c r="F756" s="11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5"/>
      <c r="B757" s="5"/>
      <c r="C757" s="5"/>
      <c r="D757" s="5"/>
      <c r="E757" s="223"/>
      <c r="F757" s="11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5"/>
      <c r="B758" s="5"/>
      <c r="C758" s="5"/>
      <c r="D758" s="5"/>
      <c r="E758" s="223"/>
      <c r="F758" s="11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5"/>
      <c r="B759" s="5"/>
      <c r="C759" s="5"/>
      <c r="D759" s="5"/>
      <c r="E759" s="223"/>
      <c r="F759" s="11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5"/>
      <c r="B760" s="5"/>
      <c r="C760" s="5"/>
      <c r="D760" s="5"/>
      <c r="E760" s="223"/>
      <c r="F760" s="11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5"/>
      <c r="B761" s="5"/>
      <c r="C761" s="5"/>
      <c r="D761" s="5"/>
      <c r="E761" s="223"/>
      <c r="F761" s="11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5"/>
      <c r="B762" s="5"/>
      <c r="C762" s="5"/>
      <c r="D762" s="5"/>
      <c r="E762" s="223"/>
      <c r="F762" s="11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5"/>
      <c r="B763" s="5"/>
      <c r="C763" s="5"/>
      <c r="D763" s="5"/>
      <c r="E763" s="223"/>
      <c r="F763" s="11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5"/>
      <c r="B764" s="5"/>
      <c r="C764" s="5"/>
      <c r="D764" s="5"/>
      <c r="E764" s="223"/>
      <c r="F764" s="11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5"/>
      <c r="B765" s="5"/>
      <c r="C765" s="5"/>
      <c r="D765" s="5"/>
      <c r="E765" s="223"/>
      <c r="F765" s="11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5"/>
      <c r="B766" s="5"/>
      <c r="C766" s="5"/>
      <c r="D766" s="5"/>
      <c r="E766" s="223"/>
      <c r="F766" s="11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5"/>
      <c r="B767" s="5"/>
      <c r="C767" s="5"/>
      <c r="D767" s="5"/>
      <c r="E767" s="223"/>
      <c r="F767" s="11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5"/>
      <c r="B768" s="5"/>
      <c r="C768" s="5"/>
      <c r="D768" s="5"/>
      <c r="E768" s="223"/>
      <c r="F768" s="11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5"/>
      <c r="B769" s="5"/>
      <c r="C769" s="5"/>
      <c r="D769" s="5"/>
      <c r="E769" s="223"/>
      <c r="F769" s="11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5"/>
      <c r="B770" s="5"/>
      <c r="C770" s="5"/>
      <c r="D770" s="5"/>
      <c r="E770" s="223"/>
      <c r="F770" s="11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5"/>
      <c r="B771" s="5"/>
      <c r="C771" s="5"/>
      <c r="D771" s="5"/>
      <c r="E771" s="223"/>
      <c r="F771" s="11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5"/>
      <c r="B772" s="5"/>
      <c r="C772" s="5"/>
      <c r="D772" s="5"/>
      <c r="E772" s="223"/>
      <c r="F772" s="11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5"/>
      <c r="B773" s="5"/>
      <c r="C773" s="5"/>
      <c r="D773" s="5"/>
      <c r="E773" s="223"/>
      <c r="F773" s="11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5"/>
      <c r="B774" s="5"/>
      <c r="C774" s="5"/>
      <c r="D774" s="5"/>
      <c r="E774" s="223"/>
      <c r="F774" s="11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5"/>
      <c r="B775" s="5"/>
      <c r="C775" s="5"/>
      <c r="D775" s="5"/>
      <c r="E775" s="223"/>
      <c r="F775" s="11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5"/>
      <c r="B776" s="5"/>
      <c r="C776" s="5"/>
      <c r="D776" s="5"/>
      <c r="E776" s="223"/>
      <c r="F776" s="11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5"/>
      <c r="B777" s="5"/>
      <c r="C777" s="5"/>
      <c r="D777" s="5"/>
      <c r="E777" s="223"/>
      <c r="F777" s="11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5"/>
      <c r="B778" s="5"/>
      <c r="C778" s="5"/>
      <c r="D778" s="5"/>
      <c r="E778" s="223"/>
      <c r="F778" s="11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5"/>
      <c r="B779" s="5"/>
      <c r="C779" s="5"/>
      <c r="D779" s="5"/>
      <c r="E779" s="223"/>
      <c r="F779" s="11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5"/>
      <c r="B780" s="5"/>
      <c r="C780" s="5"/>
      <c r="D780" s="5"/>
      <c r="E780" s="223"/>
      <c r="F780" s="11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5"/>
      <c r="B781" s="5"/>
      <c r="C781" s="5"/>
      <c r="D781" s="5"/>
      <c r="E781" s="223"/>
      <c r="F781" s="11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5"/>
      <c r="B782" s="5"/>
      <c r="C782" s="5"/>
      <c r="D782" s="5"/>
      <c r="E782" s="223"/>
      <c r="F782" s="11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5"/>
      <c r="B783" s="5"/>
      <c r="C783" s="5"/>
      <c r="D783" s="5"/>
      <c r="E783" s="223"/>
      <c r="F783" s="11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5"/>
      <c r="B784" s="5"/>
      <c r="C784" s="5"/>
      <c r="D784" s="5"/>
      <c r="E784" s="223"/>
      <c r="F784" s="11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5"/>
      <c r="B785" s="5"/>
      <c r="C785" s="5"/>
      <c r="D785" s="5"/>
      <c r="E785" s="223"/>
      <c r="F785" s="11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5"/>
      <c r="B786" s="5"/>
      <c r="C786" s="5"/>
      <c r="D786" s="5"/>
      <c r="E786" s="223"/>
      <c r="F786" s="11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5"/>
      <c r="B787" s="5"/>
      <c r="C787" s="5"/>
      <c r="D787" s="5"/>
      <c r="E787" s="223"/>
      <c r="F787" s="11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5"/>
      <c r="B788" s="5"/>
      <c r="C788" s="5"/>
      <c r="D788" s="5"/>
      <c r="E788" s="223"/>
      <c r="F788" s="11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5"/>
      <c r="B789" s="5"/>
      <c r="C789" s="5"/>
      <c r="D789" s="5"/>
      <c r="E789" s="223"/>
      <c r="F789" s="11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5"/>
      <c r="B790" s="5"/>
      <c r="C790" s="5"/>
      <c r="D790" s="5"/>
      <c r="E790" s="223"/>
      <c r="F790" s="11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5"/>
      <c r="B791" s="5"/>
      <c r="C791" s="5"/>
      <c r="D791" s="5"/>
      <c r="E791" s="223"/>
      <c r="F791" s="11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5"/>
      <c r="B792" s="5"/>
      <c r="C792" s="5"/>
      <c r="D792" s="5"/>
      <c r="E792" s="223"/>
      <c r="F792" s="11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5"/>
      <c r="B793" s="5"/>
      <c r="C793" s="5"/>
      <c r="D793" s="5"/>
      <c r="E793" s="223"/>
      <c r="F793" s="11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5"/>
      <c r="B794" s="5"/>
      <c r="C794" s="5"/>
      <c r="D794" s="5"/>
      <c r="E794" s="223"/>
      <c r="F794" s="11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5"/>
      <c r="B795" s="5"/>
      <c r="C795" s="5"/>
      <c r="D795" s="5"/>
      <c r="E795" s="223"/>
      <c r="F795" s="11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5"/>
      <c r="B796" s="5"/>
      <c r="C796" s="5"/>
      <c r="D796" s="5"/>
      <c r="E796" s="223"/>
      <c r="F796" s="11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5"/>
      <c r="B797" s="5"/>
      <c r="C797" s="5"/>
      <c r="D797" s="5"/>
      <c r="E797" s="223"/>
      <c r="F797" s="11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5"/>
      <c r="B798" s="5"/>
      <c r="C798" s="5"/>
      <c r="D798" s="5"/>
      <c r="E798" s="223"/>
      <c r="F798" s="11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5"/>
      <c r="B799" s="5"/>
      <c r="C799" s="5"/>
      <c r="D799" s="5"/>
      <c r="E799" s="223"/>
      <c r="F799" s="11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5"/>
      <c r="B800" s="5"/>
      <c r="C800" s="5"/>
      <c r="D800" s="5"/>
      <c r="E800" s="223"/>
      <c r="F800" s="11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5"/>
      <c r="B801" s="5"/>
      <c r="C801" s="5"/>
      <c r="D801" s="5"/>
      <c r="E801" s="223"/>
      <c r="F801" s="11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5"/>
      <c r="B802" s="5"/>
      <c r="C802" s="5"/>
      <c r="D802" s="5"/>
      <c r="E802" s="223"/>
      <c r="F802" s="11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5"/>
      <c r="B803" s="5"/>
      <c r="C803" s="5"/>
      <c r="D803" s="5"/>
      <c r="E803" s="223"/>
      <c r="F803" s="11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5"/>
      <c r="B804" s="5"/>
      <c r="C804" s="5"/>
      <c r="D804" s="5"/>
      <c r="E804" s="223"/>
      <c r="F804" s="11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5"/>
      <c r="B805" s="5"/>
      <c r="C805" s="5"/>
      <c r="D805" s="5"/>
      <c r="E805" s="223"/>
      <c r="F805" s="11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5"/>
      <c r="B806" s="5"/>
      <c r="C806" s="5"/>
      <c r="D806" s="5"/>
      <c r="E806" s="223"/>
      <c r="F806" s="11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5"/>
      <c r="B807" s="5"/>
      <c r="C807" s="5"/>
      <c r="D807" s="5"/>
      <c r="E807" s="223"/>
      <c r="F807" s="11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5"/>
      <c r="B808" s="5"/>
      <c r="C808" s="5"/>
      <c r="D808" s="5"/>
      <c r="E808" s="223"/>
      <c r="F808" s="11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5"/>
      <c r="B809" s="5"/>
      <c r="C809" s="5"/>
      <c r="D809" s="5"/>
      <c r="E809" s="223"/>
      <c r="F809" s="11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5"/>
      <c r="B810" s="5"/>
      <c r="C810" s="5"/>
      <c r="D810" s="5"/>
      <c r="E810" s="223"/>
      <c r="F810" s="11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5"/>
      <c r="B811" s="5"/>
      <c r="C811" s="5"/>
      <c r="D811" s="5"/>
      <c r="E811" s="223"/>
      <c r="F811" s="11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5"/>
      <c r="B812" s="5"/>
      <c r="C812" s="5"/>
      <c r="D812" s="5"/>
      <c r="E812" s="223"/>
      <c r="F812" s="11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5"/>
      <c r="B813" s="5"/>
      <c r="C813" s="5"/>
      <c r="D813" s="5"/>
      <c r="E813" s="223"/>
      <c r="F813" s="11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5"/>
      <c r="B814" s="5"/>
      <c r="C814" s="5"/>
      <c r="D814" s="5"/>
      <c r="E814" s="223"/>
      <c r="F814" s="11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5"/>
      <c r="B815" s="5"/>
      <c r="C815" s="5"/>
      <c r="D815" s="5"/>
      <c r="E815" s="223"/>
      <c r="F815" s="11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5"/>
      <c r="B816" s="5"/>
      <c r="C816" s="5"/>
      <c r="D816" s="5"/>
      <c r="E816" s="223"/>
      <c r="F816" s="11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5"/>
      <c r="B817" s="5"/>
      <c r="C817" s="5"/>
      <c r="D817" s="5"/>
      <c r="E817" s="223"/>
      <c r="F817" s="11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5"/>
      <c r="B818" s="5"/>
      <c r="C818" s="5"/>
      <c r="D818" s="5"/>
      <c r="E818" s="223"/>
      <c r="F818" s="11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5"/>
      <c r="B819" s="5"/>
      <c r="C819" s="5"/>
      <c r="D819" s="5"/>
      <c r="E819" s="223"/>
      <c r="F819" s="11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5"/>
      <c r="B820" s="5"/>
      <c r="C820" s="5"/>
      <c r="D820" s="5"/>
      <c r="E820" s="223"/>
      <c r="F820" s="11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5"/>
      <c r="B821" s="5"/>
      <c r="C821" s="5"/>
      <c r="D821" s="5"/>
      <c r="E821" s="223"/>
      <c r="F821" s="11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5"/>
      <c r="B822" s="5"/>
      <c r="C822" s="5"/>
      <c r="D822" s="5"/>
      <c r="E822" s="223"/>
      <c r="F822" s="11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5"/>
      <c r="B823" s="5"/>
      <c r="C823" s="5"/>
      <c r="D823" s="5"/>
      <c r="E823" s="223"/>
      <c r="F823" s="11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5"/>
      <c r="B824" s="5"/>
      <c r="C824" s="5"/>
      <c r="D824" s="5"/>
      <c r="E824" s="223"/>
      <c r="F824" s="11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5"/>
      <c r="B825" s="5"/>
      <c r="C825" s="5"/>
      <c r="D825" s="5"/>
      <c r="E825" s="223"/>
      <c r="F825" s="11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5"/>
      <c r="B826" s="5"/>
      <c r="C826" s="5"/>
      <c r="D826" s="5"/>
      <c r="E826" s="223"/>
      <c r="F826" s="11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5"/>
      <c r="B827" s="5"/>
      <c r="C827" s="5"/>
      <c r="D827" s="5"/>
      <c r="E827" s="223"/>
      <c r="F827" s="11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5"/>
      <c r="B828" s="5"/>
      <c r="C828" s="5"/>
      <c r="D828" s="5"/>
      <c r="E828" s="223"/>
      <c r="F828" s="11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5"/>
      <c r="B829" s="5"/>
      <c r="C829" s="5"/>
      <c r="D829" s="5"/>
      <c r="E829" s="223"/>
      <c r="F829" s="11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5"/>
      <c r="B830" s="5"/>
      <c r="C830" s="5"/>
      <c r="D830" s="5"/>
      <c r="E830" s="223"/>
      <c r="F830" s="11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5"/>
      <c r="B831" s="5"/>
      <c r="C831" s="5"/>
      <c r="D831" s="5"/>
      <c r="E831" s="223"/>
      <c r="F831" s="11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5"/>
      <c r="B832" s="5"/>
      <c r="C832" s="5"/>
      <c r="D832" s="5"/>
      <c r="E832" s="223"/>
      <c r="F832" s="11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5"/>
      <c r="B833" s="5"/>
      <c r="C833" s="5"/>
      <c r="D833" s="5"/>
      <c r="E833" s="223"/>
      <c r="F833" s="11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5"/>
      <c r="B834" s="5"/>
      <c r="C834" s="5"/>
      <c r="D834" s="5"/>
      <c r="E834" s="223"/>
      <c r="F834" s="11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5"/>
      <c r="B835" s="5"/>
      <c r="C835" s="5"/>
      <c r="D835" s="5"/>
      <c r="E835" s="223"/>
      <c r="F835" s="11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5"/>
      <c r="B836" s="5"/>
      <c r="C836" s="5"/>
      <c r="D836" s="5"/>
      <c r="E836" s="223"/>
      <c r="F836" s="11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5"/>
      <c r="B837" s="5"/>
      <c r="C837" s="5"/>
      <c r="D837" s="5"/>
      <c r="E837" s="223"/>
      <c r="F837" s="11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5"/>
      <c r="B838" s="5"/>
      <c r="C838" s="5"/>
      <c r="D838" s="5"/>
      <c r="E838" s="223"/>
      <c r="F838" s="11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5"/>
      <c r="B839" s="5"/>
      <c r="C839" s="5"/>
      <c r="D839" s="5"/>
      <c r="E839" s="223"/>
      <c r="F839" s="11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5"/>
      <c r="B840" s="5"/>
      <c r="C840" s="5"/>
      <c r="D840" s="5"/>
      <c r="E840" s="223"/>
      <c r="F840" s="11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5"/>
      <c r="B841" s="5"/>
      <c r="C841" s="5"/>
      <c r="D841" s="5"/>
      <c r="E841" s="223"/>
      <c r="F841" s="11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5"/>
      <c r="B842" s="5"/>
      <c r="C842" s="5"/>
      <c r="D842" s="5"/>
      <c r="E842" s="223"/>
      <c r="F842" s="11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5"/>
      <c r="B843" s="5"/>
      <c r="C843" s="5"/>
      <c r="D843" s="5"/>
      <c r="E843" s="223"/>
      <c r="F843" s="11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5"/>
      <c r="B844" s="5"/>
      <c r="C844" s="5"/>
      <c r="D844" s="5"/>
      <c r="E844" s="223"/>
      <c r="F844" s="11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5"/>
      <c r="B845" s="5"/>
      <c r="C845" s="5"/>
      <c r="D845" s="5"/>
      <c r="E845" s="223"/>
      <c r="F845" s="11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5"/>
      <c r="B846" s="5"/>
      <c r="C846" s="5"/>
      <c r="D846" s="5"/>
      <c r="E846" s="223"/>
      <c r="F846" s="11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5"/>
      <c r="B847" s="5"/>
      <c r="C847" s="5"/>
      <c r="D847" s="5"/>
      <c r="E847" s="223"/>
      <c r="F847" s="11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5"/>
      <c r="B848" s="5"/>
      <c r="C848" s="5"/>
      <c r="D848" s="5"/>
      <c r="E848" s="223"/>
      <c r="F848" s="11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5"/>
      <c r="B849" s="5"/>
      <c r="C849" s="5"/>
      <c r="D849" s="5"/>
      <c r="E849" s="223"/>
      <c r="F849" s="11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5"/>
      <c r="B850" s="5"/>
      <c r="C850" s="5"/>
      <c r="D850" s="5"/>
      <c r="E850" s="223"/>
      <c r="F850" s="11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5"/>
      <c r="B851" s="5"/>
      <c r="C851" s="5"/>
      <c r="D851" s="5"/>
      <c r="E851" s="223"/>
      <c r="F851" s="11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5"/>
      <c r="B852" s="5"/>
      <c r="C852" s="5"/>
      <c r="D852" s="5"/>
      <c r="E852" s="223"/>
      <c r="F852" s="11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5"/>
      <c r="B853" s="5"/>
      <c r="C853" s="5"/>
      <c r="D853" s="5"/>
      <c r="E853" s="223"/>
      <c r="F853" s="11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5"/>
      <c r="B854" s="5"/>
      <c r="C854" s="5"/>
      <c r="D854" s="5"/>
      <c r="E854" s="223"/>
      <c r="F854" s="11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5"/>
      <c r="B855" s="5"/>
      <c r="C855" s="5"/>
      <c r="D855" s="5"/>
      <c r="E855" s="223"/>
      <c r="F855" s="11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5"/>
      <c r="B856" s="5"/>
      <c r="C856" s="5"/>
      <c r="D856" s="5"/>
      <c r="E856" s="223"/>
      <c r="F856" s="11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5"/>
      <c r="B857" s="5"/>
      <c r="C857" s="5"/>
      <c r="D857" s="5"/>
      <c r="E857" s="223"/>
      <c r="F857" s="11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5"/>
      <c r="B858" s="5"/>
      <c r="C858" s="5"/>
      <c r="D858" s="5"/>
      <c r="E858" s="223"/>
      <c r="F858" s="11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5"/>
      <c r="B859" s="5"/>
      <c r="C859" s="5"/>
      <c r="D859" s="5"/>
      <c r="E859" s="223"/>
      <c r="F859" s="11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5"/>
      <c r="B860" s="5"/>
      <c r="C860" s="5"/>
      <c r="D860" s="5"/>
      <c r="E860" s="223"/>
      <c r="F860" s="11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5"/>
      <c r="B861" s="5"/>
      <c r="C861" s="5"/>
      <c r="D861" s="5"/>
      <c r="E861" s="223"/>
      <c r="F861" s="11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5"/>
      <c r="B862" s="5"/>
      <c r="C862" s="5"/>
      <c r="D862" s="5"/>
      <c r="E862" s="223"/>
      <c r="F862" s="11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5"/>
      <c r="B863" s="5"/>
      <c r="C863" s="5"/>
      <c r="D863" s="5"/>
      <c r="E863" s="223"/>
      <c r="F863" s="11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5"/>
      <c r="B864" s="5"/>
      <c r="C864" s="5"/>
      <c r="D864" s="5"/>
      <c r="E864" s="223"/>
      <c r="F864" s="11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5"/>
      <c r="B865" s="5"/>
      <c r="C865" s="5"/>
      <c r="D865" s="5"/>
      <c r="E865" s="223"/>
      <c r="F865" s="11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5"/>
      <c r="B866" s="5"/>
      <c r="C866" s="5"/>
      <c r="D866" s="5"/>
      <c r="E866" s="223"/>
      <c r="F866" s="11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5"/>
      <c r="B867" s="5"/>
      <c r="C867" s="5"/>
      <c r="D867" s="5"/>
      <c r="E867" s="223"/>
      <c r="F867" s="11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5"/>
      <c r="B868" s="5"/>
      <c r="C868" s="5"/>
      <c r="D868" s="5"/>
      <c r="E868" s="223"/>
      <c r="F868" s="11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5"/>
      <c r="B869" s="5"/>
      <c r="C869" s="5"/>
      <c r="D869" s="5"/>
      <c r="E869" s="223"/>
      <c r="F869" s="11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5"/>
      <c r="B870" s="5"/>
      <c r="C870" s="5"/>
      <c r="D870" s="5"/>
      <c r="E870" s="223"/>
      <c r="F870" s="11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5"/>
      <c r="B871" s="5"/>
      <c r="C871" s="5"/>
      <c r="D871" s="5"/>
      <c r="E871" s="223"/>
      <c r="F871" s="11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5"/>
      <c r="B872" s="5"/>
      <c r="C872" s="5"/>
      <c r="D872" s="5"/>
      <c r="E872" s="223"/>
      <c r="F872" s="11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5"/>
      <c r="B873" s="5"/>
      <c r="C873" s="5"/>
      <c r="D873" s="5"/>
      <c r="E873" s="223"/>
      <c r="F873" s="11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5"/>
      <c r="B874" s="5"/>
      <c r="C874" s="5"/>
      <c r="D874" s="5"/>
      <c r="E874" s="223"/>
      <c r="F874" s="11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5"/>
      <c r="B875" s="5"/>
      <c r="C875" s="5"/>
      <c r="D875" s="5"/>
      <c r="E875" s="223"/>
      <c r="F875" s="11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5"/>
      <c r="B876" s="5"/>
      <c r="C876" s="5"/>
      <c r="D876" s="5"/>
      <c r="E876" s="223"/>
      <c r="F876" s="11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5"/>
      <c r="B877" s="5"/>
      <c r="C877" s="5"/>
      <c r="D877" s="5"/>
      <c r="E877" s="223"/>
      <c r="F877" s="11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5"/>
      <c r="B878" s="5"/>
      <c r="C878" s="5"/>
      <c r="D878" s="5"/>
      <c r="E878" s="223"/>
      <c r="F878" s="11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5"/>
      <c r="B879" s="5"/>
      <c r="C879" s="5"/>
      <c r="D879" s="5"/>
      <c r="E879" s="223"/>
      <c r="F879" s="11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5"/>
      <c r="B880" s="5"/>
      <c r="C880" s="5"/>
      <c r="D880" s="5"/>
      <c r="E880" s="223"/>
      <c r="F880" s="11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5"/>
      <c r="B881" s="5"/>
      <c r="C881" s="5"/>
      <c r="D881" s="5"/>
      <c r="E881" s="223"/>
      <c r="F881" s="11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5"/>
      <c r="B882" s="5"/>
      <c r="C882" s="5"/>
      <c r="D882" s="5"/>
      <c r="E882" s="223"/>
      <c r="F882" s="11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5"/>
      <c r="B883" s="5"/>
      <c r="C883" s="5"/>
      <c r="D883" s="5"/>
      <c r="E883" s="223"/>
      <c r="F883" s="11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5"/>
      <c r="B884" s="5"/>
      <c r="C884" s="5"/>
      <c r="D884" s="5"/>
      <c r="E884" s="223"/>
      <c r="F884" s="11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5"/>
      <c r="B885" s="5"/>
      <c r="C885" s="5"/>
      <c r="D885" s="5"/>
      <c r="E885" s="223"/>
      <c r="F885" s="11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5"/>
      <c r="B886" s="5"/>
      <c r="C886" s="5"/>
      <c r="D886" s="5"/>
      <c r="E886" s="223"/>
      <c r="F886" s="11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5"/>
      <c r="B887" s="5"/>
      <c r="C887" s="5"/>
      <c r="D887" s="5"/>
      <c r="E887" s="223"/>
      <c r="F887" s="11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5"/>
      <c r="B888" s="5"/>
      <c r="C888" s="5"/>
      <c r="D888" s="5"/>
      <c r="E888" s="223"/>
      <c r="F888" s="11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5"/>
      <c r="B889" s="5"/>
      <c r="C889" s="5"/>
      <c r="D889" s="5"/>
      <c r="E889" s="223"/>
      <c r="F889" s="11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5"/>
      <c r="B890" s="5"/>
      <c r="C890" s="5"/>
      <c r="D890" s="5"/>
      <c r="E890" s="223"/>
      <c r="F890" s="11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5"/>
      <c r="B891" s="5"/>
      <c r="C891" s="5"/>
      <c r="D891" s="5"/>
      <c r="E891" s="223"/>
      <c r="F891" s="11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5"/>
      <c r="B892" s="5"/>
      <c r="C892" s="5"/>
      <c r="D892" s="5"/>
      <c r="E892" s="223"/>
      <c r="F892" s="11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5"/>
      <c r="B893" s="5"/>
      <c r="C893" s="5"/>
      <c r="D893" s="5"/>
      <c r="E893" s="223"/>
      <c r="F893" s="11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5"/>
      <c r="B894" s="5"/>
      <c r="C894" s="5"/>
      <c r="D894" s="5"/>
      <c r="E894" s="223"/>
      <c r="F894" s="11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5"/>
      <c r="B895" s="5"/>
      <c r="C895" s="5"/>
      <c r="D895" s="5"/>
      <c r="E895" s="223"/>
      <c r="F895" s="11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5"/>
      <c r="B896" s="5"/>
      <c r="C896" s="5"/>
      <c r="D896" s="5"/>
      <c r="E896" s="223"/>
      <c r="F896" s="11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5"/>
      <c r="B897" s="5"/>
      <c r="C897" s="5"/>
      <c r="D897" s="5"/>
      <c r="E897" s="223"/>
      <c r="F897" s="11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5"/>
      <c r="B898" s="5"/>
      <c r="C898" s="5"/>
      <c r="D898" s="5"/>
      <c r="E898" s="223"/>
      <c r="F898" s="11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5"/>
      <c r="B899" s="5"/>
      <c r="C899" s="5"/>
      <c r="D899" s="5"/>
      <c r="E899" s="223"/>
      <c r="F899" s="11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5"/>
      <c r="B900" s="5"/>
      <c r="C900" s="5"/>
      <c r="D900" s="5"/>
      <c r="E900" s="223"/>
      <c r="F900" s="11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5"/>
      <c r="B901" s="5"/>
      <c r="C901" s="5"/>
      <c r="D901" s="5"/>
      <c r="E901" s="223"/>
      <c r="F901" s="11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5"/>
      <c r="B902" s="5"/>
      <c r="C902" s="5"/>
      <c r="D902" s="5"/>
      <c r="E902" s="223"/>
      <c r="F902" s="11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5"/>
      <c r="B903" s="5"/>
      <c r="C903" s="5"/>
      <c r="D903" s="5"/>
      <c r="E903" s="223"/>
      <c r="F903" s="11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5"/>
      <c r="B904" s="5"/>
      <c r="C904" s="5"/>
      <c r="D904" s="5"/>
      <c r="E904" s="223"/>
      <c r="F904" s="11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5"/>
      <c r="B905" s="5"/>
      <c r="C905" s="5"/>
      <c r="D905" s="5"/>
      <c r="E905" s="223"/>
      <c r="F905" s="11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5"/>
      <c r="B906" s="5"/>
      <c r="C906" s="5"/>
      <c r="D906" s="5"/>
      <c r="E906" s="223"/>
      <c r="F906" s="11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5"/>
      <c r="B907" s="5"/>
      <c r="C907" s="5"/>
      <c r="D907" s="5"/>
      <c r="E907" s="223"/>
      <c r="F907" s="11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5"/>
      <c r="B908" s="5"/>
      <c r="C908" s="5"/>
      <c r="D908" s="5"/>
      <c r="E908" s="223"/>
      <c r="F908" s="11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5"/>
      <c r="B909" s="5"/>
      <c r="C909" s="5"/>
      <c r="D909" s="5"/>
      <c r="E909" s="223"/>
      <c r="F909" s="11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5"/>
      <c r="B910" s="5"/>
      <c r="C910" s="5"/>
      <c r="D910" s="5"/>
      <c r="E910" s="223"/>
      <c r="F910" s="11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5"/>
      <c r="B911" s="5"/>
      <c r="C911" s="5"/>
      <c r="D911" s="5"/>
      <c r="E911" s="223"/>
      <c r="F911" s="11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5"/>
      <c r="B912" s="5"/>
      <c r="C912" s="5"/>
      <c r="D912" s="5"/>
      <c r="E912" s="223"/>
      <c r="F912" s="11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5"/>
      <c r="B913" s="5"/>
      <c r="C913" s="5"/>
      <c r="D913" s="5"/>
      <c r="E913" s="223"/>
      <c r="F913" s="11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5"/>
      <c r="B914" s="5"/>
      <c r="C914" s="5"/>
      <c r="D914" s="5"/>
      <c r="E914" s="223"/>
      <c r="F914" s="11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5"/>
      <c r="B915" s="5"/>
      <c r="C915" s="5"/>
      <c r="D915" s="5"/>
      <c r="E915" s="223"/>
      <c r="F915" s="11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5"/>
      <c r="B916" s="5"/>
      <c r="C916" s="5"/>
      <c r="D916" s="5"/>
      <c r="E916" s="223"/>
      <c r="F916" s="11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5"/>
      <c r="B917" s="5"/>
      <c r="C917" s="5"/>
      <c r="D917" s="5"/>
      <c r="E917" s="223"/>
      <c r="F917" s="11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5"/>
      <c r="B918" s="5"/>
      <c r="C918" s="5"/>
      <c r="D918" s="5"/>
      <c r="E918" s="223"/>
      <c r="F918" s="11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5"/>
      <c r="B919" s="5"/>
      <c r="C919" s="5"/>
      <c r="D919" s="5"/>
      <c r="E919" s="223"/>
      <c r="F919" s="11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5"/>
      <c r="B920" s="5"/>
      <c r="C920" s="5"/>
      <c r="D920" s="5"/>
      <c r="E920" s="223"/>
      <c r="F920" s="11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5"/>
      <c r="B921" s="5"/>
      <c r="C921" s="5"/>
      <c r="D921" s="5"/>
      <c r="E921" s="223"/>
      <c r="F921" s="11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5"/>
      <c r="B922" s="5"/>
      <c r="C922" s="5"/>
      <c r="D922" s="5"/>
      <c r="E922" s="223"/>
      <c r="F922" s="11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5"/>
      <c r="B923" s="5"/>
      <c r="C923" s="5"/>
      <c r="D923" s="5"/>
      <c r="E923" s="223"/>
      <c r="F923" s="11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5"/>
      <c r="B924" s="5"/>
      <c r="C924" s="5"/>
      <c r="D924" s="5"/>
      <c r="E924" s="223"/>
      <c r="F924" s="11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5"/>
      <c r="B925" s="5"/>
      <c r="C925" s="5"/>
      <c r="D925" s="5"/>
      <c r="E925" s="223"/>
      <c r="F925" s="11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5"/>
      <c r="B926" s="5"/>
      <c r="C926" s="5"/>
      <c r="D926" s="5"/>
      <c r="E926" s="223"/>
      <c r="F926" s="11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5"/>
      <c r="B927" s="5"/>
      <c r="C927" s="5"/>
      <c r="D927" s="5"/>
      <c r="E927" s="223"/>
      <c r="F927" s="11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5"/>
      <c r="B928" s="5"/>
      <c r="C928" s="5"/>
      <c r="D928" s="5"/>
      <c r="E928" s="223"/>
      <c r="F928" s="11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5"/>
      <c r="B929" s="5"/>
      <c r="C929" s="5"/>
      <c r="D929" s="5"/>
      <c r="E929" s="223"/>
      <c r="F929" s="11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5"/>
      <c r="B930" s="5"/>
      <c r="C930" s="5"/>
      <c r="D930" s="5"/>
      <c r="E930" s="223"/>
      <c r="F930" s="11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5"/>
      <c r="B931" s="5"/>
      <c r="C931" s="5"/>
      <c r="D931" s="5"/>
      <c r="E931" s="223"/>
      <c r="F931" s="11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5"/>
      <c r="B932" s="5"/>
      <c r="C932" s="5"/>
      <c r="D932" s="5"/>
      <c r="E932" s="223"/>
      <c r="F932" s="11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5"/>
      <c r="B933" s="5"/>
      <c r="C933" s="5"/>
      <c r="D933" s="5"/>
      <c r="E933" s="223"/>
      <c r="F933" s="11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5"/>
      <c r="B934" s="5"/>
      <c r="C934" s="5"/>
      <c r="D934" s="5"/>
      <c r="E934" s="223"/>
      <c r="F934" s="11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5"/>
      <c r="B935" s="5"/>
      <c r="C935" s="5"/>
      <c r="D935" s="5"/>
      <c r="E935" s="223"/>
      <c r="F935" s="11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5"/>
      <c r="B936" s="5"/>
      <c r="C936" s="5"/>
      <c r="D936" s="5"/>
      <c r="E936" s="223"/>
      <c r="F936" s="11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5"/>
      <c r="B937" s="5"/>
      <c r="C937" s="5"/>
      <c r="D937" s="5"/>
      <c r="E937" s="223"/>
      <c r="F937" s="11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5"/>
      <c r="B938" s="5"/>
      <c r="C938" s="5"/>
      <c r="D938" s="5"/>
      <c r="E938" s="223"/>
      <c r="F938" s="11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5"/>
      <c r="B939" s="5"/>
      <c r="C939" s="5"/>
      <c r="D939" s="5"/>
      <c r="E939" s="223"/>
      <c r="F939" s="11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5"/>
      <c r="B940" s="5"/>
      <c r="C940" s="5"/>
      <c r="D940" s="5"/>
      <c r="E940" s="223"/>
      <c r="F940" s="11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5"/>
      <c r="B941" s="5"/>
      <c r="C941" s="5"/>
      <c r="D941" s="5"/>
      <c r="E941" s="223"/>
      <c r="F941" s="11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5"/>
      <c r="B942" s="5"/>
      <c r="C942" s="5"/>
      <c r="D942" s="5"/>
      <c r="E942" s="223"/>
      <c r="F942" s="11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5"/>
      <c r="B943" s="5"/>
      <c r="C943" s="5"/>
      <c r="D943" s="5"/>
      <c r="E943" s="223"/>
      <c r="F943" s="11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5"/>
      <c r="B944" s="5"/>
      <c r="C944" s="5"/>
      <c r="D944" s="5"/>
      <c r="E944" s="223"/>
      <c r="F944" s="11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5"/>
      <c r="B945" s="5"/>
      <c r="C945" s="5"/>
      <c r="D945" s="5"/>
      <c r="E945" s="223"/>
      <c r="F945" s="11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5"/>
      <c r="B946" s="5"/>
      <c r="C946" s="5"/>
      <c r="D946" s="5"/>
      <c r="E946" s="223"/>
      <c r="F946" s="11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5"/>
      <c r="B947" s="5"/>
      <c r="C947" s="5"/>
      <c r="D947" s="5"/>
      <c r="E947" s="223"/>
      <c r="F947" s="11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5"/>
      <c r="B948" s="5"/>
      <c r="C948" s="5"/>
      <c r="D948" s="5"/>
      <c r="E948" s="223"/>
      <c r="F948" s="11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5"/>
      <c r="B949" s="5"/>
      <c r="C949" s="5"/>
      <c r="D949" s="5"/>
      <c r="E949" s="223"/>
      <c r="F949" s="11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5"/>
      <c r="B950" s="5"/>
      <c r="C950" s="5"/>
      <c r="D950" s="5"/>
      <c r="E950" s="223"/>
      <c r="F950" s="11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5"/>
      <c r="B951" s="5"/>
      <c r="C951" s="5"/>
      <c r="D951" s="5"/>
      <c r="E951" s="223"/>
      <c r="F951" s="11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5"/>
      <c r="B952" s="5"/>
      <c r="C952" s="5"/>
      <c r="D952" s="5"/>
      <c r="E952" s="223"/>
      <c r="F952" s="11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5"/>
      <c r="B953" s="5"/>
      <c r="C953" s="5"/>
      <c r="D953" s="5"/>
      <c r="E953" s="223"/>
      <c r="F953" s="11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5"/>
      <c r="B954" s="5"/>
      <c r="C954" s="5"/>
      <c r="D954" s="5"/>
      <c r="E954" s="223"/>
      <c r="F954" s="11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5"/>
      <c r="B955" s="5"/>
      <c r="C955" s="5"/>
      <c r="D955" s="5"/>
      <c r="E955" s="223"/>
      <c r="F955" s="11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5"/>
      <c r="B956" s="5"/>
      <c r="C956" s="5"/>
      <c r="D956" s="5"/>
      <c r="E956" s="223"/>
      <c r="F956" s="11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5"/>
      <c r="B957" s="5"/>
      <c r="C957" s="5"/>
      <c r="D957" s="5"/>
      <c r="E957" s="223"/>
      <c r="F957" s="11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5"/>
      <c r="B958" s="5"/>
      <c r="C958" s="5"/>
      <c r="D958" s="5"/>
      <c r="E958" s="223"/>
      <c r="F958" s="11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5"/>
      <c r="B959" s="5"/>
      <c r="C959" s="5"/>
      <c r="D959" s="5"/>
      <c r="E959" s="223"/>
      <c r="F959" s="11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5"/>
      <c r="B960" s="5"/>
      <c r="C960" s="5"/>
      <c r="D960" s="5"/>
      <c r="E960" s="223"/>
      <c r="F960" s="11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5"/>
      <c r="B961" s="5"/>
      <c r="C961" s="5"/>
      <c r="D961" s="5"/>
      <c r="E961" s="223"/>
      <c r="F961" s="11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5"/>
      <c r="B962" s="5"/>
      <c r="C962" s="5"/>
      <c r="D962" s="5"/>
      <c r="E962" s="223"/>
      <c r="F962" s="11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5"/>
      <c r="B963" s="5"/>
      <c r="C963" s="5"/>
      <c r="D963" s="5"/>
      <c r="E963" s="223"/>
      <c r="F963" s="11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5"/>
      <c r="B964" s="5"/>
      <c r="C964" s="5"/>
      <c r="D964" s="5"/>
      <c r="E964" s="223"/>
      <c r="F964" s="11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5"/>
      <c r="B965" s="5"/>
      <c r="C965" s="5"/>
      <c r="D965" s="5"/>
      <c r="E965" s="223"/>
      <c r="F965" s="11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5"/>
      <c r="B966" s="5"/>
      <c r="C966" s="5"/>
      <c r="D966" s="5"/>
      <c r="E966" s="223"/>
      <c r="F966" s="11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5"/>
      <c r="B967" s="5"/>
      <c r="C967" s="5"/>
      <c r="D967" s="5"/>
      <c r="E967" s="223"/>
      <c r="F967" s="11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5"/>
      <c r="B968" s="5"/>
      <c r="C968" s="5"/>
      <c r="D968" s="5"/>
      <c r="E968" s="223"/>
      <c r="F968" s="11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5"/>
      <c r="B969" s="5"/>
      <c r="C969" s="5"/>
      <c r="D969" s="5"/>
      <c r="E969" s="223"/>
      <c r="F969" s="11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5"/>
      <c r="B970" s="5"/>
      <c r="C970" s="5"/>
      <c r="D970" s="5"/>
      <c r="E970" s="223"/>
      <c r="F970" s="11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5"/>
      <c r="B971" s="5"/>
      <c r="C971" s="5"/>
      <c r="D971" s="5"/>
      <c r="E971" s="223"/>
      <c r="F971" s="11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5"/>
      <c r="B972" s="5"/>
      <c r="C972" s="5"/>
      <c r="D972" s="5"/>
      <c r="E972" s="223"/>
      <c r="F972" s="11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5"/>
      <c r="B973" s="5"/>
      <c r="C973" s="5"/>
      <c r="D973" s="5"/>
      <c r="E973" s="223"/>
      <c r="F973" s="11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5"/>
      <c r="B974" s="5"/>
      <c r="C974" s="5"/>
      <c r="D974" s="5"/>
      <c r="E974" s="223"/>
      <c r="F974" s="11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5"/>
      <c r="B975" s="5"/>
      <c r="C975" s="5"/>
      <c r="D975" s="5"/>
      <c r="E975" s="223"/>
      <c r="F975" s="11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5"/>
      <c r="B976" s="5"/>
      <c r="C976" s="5"/>
      <c r="D976" s="5"/>
      <c r="E976" s="223"/>
      <c r="F976" s="11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5"/>
      <c r="B977" s="5"/>
      <c r="C977" s="5"/>
      <c r="D977" s="5"/>
      <c r="E977" s="223"/>
      <c r="F977" s="11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5"/>
      <c r="B978" s="5"/>
      <c r="C978" s="5"/>
      <c r="D978" s="5"/>
      <c r="E978" s="223"/>
      <c r="F978" s="11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5"/>
      <c r="B979" s="5"/>
      <c r="C979" s="5"/>
      <c r="D979" s="5"/>
      <c r="E979" s="223"/>
      <c r="F979" s="11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5"/>
      <c r="B980" s="5"/>
      <c r="C980" s="5"/>
      <c r="D980" s="5"/>
      <c r="E980" s="223"/>
      <c r="F980" s="11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5"/>
      <c r="B981" s="5"/>
      <c r="C981" s="5"/>
      <c r="D981" s="5"/>
      <c r="E981" s="223"/>
      <c r="F981" s="11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5"/>
      <c r="B982" s="5"/>
      <c r="C982" s="5"/>
      <c r="D982" s="5"/>
      <c r="E982" s="223"/>
      <c r="F982" s="11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5"/>
      <c r="B983" s="5"/>
      <c r="C983" s="5"/>
      <c r="D983" s="5"/>
      <c r="E983" s="223"/>
      <c r="F983" s="11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5"/>
      <c r="B984" s="5"/>
      <c r="C984" s="5"/>
      <c r="D984" s="5"/>
      <c r="E984" s="223"/>
      <c r="F984" s="11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5"/>
      <c r="B985" s="5"/>
      <c r="C985" s="5"/>
      <c r="D985" s="5"/>
      <c r="E985" s="223"/>
      <c r="F985" s="11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5"/>
      <c r="B986" s="5"/>
      <c r="C986" s="5"/>
      <c r="D986" s="5"/>
      <c r="E986" s="223"/>
      <c r="F986" s="11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5"/>
      <c r="B987" s="5"/>
      <c r="C987" s="5"/>
      <c r="D987" s="5"/>
      <c r="E987" s="223"/>
      <c r="F987" s="11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5"/>
      <c r="B988" s="5"/>
      <c r="C988" s="5"/>
      <c r="D988" s="5"/>
      <c r="E988" s="223"/>
      <c r="F988" s="11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5"/>
      <c r="B989" s="5"/>
      <c r="C989" s="5"/>
      <c r="D989" s="5"/>
      <c r="E989" s="223"/>
      <c r="F989" s="11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5"/>
      <c r="B990" s="5"/>
      <c r="C990" s="5"/>
      <c r="D990" s="5"/>
      <c r="E990" s="223"/>
      <c r="F990" s="11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5"/>
      <c r="B991" s="5"/>
      <c r="C991" s="5"/>
      <c r="D991" s="5"/>
      <c r="E991" s="223"/>
      <c r="F991" s="11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5"/>
      <c r="B992" s="5"/>
      <c r="C992" s="5"/>
      <c r="D992" s="5"/>
      <c r="E992" s="223"/>
      <c r="F992" s="11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5"/>
      <c r="B993" s="5"/>
      <c r="C993" s="5"/>
      <c r="D993" s="5"/>
      <c r="E993" s="223"/>
      <c r="F993" s="11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5"/>
      <c r="B994" s="5"/>
      <c r="C994" s="5"/>
      <c r="D994" s="5"/>
      <c r="E994" s="223"/>
      <c r="F994" s="11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5"/>
      <c r="B995" s="5"/>
      <c r="C995" s="5"/>
      <c r="D995" s="5"/>
      <c r="E995" s="223"/>
      <c r="F995" s="11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5"/>
      <c r="B996" s="5"/>
      <c r="C996" s="5"/>
      <c r="D996" s="5"/>
      <c r="E996" s="223"/>
      <c r="F996" s="11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5"/>
      <c r="B997" s="5"/>
      <c r="C997" s="5"/>
      <c r="D997" s="5"/>
      <c r="E997" s="223"/>
      <c r="F997" s="11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5"/>
      <c r="B998" s="5"/>
      <c r="C998" s="5"/>
      <c r="D998" s="5"/>
      <c r="E998" s="223"/>
      <c r="F998" s="11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5"/>
      <c r="B999" s="5"/>
      <c r="C999" s="5"/>
      <c r="D999" s="5"/>
      <c r="E999" s="223"/>
      <c r="F999" s="11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5"/>
      <c r="B1000" s="5"/>
      <c r="C1000" s="5"/>
      <c r="D1000" s="5"/>
      <c r="E1000" s="223"/>
      <c r="F1000" s="11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3">
    <mergeCell ref="A3:F3"/>
    <mergeCell ref="A4:F4"/>
    <mergeCell ref="A7:F7"/>
  </mergeCells>
  <printOptions/>
  <pageMargins bottom="0.75" footer="0.0" header="0.0" left="0.7" right="0.2" top="0.75"/>
  <pageSetup orientation="portrait"/>
  <drawing r:id="rId2"/>
  <legacyDrawing r:id="rId3"/>
</worksheet>
</file>